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sh\OneDrive\Documents\SOUPS16\"/>
    </mc:Choice>
  </mc:AlternateContent>
  <bookViews>
    <workbookView xWindow="0" yWindow="0" windowWidth="23040" windowHeight="9975"/>
  </bookViews>
  <sheets>
    <sheet name="5mb Flow Duration" sheetId="14" r:id="rId1"/>
    <sheet name="5mb Transfer Rate" sheetId="11" r:id="rId2"/>
    <sheet name="5mb delay Transfer Rate " sheetId="12" r:id="rId3"/>
    <sheet name="Confidence 3-Swtich" sheetId="5" r:id="rId4"/>
    <sheet name="Sheet1" sheetId="15" r:id="rId5"/>
    <sheet name="Confidence 4-Swtich" sheetId="10" r:id="rId6"/>
    <sheet name="BaseScore" sheetId="1" r:id="rId7"/>
    <sheet name="EnvirScore" sheetId="9" r:id="rId8"/>
    <sheet name="Switches" sheetId="6" r:id="rId9"/>
  </sheets>
  <definedNames>
    <definedName name="Type">Switches!$A$3:$B$10</definedName>
    <definedName name="Types">Switches!$A$3:$A$10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14" l="1"/>
  <c r="T14" i="14"/>
  <c r="S14" i="14"/>
  <c r="R14" i="14"/>
  <c r="R4" i="14"/>
  <c r="S4" i="14"/>
  <c r="T4" i="14"/>
  <c r="P5" i="14"/>
  <c r="P6" i="14"/>
  <c r="P9" i="14"/>
  <c r="P10" i="14"/>
  <c r="P11" i="14"/>
  <c r="P14" i="14"/>
  <c r="P15" i="14"/>
  <c r="P16" i="14"/>
  <c r="P19" i="14"/>
  <c r="P20" i="14"/>
  <c r="P21" i="14"/>
  <c r="P4" i="14"/>
  <c r="P5" i="12"/>
  <c r="P6" i="12"/>
  <c r="P9" i="12"/>
  <c r="P10" i="12"/>
  <c r="P11" i="12"/>
  <c r="P14" i="12"/>
  <c r="P15" i="12"/>
  <c r="P16" i="12"/>
  <c r="P19" i="12"/>
  <c r="P20" i="12"/>
  <c r="P21" i="12"/>
  <c r="P24" i="12"/>
  <c r="P25" i="12"/>
  <c r="P26" i="12"/>
  <c r="P4" i="12"/>
  <c r="P5" i="11"/>
  <c r="P6" i="11"/>
  <c r="P9" i="11"/>
  <c r="P10" i="11"/>
  <c r="P11" i="11"/>
  <c r="P14" i="11"/>
  <c r="P15" i="11"/>
  <c r="P16" i="11"/>
  <c r="P19" i="11"/>
  <c r="P20" i="11"/>
  <c r="P21" i="11"/>
  <c r="P24" i="11"/>
  <c r="P25" i="11"/>
  <c r="P26" i="11"/>
  <c r="P4" i="11"/>
  <c r="Q26" i="5" l="1"/>
  <c r="Q5" i="5"/>
  <c r="Q14" i="5"/>
  <c r="S33" i="5"/>
  <c r="S34" i="5"/>
  <c r="S32" i="5"/>
  <c r="S30" i="5"/>
  <c r="S31" i="5"/>
  <c r="S29" i="5"/>
  <c r="H16" i="9"/>
  <c r="H15" i="9"/>
  <c r="H14" i="9"/>
  <c r="H13" i="9"/>
  <c r="H12" i="9"/>
  <c r="S27" i="5" s="1"/>
  <c r="H11" i="9"/>
  <c r="S24" i="5" s="1"/>
  <c r="H10" i="9"/>
  <c r="S21" i="5" s="1"/>
  <c r="H9" i="9"/>
  <c r="S18" i="5" s="1"/>
  <c r="H8" i="9"/>
  <c r="H7" i="9"/>
  <c r="H6" i="9"/>
  <c r="S13" i="5" s="1"/>
  <c r="H5" i="9"/>
  <c r="S8" i="5" s="1"/>
  <c r="H4" i="9"/>
  <c r="H2" i="9"/>
  <c r="S4" i="5" s="1"/>
  <c r="H3" i="9"/>
  <c r="E3" i="9"/>
  <c r="S28" i="5"/>
  <c r="S23" i="5"/>
  <c r="S20" i="5"/>
  <c r="S15" i="5"/>
  <c r="S16" i="5"/>
  <c r="S14" i="5"/>
  <c r="S9" i="5"/>
  <c r="S10" i="5"/>
  <c r="S3" i="5"/>
  <c r="G27" i="9"/>
  <c r="E12" i="9"/>
  <c r="E8" i="9"/>
  <c r="E4" i="9"/>
  <c r="S26" i="5" l="1"/>
  <c r="S25" i="5"/>
  <c r="S22" i="5"/>
  <c r="S17" i="5"/>
  <c r="S19" i="5"/>
  <c r="S11" i="5"/>
  <c r="S12" i="5"/>
  <c r="S2" i="5"/>
  <c r="F15" i="1" l="1"/>
  <c r="G15" i="1" s="1"/>
  <c r="F9" i="1"/>
  <c r="O21" i="14" l="1"/>
  <c r="O20" i="14"/>
  <c r="I20" i="14"/>
  <c r="O19" i="14"/>
  <c r="G19" i="14"/>
  <c r="D19" i="14"/>
  <c r="E19" i="14" s="1"/>
  <c r="I19" i="14" s="1"/>
  <c r="O16" i="14"/>
  <c r="O15" i="14"/>
  <c r="I15" i="14"/>
  <c r="O14" i="14"/>
  <c r="G14" i="14"/>
  <c r="D14" i="14"/>
  <c r="E14" i="14" s="1"/>
  <c r="I14" i="14" s="1"/>
  <c r="O11" i="14"/>
  <c r="O10" i="14"/>
  <c r="I10" i="14"/>
  <c r="O9" i="14"/>
  <c r="G9" i="14"/>
  <c r="D9" i="14"/>
  <c r="E9" i="14" s="1"/>
  <c r="I9" i="14" s="1"/>
  <c r="O6" i="14"/>
  <c r="O5" i="14"/>
  <c r="I5" i="14"/>
  <c r="O4" i="14"/>
  <c r="G4" i="14"/>
  <c r="D4" i="14"/>
  <c r="E4" i="14" s="1"/>
  <c r="I4" i="14" s="1"/>
  <c r="I25" i="12"/>
  <c r="G24" i="12"/>
  <c r="D24" i="12"/>
  <c r="E24" i="12" s="1"/>
  <c r="I20" i="12"/>
  <c r="G19" i="12"/>
  <c r="D19" i="12"/>
  <c r="E19" i="12" s="1"/>
  <c r="I15" i="12"/>
  <c r="G14" i="12"/>
  <c r="D14" i="12"/>
  <c r="E14" i="12" s="1"/>
  <c r="I10" i="12"/>
  <c r="G9" i="12"/>
  <c r="D9" i="12"/>
  <c r="E9" i="12" s="1"/>
  <c r="I5" i="12"/>
  <c r="G4" i="12"/>
  <c r="D4" i="12"/>
  <c r="E4" i="12" s="1"/>
  <c r="I25" i="11"/>
  <c r="G24" i="11"/>
  <c r="D24" i="11"/>
  <c r="E24" i="11" s="1"/>
  <c r="I24" i="11" s="1"/>
  <c r="I20" i="11"/>
  <c r="G19" i="11"/>
  <c r="D19" i="11"/>
  <c r="E19" i="11" s="1"/>
  <c r="I19" i="11" s="1"/>
  <c r="I15" i="11"/>
  <c r="G14" i="11"/>
  <c r="D14" i="11"/>
  <c r="E14" i="11" s="1"/>
  <c r="I14" i="11" s="1"/>
  <c r="I5" i="11"/>
  <c r="G4" i="11"/>
  <c r="D4" i="11"/>
  <c r="E4" i="11" s="1"/>
  <c r="I4" i="11" s="1"/>
  <c r="I10" i="11"/>
  <c r="G9" i="11"/>
  <c r="D9" i="11"/>
  <c r="E9" i="11" s="1"/>
  <c r="I9" i="11" s="1"/>
  <c r="H9" i="11" l="1"/>
  <c r="H14" i="14"/>
  <c r="H4" i="14"/>
  <c r="J10" i="14"/>
  <c r="K10" i="14" s="1"/>
  <c r="L10" i="14" s="1"/>
  <c r="M10" i="14" s="1"/>
  <c r="H9" i="14"/>
  <c r="J15" i="14"/>
  <c r="K15" i="14" s="1"/>
  <c r="L15" i="14" s="1"/>
  <c r="M15" i="14" s="1"/>
  <c r="J20" i="14"/>
  <c r="K20" i="14" s="1"/>
  <c r="L20" i="14" s="1"/>
  <c r="M20" i="14" s="1"/>
  <c r="J5" i="14"/>
  <c r="K5" i="14" s="1"/>
  <c r="L5" i="14" s="1"/>
  <c r="M5" i="14" s="1"/>
  <c r="H19" i="14"/>
  <c r="J4" i="14"/>
  <c r="K4" i="14" s="1"/>
  <c r="L4" i="14" s="1"/>
  <c r="M4" i="14" s="1"/>
  <c r="J9" i="14"/>
  <c r="K9" i="14" s="1"/>
  <c r="L9" i="14" s="1"/>
  <c r="M9" i="14" s="1"/>
  <c r="J14" i="14"/>
  <c r="K14" i="14" s="1"/>
  <c r="L14" i="14" s="1"/>
  <c r="M14" i="14" s="1"/>
  <c r="J19" i="14"/>
  <c r="K19" i="14" s="1"/>
  <c r="L19" i="14" s="1"/>
  <c r="M19" i="14" s="1"/>
  <c r="H9" i="12"/>
  <c r="I9" i="12"/>
  <c r="J10" i="12" s="1"/>
  <c r="K10" i="12" s="1"/>
  <c r="L10" i="12" s="1"/>
  <c r="M10" i="12" s="1"/>
  <c r="H14" i="12"/>
  <c r="I14" i="12"/>
  <c r="J15" i="12" s="1"/>
  <c r="K15" i="12" s="1"/>
  <c r="L15" i="12" s="1"/>
  <c r="M15" i="12" s="1"/>
  <c r="H19" i="12"/>
  <c r="I19" i="12"/>
  <c r="J19" i="12" s="1"/>
  <c r="K19" i="12" s="1"/>
  <c r="L19" i="12" s="1"/>
  <c r="M19" i="12" s="1"/>
  <c r="H4" i="12"/>
  <c r="I4" i="12"/>
  <c r="J5" i="12" s="1"/>
  <c r="K5" i="12" s="1"/>
  <c r="L5" i="12" s="1"/>
  <c r="M5" i="12" s="1"/>
  <c r="H24" i="12"/>
  <c r="I24" i="12"/>
  <c r="J25" i="12" s="1"/>
  <c r="K25" i="12" s="1"/>
  <c r="L25" i="12" s="1"/>
  <c r="M25" i="12" s="1"/>
  <c r="J25" i="11"/>
  <c r="K25" i="11" s="1"/>
  <c r="L25" i="11" s="1"/>
  <c r="M25" i="11" s="1"/>
  <c r="H24" i="11"/>
  <c r="J24" i="11"/>
  <c r="K24" i="11" s="1"/>
  <c r="L24" i="11" s="1"/>
  <c r="M24" i="11" s="1"/>
  <c r="H19" i="11"/>
  <c r="J20" i="11"/>
  <c r="K20" i="11" s="1"/>
  <c r="L20" i="11" s="1"/>
  <c r="M20" i="11" s="1"/>
  <c r="J19" i="11"/>
  <c r="K19" i="11" s="1"/>
  <c r="L19" i="11" s="1"/>
  <c r="M19" i="11" s="1"/>
  <c r="H14" i="11"/>
  <c r="J15" i="11"/>
  <c r="K15" i="11" s="1"/>
  <c r="L15" i="11" s="1"/>
  <c r="M15" i="11" s="1"/>
  <c r="J14" i="11"/>
  <c r="K14" i="11" s="1"/>
  <c r="L14" i="11" s="1"/>
  <c r="M14" i="11" s="1"/>
  <c r="H4" i="11"/>
  <c r="J5" i="11"/>
  <c r="K5" i="11" s="1"/>
  <c r="L5" i="11" s="1"/>
  <c r="M5" i="11" s="1"/>
  <c r="J4" i="11"/>
  <c r="K4" i="11" s="1"/>
  <c r="L4" i="11" s="1"/>
  <c r="M4" i="11" s="1"/>
  <c r="J10" i="11"/>
  <c r="K10" i="11" s="1"/>
  <c r="L10" i="11" s="1"/>
  <c r="M10" i="11" s="1"/>
  <c r="J9" i="11"/>
  <c r="K9" i="11" s="1"/>
  <c r="L9" i="11" s="1"/>
  <c r="M9" i="11" s="1"/>
  <c r="K13" i="10"/>
  <c r="K12" i="10"/>
  <c r="K11" i="10"/>
  <c r="K9" i="10"/>
  <c r="K10" i="10"/>
  <c r="K8" i="10"/>
  <c r="C15" i="10"/>
  <c r="D15" i="10" s="1"/>
  <c r="E15" i="10" s="1"/>
  <c r="F15" i="10" s="1"/>
  <c r="G18" i="10" s="1"/>
  <c r="C16" i="10"/>
  <c r="D16" i="10" s="1"/>
  <c r="E16" i="10" s="1"/>
  <c r="F16" i="10" s="1"/>
  <c r="G19" i="10" s="1"/>
  <c r="C14" i="10"/>
  <c r="D14" i="10" s="1"/>
  <c r="H9" i="10"/>
  <c r="I9" i="10" s="1"/>
  <c r="H10" i="10"/>
  <c r="I10" i="10" s="1"/>
  <c r="H11" i="10"/>
  <c r="I11" i="10" s="1"/>
  <c r="H12" i="10"/>
  <c r="I12" i="10" s="1"/>
  <c r="H13" i="10"/>
  <c r="I13" i="10" s="1"/>
  <c r="H8" i="10"/>
  <c r="I8" i="10" s="1"/>
  <c r="G7" i="10"/>
  <c r="G34" i="10" s="1"/>
  <c r="G6" i="10"/>
  <c r="G5" i="10"/>
  <c r="M30" i="10"/>
  <c r="H29" i="10"/>
  <c r="I29" i="10" s="1"/>
  <c r="K29" i="10" s="1"/>
  <c r="L29" i="10" s="1"/>
  <c r="Q28" i="10"/>
  <c r="P28" i="10"/>
  <c r="O28" i="10"/>
  <c r="N28" i="10"/>
  <c r="M28" i="10"/>
  <c r="Q27" i="10"/>
  <c r="P27" i="10"/>
  <c r="O27" i="10"/>
  <c r="N27" i="10"/>
  <c r="M27" i="10"/>
  <c r="K27" i="10" s="1"/>
  <c r="R27" i="10" s="1"/>
  <c r="Q26" i="10"/>
  <c r="P26" i="10"/>
  <c r="O26" i="10"/>
  <c r="N26" i="10"/>
  <c r="M26" i="10"/>
  <c r="R25" i="10"/>
  <c r="I25" i="10"/>
  <c r="R24" i="10"/>
  <c r="I24" i="10"/>
  <c r="R23" i="10"/>
  <c r="I23" i="10"/>
  <c r="M21" i="10"/>
  <c r="H20" i="10"/>
  <c r="I20" i="10" s="1"/>
  <c r="R4" i="10"/>
  <c r="R3" i="10"/>
  <c r="R2" i="10"/>
  <c r="Q25" i="5"/>
  <c r="Q24" i="5"/>
  <c r="Q23" i="5"/>
  <c r="Q4" i="5"/>
  <c r="Q2" i="5"/>
  <c r="Q3" i="5"/>
  <c r="N20" i="14" l="1"/>
  <c r="N19" i="14"/>
  <c r="N21" i="14"/>
  <c r="N15" i="14"/>
  <c r="N14" i="14"/>
  <c r="N16" i="14"/>
  <c r="N5" i="14"/>
  <c r="N4" i="14"/>
  <c r="N6" i="14"/>
  <c r="N10" i="14"/>
  <c r="N9" i="14"/>
  <c r="N11" i="14"/>
  <c r="J9" i="12"/>
  <c r="K9" i="12" s="1"/>
  <c r="L9" i="12" s="1"/>
  <c r="M9" i="12" s="1"/>
  <c r="N10" i="12" s="1"/>
  <c r="J4" i="12"/>
  <c r="K4" i="12" s="1"/>
  <c r="L4" i="12" s="1"/>
  <c r="M4" i="12" s="1"/>
  <c r="N4" i="12" s="1"/>
  <c r="J24" i="12"/>
  <c r="K24" i="12" s="1"/>
  <c r="L24" i="12" s="1"/>
  <c r="M24" i="12" s="1"/>
  <c r="N25" i="12" s="1"/>
  <c r="J20" i="12"/>
  <c r="K20" i="12" s="1"/>
  <c r="L20" i="12" s="1"/>
  <c r="M20" i="12" s="1"/>
  <c r="N19" i="12"/>
  <c r="J14" i="12"/>
  <c r="K14" i="12" s="1"/>
  <c r="L14" i="12" s="1"/>
  <c r="M14" i="12" s="1"/>
  <c r="N25" i="11"/>
  <c r="N24" i="11"/>
  <c r="N26" i="11"/>
  <c r="N20" i="11"/>
  <c r="N19" i="11"/>
  <c r="N21" i="11"/>
  <c r="N15" i="11"/>
  <c r="N14" i="11"/>
  <c r="N16" i="11"/>
  <c r="N5" i="11"/>
  <c r="N4" i="11"/>
  <c r="N6" i="11"/>
  <c r="N11" i="11"/>
  <c r="N10" i="11"/>
  <c r="N9" i="11"/>
  <c r="K16" i="10"/>
  <c r="K26" i="10"/>
  <c r="R26" i="10" s="1"/>
  <c r="K15" i="10"/>
  <c r="L11" i="10"/>
  <c r="K5" i="10"/>
  <c r="L13" i="10"/>
  <c r="L10" i="10"/>
  <c r="L8" i="10"/>
  <c r="H16" i="10"/>
  <c r="I16" i="10" s="1"/>
  <c r="H15" i="10"/>
  <c r="I15" i="10" s="1"/>
  <c r="E14" i="10"/>
  <c r="F14" i="10" s="1"/>
  <c r="G17" i="10" s="1"/>
  <c r="H17" i="10" s="1"/>
  <c r="K28" i="10"/>
  <c r="R28" i="10" s="1"/>
  <c r="N20" i="10"/>
  <c r="O20" i="10" s="1"/>
  <c r="P20" i="10" s="1"/>
  <c r="Q20" i="10" s="1"/>
  <c r="L9" i="10"/>
  <c r="L12" i="10"/>
  <c r="M20" i="10"/>
  <c r="N21" i="10" s="1"/>
  <c r="O21" i="10" s="1"/>
  <c r="P21" i="10" s="1"/>
  <c r="Q21" i="10" s="1"/>
  <c r="K20" i="10"/>
  <c r="L20" i="10" s="1"/>
  <c r="M6" i="10"/>
  <c r="G32" i="10"/>
  <c r="H5" i="10"/>
  <c r="I5" i="10" s="1"/>
  <c r="M5" i="10" s="1"/>
  <c r="M29" i="10"/>
  <c r="N30" i="10" s="1"/>
  <c r="O30" i="10" s="1"/>
  <c r="P30" i="10" s="1"/>
  <c r="Q30" i="10" s="1"/>
  <c r="G33" i="10"/>
  <c r="N20" i="12" l="1"/>
  <c r="N6" i="12"/>
  <c r="N21" i="12"/>
  <c r="R15" i="14"/>
  <c r="R5" i="14"/>
  <c r="R10" i="14"/>
  <c r="R20" i="14"/>
  <c r="N26" i="12"/>
  <c r="N11" i="12"/>
  <c r="N9" i="12"/>
  <c r="N5" i="12"/>
  <c r="N24" i="12"/>
  <c r="N16" i="12"/>
  <c r="N15" i="12"/>
  <c r="N14" i="12"/>
  <c r="M11" i="10"/>
  <c r="H14" i="10"/>
  <c r="I14" i="10" s="1"/>
  <c r="K14" i="10"/>
  <c r="M9" i="10"/>
  <c r="L16" i="10"/>
  <c r="M8" i="10"/>
  <c r="M33" i="10"/>
  <c r="K32" i="10"/>
  <c r="H32" i="10"/>
  <c r="I32" i="10" s="1"/>
  <c r="M32" i="10" s="1"/>
  <c r="L15" i="10"/>
  <c r="N6" i="10"/>
  <c r="O6" i="10" s="1"/>
  <c r="P6" i="10" s="1"/>
  <c r="Q6" i="10" s="1"/>
  <c r="N5" i="10"/>
  <c r="O5" i="10" s="1"/>
  <c r="P5" i="10" s="1"/>
  <c r="Q5" i="10" s="1"/>
  <c r="R22" i="10"/>
  <c r="R20" i="10"/>
  <c r="R21" i="10"/>
  <c r="N29" i="10"/>
  <c r="O29" i="10" s="1"/>
  <c r="P29" i="10" s="1"/>
  <c r="Q29" i="10" s="1"/>
  <c r="M12" i="10"/>
  <c r="L5" i="10"/>
  <c r="R9" i="14" l="1"/>
  <c r="R19" i="14"/>
  <c r="L14" i="10"/>
  <c r="N9" i="10"/>
  <c r="O9" i="10" s="1"/>
  <c r="P9" i="10" s="1"/>
  <c r="Q9" i="10" s="1"/>
  <c r="N8" i="10"/>
  <c r="O8" i="10" s="1"/>
  <c r="P8" i="10" s="1"/>
  <c r="Q8" i="10" s="1"/>
  <c r="R9" i="10" s="1"/>
  <c r="N12" i="10"/>
  <c r="O12" i="10" s="1"/>
  <c r="P12" i="10" s="1"/>
  <c r="Q12" i="10" s="1"/>
  <c r="N11" i="10"/>
  <c r="O11" i="10" s="1"/>
  <c r="P11" i="10" s="1"/>
  <c r="Q11" i="10" s="1"/>
  <c r="R5" i="10"/>
  <c r="R7" i="10"/>
  <c r="R6" i="10"/>
  <c r="M15" i="10"/>
  <c r="M14" i="10"/>
  <c r="R8" i="10"/>
  <c r="K17" i="10"/>
  <c r="M18" i="10"/>
  <c r="I17" i="10"/>
  <c r="M17" i="10" s="1"/>
  <c r="L32" i="10"/>
  <c r="R31" i="10"/>
  <c r="R29" i="10"/>
  <c r="R30" i="10"/>
  <c r="N33" i="10"/>
  <c r="O33" i="10" s="1"/>
  <c r="P33" i="10" s="1"/>
  <c r="Q33" i="10" s="1"/>
  <c r="N32" i="10"/>
  <c r="O32" i="10" s="1"/>
  <c r="P32" i="10" s="1"/>
  <c r="Q32" i="10" s="1"/>
  <c r="R10" i="10" l="1"/>
  <c r="N17" i="10"/>
  <c r="O17" i="10" s="1"/>
  <c r="P17" i="10" s="1"/>
  <c r="Q17" i="10" s="1"/>
  <c r="N18" i="10"/>
  <c r="O18" i="10" s="1"/>
  <c r="P18" i="10" s="1"/>
  <c r="Q18" i="10" s="1"/>
  <c r="R34" i="10"/>
  <c r="R32" i="10"/>
  <c r="R33" i="10"/>
  <c r="L17" i="10"/>
  <c r="N14" i="10"/>
  <c r="O14" i="10" s="1"/>
  <c r="P14" i="10" s="1"/>
  <c r="Q14" i="10" s="1"/>
  <c r="N15" i="10"/>
  <c r="O15" i="10" s="1"/>
  <c r="P15" i="10" s="1"/>
  <c r="Q15" i="10" s="1"/>
  <c r="R11" i="10"/>
  <c r="R13" i="10"/>
  <c r="R12" i="10"/>
  <c r="R14" i="10" l="1"/>
  <c r="R16" i="10"/>
  <c r="R15" i="10"/>
  <c r="R17" i="10"/>
  <c r="R19" i="10"/>
  <c r="R18" i="10"/>
  <c r="P28" i="5" l="1"/>
  <c r="P27" i="5"/>
  <c r="P26" i="5"/>
  <c r="M28" i="5"/>
  <c r="M27" i="5"/>
  <c r="M26" i="5"/>
  <c r="F14" i="9"/>
  <c r="G14" i="9" s="1"/>
  <c r="F13" i="9"/>
  <c r="G13" i="9" s="1"/>
  <c r="F12" i="9"/>
  <c r="G12" i="9" s="1"/>
  <c r="F11" i="9"/>
  <c r="G11" i="9" s="1"/>
  <c r="F10" i="9"/>
  <c r="G10" i="9" s="1"/>
  <c r="F9" i="9"/>
  <c r="G9" i="9" s="1"/>
  <c r="F8" i="9"/>
  <c r="G8" i="9" s="1"/>
  <c r="F7" i="9"/>
  <c r="G7" i="9" s="1"/>
  <c r="F6" i="9"/>
  <c r="G6" i="9" s="1"/>
  <c r="F5" i="9"/>
  <c r="G5" i="9" s="1"/>
  <c r="F4" i="9"/>
  <c r="G4" i="9" s="1"/>
  <c r="F3" i="9"/>
  <c r="G3" i="9" s="1"/>
  <c r="F2" i="9"/>
  <c r="G2" i="9" s="1"/>
  <c r="F10" i="1"/>
  <c r="F11" i="1"/>
  <c r="F12" i="1"/>
  <c r="F13" i="1"/>
  <c r="F14" i="1"/>
  <c r="F8" i="1"/>
  <c r="F7" i="1"/>
  <c r="F6" i="1"/>
  <c r="F5" i="1"/>
  <c r="F4" i="1"/>
  <c r="F3" i="1"/>
  <c r="F2" i="1"/>
  <c r="S5" i="5" l="1"/>
  <c r="S6" i="5"/>
  <c r="S7" i="5"/>
  <c r="Q21" i="14"/>
  <c r="Q15" i="14"/>
  <c r="Q20" i="14"/>
  <c r="Q6" i="14"/>
  <c r="Q10" i="14"/>
  <c r="Q16" i="14"/>
  <c r="Q5" i="14"/>
  <c r="Q11" i="14"/>
  <c r="T32" i="10"/>
  <c r="T34" i="10"/>
  <c r="T33" i="10"/>
  <c r="T13" i="10"/>
  <c r="T12" i="10"/>
  <c r="T11" i="10"/>
  <c r="T18" i="10"/>
  <c r="T19" i="10"/>
  <c r="T17" i="10"/>
  <c r="T21" i="10"/>
  <c r="T20" i="10"/>
  <c r="T22" i="10"/>
  <c r="T29" i="10"/>
  <c r="T31" i="10"/>
  <c r="T30" i="10"/>
  <c r="T5" i="10"/>
  <c r="T6" i="10"/>
  <c r="T7" i="10"/>
  <c r="T25" i="10"/>
  <c r="T24" i="10"/>
  <c r="T23" i="10"/>
  <c r="T10" i="10"/>
  <c r="T9" i="10"/>
  <c r="T8" i="10"/>
  <c r="T15" i="10"/>
  <c r="T14" i="10"/>
  <c r="T16" i="10"/>
  <c r="T2" i="10"/>
  <c r="T4" i="10"/>
  <c r="T3" i="10"/>
  <c r="T26" i="10"/>
  <c r="T27" i="10"/>
  <c r="T28" i="10"/>
  <c r="G10" i="1"/>
  <c r="G6" i="1"/>
  <c r="G14" i="1"/>
  <c r="E3" i="1"/>
  <c r="G3" i="1" s="1"/>
  <c r="E4" i="1"/>
  <c r="G4" i="1" s="1"/>
  <c r="E5" i="1"/>
  <c r="G5" i="1" s="1"/>
  <c r="E6" i="1"/>
  <c r="E7" i="1"/>
  <c r="G7" i="1" s="1"/>
  <c r="E8" i="1"/>
  <c r="G8" i="1" s="1"/>
  <c r="E9" i="1"/>
  <c r="G9" i="1" s="1"/>
  <c r="E10" i="1"/>
  <c r="E11" i="1"/>
  <c r="G11" i="1" s="1"/>
  <c r="E12" i="1"/>
  <c r="G12" i="1" s="1"/>
  <c r="E13" i="1"/>
  <c r="G13" i="1" s="1"/>
  <c r="E14" i="1"/>
  <c r="E2" i="1"/>
  <c r="G2" i="1" s="1"/>
  <c r="Q19" i="14" l="1"/>
  <c r="S20" i="14"/>
  <c r="S10" i="14"/>
  <c r="Q9" i="14"/>
  <c r="Q4" i="14"/>
  <c r="S5" i="14"/>
  <c r="S15" i="14"/>
  <c r="Q14" i="14"/>
  <c r="S25" i="11"/>
  <c r="S24" i="11" s="1"/>
  <c r="S25" i="12"/>
  <c r="S24" i="12" s="1"/>
  <c r="S10" i="12"/>
  <c r="S9" i="12" s="1"/>
  <c r="S5" i="12"/>
  <c r="S4" i="12" s="1"/>
  <c r="S15" i="12"/>
  <c r="S14" i="12" s="1"/>
  <c r="S10" i="11"/>
  <c r="S9" i="11" s="1"/>
  <c r="S20" i="12"/>
  <c r="S19" i="12" s="1"/>
  <c r="S20" i="11"/>
  <c r="S19" i="11" s="1"/>
  <c r="S15" i="11"/>
  <c r="S14" i="11" s="1"/>
  <c r="S5" i="11"/>
  <c r="S4" i="11" s="1"/>
  <c r="O20" i="12"/>
  <c r="Q20" i="12" s="1"/>
  <c r="O14" i="12"/>
  <c r="O11" i="12"/>
  <c r="Q11" i="12" s="1"/>
  <c r="O25" i="11"/>
  <c r="Q25" i="11" s="1"/>
  <c r="O19" i="11"/>
  <c r="O16" i="11"/>
  <c r="Q16" i="11" s="1"/>
  <c r="O10" i="11"/>
  <c r="Q10" i="11" s="1"/>
  <c r="O24" i="12"/>
  <c r="O10" i="12"/>
  <c r="Q10" i="12" s="1"/>
  <c r="O26" i="11"/>
  <c r="Q26" i="11" s="1"/>
  <c r="O15" i="11"/>
  <c r="Q15" i="11" s="1"/>
  <c r="O11" i="11"/>
  <c r="Q11" i="11" s="1"/>
  <c r="O19" i="12"/>
  <c r="O24" i="11"/>
  <c r="O9" i="11"/>
  <c r="O26" i="12"/>
  <c r="Q26" i="12" s="1"/>
  <c r="O15" i="12"/>
  <c r="Q15" i="12" s="1"/>
  <c r="O9" i="12"/>
  <c r="O6" i="12"/>
  <c r="Q6" i="12" s="1"/>
  <c r="O20" i="11"/>
  <c r="Q20" i="11" s="1"/>
  <c r="O14" i="11"/>
  <c r="O6" i="11"/>
  <c r="Q6" i="11" s="1"/>
  <c r="O21" i="12"/>
  <c r="Q21" i="12" s="1"/>
  <c r="O4" i="12"/>
  <c r="O4" i="11"/>
  <c r="O25" i="12"/>
  <c r="Q25" i="12" s="1"/>
  <c r="O16" i="12"/>
  <c r="Q16" i="12" s="1"/>
  <c r="O5" i="12"/>
  <c r="Q5" i="12" s="1"/>
  <c r="O21" i="11"/>
  <c r="Q21" i="11" s="1"/>
  <c r="O5" i="11"/>
  <c r="Q5" i="11" s="1"/>
  <c r="S19" i="10"/>
  <c r="U19" i="10" s="1"/>
  <c r="S18" i="10"/>
  <c r="U18" i="10" s="1"/>
  <c r="S17" i="10"/>
  <c r="S31" i="10"/>
  <c r="U31" i="10" s="1"/>
  <c r="S30" i="10"/>
  <c r="U30" i="10" s="1"/>
  <c r="S29" i="10"/>
  <c r="U29" i="10" s="1"/>
  <c r="S8" i="10"/>
  <c r="S10" i="10"/>
  <c r="U10" i="10" s="1"/>
  <c r="S9" i="10"/>
  <c r="U9" i="10" s="1"/>
  <c r="S4" i="10"/>
  <c r="U4" i="10" s="1"/>
  <c r="S2" i="10"/>
  <c r="S3" i="10"/>
  <c r="U3" i="10" s="1"/>
  <c r="S23" i="10"/>
  <c r="U23" i="10" s="1"/>
  <c r="S24" i="10"/>
  <c r="U24" i="10" s="1"/>
  <c r="S25" i="10"/>
  <c r="U25" i="10" s="1"/>
  <c r="S7" i="10"/>
  <c r="U7" i="10" s="1"/>
  <c r="S6" i="10"/>
  <c r="U6" i="10" s="1"/>
  <c r="S5" i="10"/>
  <c r="U5" i="10" s="1"/>
  <c r="S34" i="10"/>
  <c r="U34" i="10" s="1"/>
  <c r="S33" i="10"/>
  <c r="U33" i="10" s="1"/>
  <c r="S32" i="10"/>
  <c r="U32" i="10" s="1"/>
  <c r="S22" i="10"/>
  <c r="U22" i="10" s="1"/>
  <c r="S21" i="10"/>
  <c r="U21" i="10" s="1"/>
  <c r="S20" i="10"/>
  <c r="U20" i="10" s="1"/>
  <c r="S16" i="10"/>
  <c r="U16" i="10" s="1"/>
  <c r="S15" i="10"/>
  <c r="U15" i="10" s="1"/>
  <c r="S14" i="10"/>
  <c r="U13" i="10"/>
  <c r="S12" i="10"/>
  <c r="U12" i="10" s="1"/>
  <c r="S11" i="10"/>
  <c r="U11" i="10" s="1"/>
  <c r="S13" i="10"/>
  <c r="S28" i="10"/>
  <c r="U28" i="10" s="1"/>
  <c r="S26" i="10"/>
  <c r="S27" i="10"/>
  <c r="U27" i="10" s="1"/>
  <c r="W12" i="10"/>
  <c r="W9" i="10"/>
  <c r="W21" i="10"/>
  <c r="W27" i="10"/>
  <c r="W24" i="10"/>
  <c r="W6" i="10"/>
  <c r="V24" i="5"/>
  <c r="V23" i="5" s="1"/>
  <c r="W15" i="10"/>
  <c r="W33" i="10"/>
  <c r="U2" i="10"/>
  <c r="W3" i="10"/>
  <c r="U17" i="10"/>
  <c r="W18" i="10"/>
  <c r="W30" i="10"/>
  <c r="V3" i="5"/>
  <c r="V2" i="5" s="1"/>
  <c r="R24" i="5"/>
  <c r="T24" i="5" s="1"/>
  <c r="R25" i="5"/>
  <c r="T25" i="5" s="1"/>
  <c r="R23" i="5"/>
  <c r="R6" i="5"/>
  <c r="R5" i="5"/>
  <c r="R7" i="5"/>
  <c r="R18" i="5"/>
  <c r="R19" i="5"/>
  <c r="R17" i="5"/>
  <c r="R16" i="5"/>
  <c r="R14" i="5"/>
  <c r="R15" i="5"/>
  <c r="R22" i="5"/>
  <c r="R21" i="5"/>
  <c r="R20" i="5"/>
  <c r="R28" i="5"/>
  <c r="R27" i="5"/>
  <c r="R26" i="5"/>
  <c r="R11" i="5"/>
  <c r="R13" i="5"/>
  <c r="R12" i="5"/>
  <c r="R9" i="5"/>
  <c r="R8" i="5"/>
  <c r="R10" i="5"/>
  <c r="R33" i="5"/>
  <c r="R32" i="5"/>
  <c r="R34" i="5"/>
  <c r="R30" i="5"/>
  <c r="R31" i="5"/>
  <c r="R29" i="5"/>
  <c r="R4" i="5"/>
  <c r="T4" i="5" s="1"/>
  <c r="R2" i="5"/>
  <c r="R3" i="5"/>
  <c r="T3" i="5" s="1"/>
  <c r="F7" i="5"/>
  <c r="F6" i="5"/>
  <c r="F5" i="5"/>
  <c r="T15" i="14" l="1"/>
  <c r="T5" i="14"/>
  <c r="S9" i="14"/>
  <c r="T10" i="14"/>
  <c r="T9" i="14" s="1"/>
  <c r="S19" i="14"/>
  <c r="T20" i="14"/>
  <c r="V27" i="10"/>
  <c r="V26" i="10" s="1"/>
  <c r="Q4" i="12"/>
  <c r="R5" i="12"/>
  <c r="Q9" i="11"/>
  <c r="R10" i="11"/>
  <c r="V21" i="10"/>
  <c r="V20" i="10" s="1"/>
  <c r="Q9" i="12"/>
  <c r="R10" i="12"/>
  <c r="R25" i="11"/>
  <c r="Q24" i="11"/>
  <c r="Q14" i="12"/>
  <c r="R15" i="12"/>
  <c r="Q24" i="12"/>
  <c r="R25" i="12"/>
  <c r="V15" i="10"/>
  <c r="V14" i="10" s="1"/>
  <c r="V18" i="10"/>
  <c r="V17" i="10" s="1"/>
  <c r="Q4" i="11"/>
  <c r="R5" i="11"/>
  <c r="Q14" i="11"/>
  <c r="R15" i="11"/>
  <c r="Q19" i="12"/>
  <c r="R20" i="12"/>
  <c r="Q19" i="11"/>
  <c r="R20" i="11"/>
  <c r="V3" i="10"/>
  <c r="X3" i="10" s="1"/>
  <c r="X2" i="10" s="1"/>
  <c r="V9" i="10"/>
  <c r="V8" i="10" s="1"/>
  <c r="U14" i="10"/>
  <c r="U26" i="10"/>
  <c r="U8" i="10"/>
  <c r="V6" i="10"/>
  <c r="V5" i="10" s="1"/>
  <c r="V30" i="10"/>
  <c r="V29" i="10" s="1"/>
  <c r="V12" i="10"/>
  <c r="V11" i="10" s="1"/>
  <c r="V33" i="10"/>
  <c r="V32" i="10" s="1"/>
  <c r="V24" i="10"/>
  <c r="V23" i="10" s="1"/>
  <c r="X27" i="10"/>
  <c r="X26" i="10" s="1"/>
  <c r="W26" i="10"/>
  <c r="W14" i="10"/>
  <c r="W20" i="10"/>
  <c r="X21" i="10"/>
  <c r="X20" i="10" s="1"/>
  <c r="W36" i="10"/>
  <c r="W2" i="10"/>
  <c r="W32" i="10"/>
  <c r="W29" i="10"/>
  <c r="W17" i="10"/>
  <c r="W5" i="10"/>
  <c r="W8" i="10"/>
  <c r="W11" i="10"/>
  <c r="W23" i="10"/>
  <c r="T2" i="5"/>
  <c r="U3" i="5"/>
  <c r="T23" i="5"/>
  <c r="U24" i="5"/>
  <c r="L27" i="5"/>
  <c r="N27" i="5"/>
  <c r="O27" i="5"/>
  <c r="L28" i="5"/>
  <c r="N28" i="5"/>
  <c r="O28" i="5"/>
  <c r="N26" i="5"/>
  <c r="O26" i="5"/>
  <c r="L26" i="5"/>
  <c r="X24" i="10" l="1"/>
  <c r="X23" i="10" s="1"/>
  <c r="X6" i="10"/>
  <c r="X5" i="10" s="1"/>
  <c r="X9" i="10"/>
  <c r="X8" i="10" s="1"/>
  <c r="X18" i="10"/>
  <c r="X17" i="10" s="1"/>
  <c r="X33" i="10"/>
  <c r="X32" i="10" s="1"/>
  <c r="X12" i="10"/>
  <c r="X11" i="10" s="1"/>
  <c r="X30" i="10"/>
  <c r="X29" i="10" s="1"/>
  <c r="X15" i="10"/>
  <c r="X14" i="10" s="1"/>
  <c r="T25" i="11"/>
  <c r="T24" i="11" s="1"/>
  <c r="R24" i="11"/>
  <c r="T10" i="11"/>
  <c r="T9" i="11" s="1"/>
  <c r="R9" i="11"/>
  <c r="U36" i="10"/>
  <c r="R19" i="11"/>
  <c r="T20" i="11"/>
  <c r="T19" i="11" s="1"/>
  <c r="T15" i="11"/>
  <c r="T14" i="11" s="1"/>
  <c r="R14" i="11"/>
  <c r="T15" i="12"/>
  <c r="T14" i="12" s="1"/>
  <c r="R14" i="12"/>
  <c r="T10" i="12"/>
  <c r="T9" i="12" s="1"/>
  <c r="R9" i="12"/>
  <c r="R4" i="12"/>
  <c r="T5" i="12"/>
  <c r="T4" i="12" s="1"/>
  <c r="T20" i="12"/>
  <c r="T19" i="12" s="1"/>
  <c r="R19" i="12"/>
  <c r="T5" i="11"/>
  <c r="T4" i="11" s="1"/>
  <c r="R4" i="11"/>
  <c r="R24" i="12"/>
  <c r="T25" i="12"/>
  <c r="T24" i="12" s="1"/>
  <c r="W24" i="5"/>
  <c r="W23" i="5" s="1"/>
  <c r="U23" i="5"/>
  <c r="W3" i="5"/>
  <c r="W2" i="5" s="1"/>
  <c r="U2" i="5"/>
  <c r="V36" i="10"/>
  <c r="V37" i="10" s="1"/>
  <c r="V2" i="10"/>
  <c r="W37" i="10"/>
  <c r="J28" i="5"/>
  <c r="J27" i="5"/>
  <c r="J26" i="5"/>
  <c r="H24" i="5"/>
  <c r="H25" i="5"/>
  <c r="H23" i="5"/>
  <c r="X36" i="10" l="1"/>
  <c r="X37" i="10" s="1"/>
  <c r="Q27" i="5"/>
  <c r="T27" i="5" s="1"/>
  <c r="Q28" i="5"/>
  <c r="T28" i="5" s="1"/>
  <c r="L30" i="5"/>
  <c r="G29" i="5"/>
  <c r="H29" i="5" s="1"/>
  <c r="L29" i="5" s="1"/>
  <c r="L21" i="5"/>
  <c r="G20" i="5"/>
  <c r="H20" i="5" s="1"/>
  <c r="L20" i="5" s="1"/>
  <c r="D16" i="5"/>
  <c r="E16" i="5" s="1"/>
  <c r="F19" i="5" s="1"/>
  <c r="D15" i="5"/>
  <c r="E15" i="5" s="1"/>
  <c r="F18" i="5" s="1"/>
  <c r="D14" i="5"/>
  <c r="E14" i="5" s="1"/>
  <c r="F17" i="5" s="1"/>
  <c r="T26" i="5" l="1"/>
  <c r="V27" i="5"/>
  <c r="U27" i="5"/>
  <c r="M30" i="5"/>
  <c r="N30" i="5" s="1"/>
  <c r="O30" i="5" s="1"/>
  <c r="P30" i="5" s="1"/>
  <c r="M29" i="5"/>
  <c r="N29" i="5" s="1"/>
  <c r="M21" i="5"/>
  <c r="N21" i="5" s="1"/>
  <c r="O21" i="5" s="1"/>
  <c r="P21" i="5" s="1"/>
  <c r="M20" i="5"/>
  <c r="N20" i="5" s="1"/>
  <c r="J17" i="5"/>
  <c r="L18" i="5"/>
  <c r="G17" i="5"/>
  <c r="H17" i="5" s="1"/>
  <c r="L17" i="5" s="1"/>
  <c r="G32" i="5"/>
  <c r="J32" i="5"/>
  <c r="L33" i="5"/>
  <c r="J29" i="5"/>
  <c r="K29" i="5" s="1"/>
  <c r="L6" i="5"/>
  <c r="J5" i="5"/>
  <c r="W27" i="5" l="1"/>
  <c r="W26" i="5" s="1"/>
  <c r="U26" i="5"/>
  <c r="V26" i="5"/>
  <c r="O20" i="5"/>
  <c r="P20" i="5" s="1"/>
  <c r="M18" i="5"/>
  <c r="N18" i="5" s="1"/>
  <c r="O18" i="5" s="1"/>
  <c r="P18" i="5" s="1"/>
  <c r="M17" i="5"/>
  <c r="N17" i="5" s="1"/>
  <c r="O29" i="5"/>
  <c r="P29" i="5" s="1"/>
  <c r="K17" i="5"/>
  <c r="J16" i="5"/>
  <c r="J15" i="5"/>
  <c r="J14" i="5"/>
  <c r="J13" i="5"/>
  <c r="J12" i="5"/>
  <c r="J11" i="5"/>
  <c r="J10" i="5"/>
  <c r="J9" i="5"/>
  <c r="J8" i="5"/>
  <c r="J20" i="5"/>
  <c r="K20" i="5" s="1"/>
  <c r="H32" i="5"/>
  <c r="G5" i="5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Q22" i="5" l="1"/>
  <c r="T22" i="5" s="1"/>
  <c r="Q21" i="5"/>
  <c r="T21" i="5" s="1"/>
  <c r="Q20" i="5"/>
  <c r="Q31" i="5"/>
  <c r="T31" i="5" s="1"/>
  <c r="Q30" i="5"/>
  <c r="T30" i="5" s="1"/>
  <c r="Q29" i="5"/>
  <c r="O17" i="5"/>
  <c r="P17" i="5" s="1"/>
  <c r="K11" i="5"/>
  <c r="K12" i="5"/>
  <c r="K9" i="5"/>
  <c r="K13" i="5"/>
  <c r="K14" i="5"/>
  <c r="K15" i="5"/>
  <c r="K10" i="5"/>
  <c r="K8" i="5"/>
  <c r="K16" i="5"/>
  <c r="L32" i="5"/>
  <c r="K32" i="5"/>
  <c r="H5" i="5"/>
  <c r="T29" i="5" l="1"/>
  <c r="V30" i="5"/>
  <c r="V29" i="5" s="1"/>
  <c r="U30" i="5"/>
  <c r="U29" i="5" s="1"/>
  <c r="T20" i="5"/>
  <c r="U21" i="5"/>
  <c r="U20" i="5" s="1"/>
  <c r="V21" i="5"/>
  <c r="V20" i="5" s="1"/>
  <c r="Q17" i="5"/>
  <c r="Q18" i="5"/>
  <c r="T18" i="5" s="1"/>
  <c r="Q19" i="5"/>
  <c r="T19" i="5" s="1"/>
  <c r="M33" i="5"/>
  <c r="M32" i="5"/>
  <c r="L8" i="5"/>
  <c r="L5" i="5"/>
  <c r="K5" i="5"/>
  <c r="L15" i="5"/>
  <c r="L11" i="5"/>
  <c r="L14" i="5"/>
  <c r="L12" i="5"/>
  <c r="L9" i="5"/>
  <c r="N32" i="5" l="1"/>
  <c r="N33" i="5"/>
  <c r="W30" i="5"/>
  <c r="W29" i="5" s="1"/>
  <c r="W21" i="5"/>
  <c r="W20" i="5" s="1"/>
  <c r="T17" i="5"/>
  <c r="V18" i="5"/>
  <c r="V17" i="5" s="1"/>
  <c r="U18" i="5"/>
  <c r="U17" i="5" s="1"/>
  <c r="M14" i="5"/>
  <c r="N14" i="5" s="1"/>
  <c r="O14" i="5" s="1"/>
  <c r="P14" i="5" s="1"/>
  <c r="M15" i="5"/>
  <c r="N15" i="5" s="1"/>
  <c r="O15" i="5" s="1"/>
  <c r="P15" i="5" s="1"/>
  <c r="O32" i="5"/>
  <c r="M5" i="5"/>
  <c r="N5" i="5" s="1"/>
  <c r="O5" i="5" s="1"/>
  <c r="P5" i="5" s="1"/>
  <c r="M6" i="5"/>
  <c r="N6" i="5" s="1"/>
  <c r="O6" i="5" s="1"/>
  <c r="P6" i="5" s="1"/>
  <c r="M9" i="5"/>
  <c r="N9" i="5" s="1"/>
  <c r="O9" i="5" s="1"/>
  <c r="P9" i="5" s="1"/>
  <c r="M8" i="5"/>
  <c r="N8" i="5" s="1"/>
  <c r="O8" i="5" s="1"/>
  <c r="P8" i="5" s="1"/>
  <c r="M12" i="5"/>
  <c r="N12" i="5" s="1"/>
  <c r="O12" i="5" s="1"/>
  <c r="P12" i="5" s="1"/>
  <c r="M11" i="5"/>
  <c r="N11" i="5" s="1"/>
  <c r="O33" i="5" l="1"/>
  <c r="P32" i="5"/>
  <c r="Q34" i="5" s="1"/>
  <c r="W18" i="5"/>
  <c r="W17" i="5" s="1"/>
  <c r="Q15" i="5"/>
  <c r="T15" i="5" s="1"/>
  <c r="Q16" i="5"/>
  <c r="T16" i="5" s="1"/>
  <c r="Q6" i="5"/>
  <c r="T6" i="5" s="1"/>
  <c r="Q7" i="5"/>
  <c r="T7" i="5" s="1"/>
  <c r="Q8" i="5"/>
  <c r="Q9" i="5"/>
  <c r="T9" i="5" s="1"/>
  <c r="Q10" i="5"/>
  <c r="T10" i="5" s="1"/>
  <c r="O11" i="5"/>
  <c r="P11" i="5" s="1"/>
  <c r="Q33" i="5" l="1"/>
  <c r="T33" i="5" s="1"/>
  <c r="Q32" i="5"/>
  <c r="V33" i="5" s="1"/>
  <c r="T34" i="5"/>
  <c r="P33" i="5"/>
  <c r="T5" i="5"/>
  <c r="V6" i="5"/>
  <c r="U6" i="5"/>
  <c r="T14" i="5"/>
  <c r="V15" i="5"/>
  <c r="V14" i="5" s="1"/>
  <c r="U15" i="5"/>
  <c r="U14" i="5" s="1"/>
  <c r="V9" i="5"/>
  <c r="V8" i="5" s="1"/>
  <c r="T8" i="5"/>
  <c r="U9" i="5"/>
  <c r="U8" i="5" s="1"/>
  <c r="Q11" i="5"/>
  <c r="Q13" i="5"/>
  <c r="T13" i="5" s="1"/>
  <c r="Q12" i="5"/>
  <c r="T12" i="5" s="1"/>
  <c r="T32" i="5" l="1"/>
  <c r="U33" i="5"/>
  <c r="U32" i="5" s="1"/>
  <c r="V32" i="5"/>
  <c r="W33" i="5"/>
  <c r="U5" i="5"/>
  <c r="V5" i="5"/>
  <c r="W15" i="5"/>
  <c r="W14" i="5" s="1"/>
  <c r="T11" i="5"/>
  <c r="V12" i="5"/>
  <c r="V11" i="5" s="1"/>
  <c r="U12" i="5"/>
  <c r="U11" i="5" s="1"/>
  <c r="W6" i="5"/>
  <c r="W5" i="5" s="1"/>
  <c r="W9" i="5"/>
  <c r="W8" i="5" s="1"/>
  <c r="U36" i="5" l="1"/>
  <c r="U37" i="5" s="1"/>
  <c r="W32" i="5"/>
  <c r="W12" i="5"/>
  <c r="W11" i="5" s="1"/>
  <c r="V36" i="5"/>
  <c r="V37" i="5" l="1"/>
  <c r="W36" i="5"/>
  <c r="W37" i="5" s="1"/>
</calcChain>
</file>

<file path=xl/sharedStrings.xml><?xml version="1.0" encoding="utf-8"?>
<sst xmlns="http://schemas.openxmlformats.org/spreadsheetml/2006/main" count="460" uniqueCount="108">
  <si>
    <t>Sum</t>
  </si>
  <si>
    <t>Confidence Rating</t>
  </si>
  <si>
    <t>Final Weighted Measure</t>
  </si>
  <si>
    <t>Switch (4,B)</t>
  </si>
  <si>
    <t>Switch (2,4)</t>
  </si>
  <si>
    <t>Switch (1,2)</t>
  </si>
  <si>
    <t>Spoofability</t>
  </si>
  <si>
    <t>Measurability</t>
  </si>
  <si>
    <t>Variablitiy</t>
  </si>
  <si>
    <t>Metric</t>
  </si>
  <si>
    <t>Route Verification</t>
  </si>
  <si>
    <t>Packet Size</t>
  </si>
  <si>
    <t>Flow Size</t>
  </si>
  <si>
    <t>when measured</t>
  </si>
  <si>
    <t xml:space="preserve">per flow / per run </t>
  </si>
  <si>
    <t>Total Values</t>
  </si>
  <si>
    <t>x*3</t>
  </si>
  <si>
    <t>Packet Lapse Time</t>
  </si>
  <si>
    <t>Flow Lapse Time</t>
  </si>
  <si>
    <t>Packet Duration</t>
  </si>
  <si>
    <t>Flow Duration</t>
  </si>
  <si>
    <t>Hop Count</t>
  </si>
  <si>
    <t>Device Location</t>
  </si>
  <si>
    <t>per device / per run</t>
  </si>
  <si>
    <t>Device Characteristics</t>
  </si>
  <si>
    <t>Packet Arrival Time to Device</t>
  </si>
  <si>
    <t>Average of Packets per Flow</t>
  </si>
  <si>
    <t>Growth of Single Flows</t>
  </si>
  <si>
    <t>Packet Timestamp Comparison</t>
  </si>
  <si>
    <t>Raw Score</t>
  </si>
  <si>
    <t>Run</t>
  </si>
  <si>
    <t>Pre</t>
  </si>
  <si>
    <t>Actual</t>
  </si>
  <si>
    <t>Post</t>
  </si>
  <si>
    <t>Median Bytes per Flow</t>
  </si>
  <si>
    <t xml:space="preserve">Standard Deviation / Average / Median </t>
  </si>
  <si>
    <t>Number of Measurements</t>
  </si>
  <si>
    <t>Flow</t>
  </si>
  <si>
    <t>Ratio of Deviation</t>
  </si>
  <si>
    <t>Raw Score Factors</t>
  </si>
  <si>
    <t>Scoring Sum</t>
  </si>
  <si>
    <t>Standard Deviation (in case of zero)</t>
  </si>
  <si>
    <t>Vmware NSX</t>
  </si>
  <si>
    <t>OpenVSwtich</t>
  </si>
  <si>
    <t>Cisco Nexus 9000</t>
  </si>
  <si>
    <t>Cisco Nexus 9516</t>
  </si>
  <si>
    <t>Cisco Nexus 9508</t>
  </si>
  <si>
    <t>Cisco Nexus 7000</t>
  </si>
  <si>
    <t>HP ProCurve 5400</t>
  </si>
  <si>
    <t>38.891686° -104.801946°</t>
  </si>
  <si>
    <t>HP FlexFabric 12900</t>
  </si>
  <si>
    <t>HP 8200 zl</t>
  </si>
  <si>
    <t>Juniper OCX1100</t>
  </si>
  <si>
    <t>x</t>
  </si>
  <si>
    <t>Total Confidence Rating</t>
  </si>
  <si>
    <t xml:space="preserve">Legend </t>
  </si>
  <si>
    <t>Impact</t>
  </si>
  <si>
    <t>ConfImpact</t>
  </si>
  <si>
    <t>IntegImpact</t>
  </si>
  <si>
    <t>AvailImpact</t>
  </si>
  <si>
    <t>none</t>
  </si>
  <si>
    <t>partial</t>
  </si>
  <si>
    <t>complete</t>
  </si>
  <si>
    <t>assessed</t>
  </si>
  <si>
    <t>SMV</t>
  </si>
  <si>
    <t>BaseScore</t>
  </si>
  <si>
    <t>EnvirScore</t>
  </si>
  <si>
    <t>Range - Lowest Dev.</t>
  </si>
  <si>
    <t>Range - Low Dev.</t>
  </si>
  <si>
    <t>Range - Partial Dev.</t>
  </si>
  <si>
    <t>Range - High Dev.</t>
  </si>
  <si>
    <t>0.1 - 3.9 = Highest Confidence</t>
  </si>
  <si>
    <t>4.0 - 6.9 = High Confidence</t>
  </si>
  <si>
    <t>7.0 - 8.9 = Moderate Confidence</t>
  </si>
  <si>
    <t>9.0 - 10.0 = Low Confidence</t>
  </si>
  <si>
    <t>BaseScore Confidence Rating</t>
  </si>
  <si>
    <t>EnvirScore Confidence Rating</t>
  </si>
  <si>
    <t>Switch (2,3)</t>
  </si>
  <si>
    <t>Switch (3,4)</t>
  </si>
  <si>
    <t>Weighted Confidence Rating</t>
  </si>
  <si>
    <t>Overall Confidence Rating</t>
  </si>
  <si>
    <t>5mb file</t>
  </si>
  <si>
    <t>Transfer Rate</t>
  </si>
  <si>
    <t>test 1</t>
  </si>
  <si>
    <t>test 2</t>
  </si>
  <si>
    <t>test 3</t>
  </si>
  <si>
    <t>test 4</t>
  </si>
  <si>
    <t>test 5</t>
  </si>
  <si>
    <t>test 2 - applied delay to 2nd flow</t>
  </si>
  <si>
    <t>test 1 - applied delay to 1st flow</t>
  </si>
  <si>
    <t>test 3 - applied delay to 3rd flow</t>
  </si>
  <si>
    <t>test 4 - applied delay to 1st &amp; 2nd flow</t>
  </si>
  <si>
    <t>test 5 - applied delay to 2nd &amp; 3rd flow</t>
  </si>
  <si>
    <t>elapsed time to send 5mb file(5242880bytes)</t>
  </si>
  <si>
    <t>test 3 - with 100ms delay 1st flow</t>
  </si>
  <si>
    <t>test 4 - with 100ms delay 2nd &amp; 3rd</t>
  </si>
  <si>
    <t># of Measures</t>
  </si>
  <si>
    <t>Mod.BaseScore</t>
  </si>
  <si>
    <t>Mod.MQ</t>
  </si>
  <si>
    <t>CollateralDamagePotential</t>
  </si>
  <si>
    <t>low</t>
  </si>
  <si>
    <t>low-med</t>
  </si>
  <si>
    <t>med-high</t>
  </si>
  <si>
    <t>high</t>
  </si>
  <si>
    <t>undefined</t>
  </si>
  <si>
    <t>NetworkComplexity</t>
  </si>
  <si>
    <t>ConfidenceScore</t>
  </si>
  <si>
    <t>Switch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</si>
</sst>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5" borderId="0" xfId="0" applyFill="1"/>
    <xf numFmtId="0" fontId="0" fillId="4" borderId="0" xfId="0" applyFill="1"/>
    <xf numFmtId="0" fontId="2" fillId="0" borderId="0" xfId="0" applyFont="1"/>
    <xf numFmtId="0" fontId="3" fillId="0" borderId="0" xfId="0" applyFont="1" applyAlignment="1">
      <alignment wrapText="1"/>
    </xf>
    <xf numFmtId="9" fontId="0" fillId="0" borderId="0" xfId="0" applyNumberFormat="1"/>
    <xf numFmtId="0" fontId="4" fillId="0" borderId="0" xfId="0" applyFont="1"/>
    <xf numFmtId="0" fontId="3" fillId="0" borderId="0" xfId="0" applyFont="1" applyAlignment="1">
      <alignment shrinkToFit="1"/>
    </xf>
    <xf numFmtId="0" fontId="6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7" borderId="0" xfId="0" applyFill="1"/>
    <xf numFmtId="0" fontId="3" fillId="7" borderId="0" xfId="0" applyFont="1" applyFill="1" applyAlignment="1">
      <alignment wrapText="1"/>
    </xf>
    <xf numFmtId="0" fontId="3" fillId="7" borderId="0" xfId="0" applyFont="1" applyFill="1" applyAlignment="1">
      <alignment shrinkToFit="1"/>
    </xf>
    <xf numFmtId="0" fontId="0" fillId="0" borderId="0" xfId="0" applyFill="1"/>
    <xf numFmtId="0" fontId="1" fillId="8" borderId="0" xfId="0" applyFont="1" applyFill="1" applyAlignment="1">
      <alignment vertical="center" wrapText="1"/>
    </xf>
    <xf numFmtId="0" fontId="7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wrapText="1"/>
    </xf>
    <xf numFmtId="0" fontId="0" fillId="9" borderId="0" xfId="0" applyFill="1"/>
    <xf numFmtId="2" fontId="0" fillId="0" borderId="0" xfId="0" applyNumberFormat="1"/>
    <xf numFmtId="2" fontId="0" fillId="7" borderId="0" xfId="0" applyNumberFormat="1" applyFill="1"/>
    <xf numFmtId="0" fontId="1" fillId="0" borderId="0" xfId="0" applyFont="1" applyFill="1" applyAlignment="1">
      <alignment vertical="center" wrapText="1"/>
    </xf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2" fontId="0" fillId="0" borderId="0" xfId="0" applyNumberFormat="1" applyFill="1"/>
    <xf numFmtId="2" fontId="0" fillId="0" borderId="0" xfId="0" applyNumberForma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5" fillId="0" borderId="0" xfId="0" applyNumberFormat="1" applyFont="1" applyFill="1"/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shrinkToFit="1"/>
    </xf>
    <xf numFmtId="164" fontId="0" fillId="0" borderId="0" xfId="0" applyNumberFormat="1"/>
    <xf numFmtId="164" fontId="0" fillId="7" borderId="0" xfId="0" applyNumberFormat="1" applyFill="1"/>
    <xf numFmtId="0" fontId="0" fillId="6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45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ConfidenceScore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5.4</c:v>
                </c:pt>
                <c:pt idx="5">
                  <c:v>5.8</c:v>
                </c:pt>
                <c:pt idx="6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Switch 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100</c:v>
                </c:pt>
                <c:pt idx="6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915336"/>
        <c:axId val="327915728"/>
      </c:lineChart>
      <c:catAx>
        <c:axId val="327915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15728"/>
        <c:crosses val="autoZero"/>
        <c:auto val="1"/>
        <c:lblAlgn val="ctr"/>
        <c:lblOffset val="100"/>
        <c:noMultiLvlLbl val="0"/>
      </c:catAx>
      <c:valAx>
        <c:axId val="3279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1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5.4</c:v>
                </c:pt>
                <c:pt idx="5">
                  <c:v>5.8</c:v>
                </c:pt>
                <c:pt idx="6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917688"/>
        <c:axId val="327910240"/>
      </c:lineChart>
      <c:catAx>
        <c:axId val="327917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10240"/>
        <c:crosses val="autoZero"/>
        <c:auto val="1"/>
        <c:lblAlgn val="ctr"/>
        <c:lblOffset val="100"/>
        <c:noMultiLvlLbl val="0"/>
      </c:catAx>
      <c:valAx>
        <c:axId val="3279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1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ConfidenceScore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5.4</c:v>
                </c:pt>
                <c:pt idx="5">
                  <c:v>5.8</c:v>
                </c:pt>
                <c:pt idx="6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dropLines>
        <c:smooth val="0"/>
        <c:axId val="327912200"/>
        <c:axId val="3279125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Switch Delay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25</c:v>
                      </c:pt>
                      <c:pt idx="5">
                        <c:v>100</c:v>
                      </c:pt>
                      <c:pt idx="6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25</c:v>
                      </c:pt>
                      <c:pt idx="5">
                        <c:v>100</c:v>
                      </c:pt>
                      <c:pt idx="6">
                        <c:v>1000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27912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Malicious</a:t>
                </a:r>
                <a:r>
                  <a:rPr lang="en-US" baseline="0"/>
                  <a:t> NETWORK delay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12592"/>
        <c:crosses val="autoZero"/>
        <c:auto val="1"/>
        <c:lblAlgn val="ctr"/>
        <c:lblOffset val="100"/>
        <c:noMultiLvlLbl val="0"/>
      </c:catAx>
      <c:valAx>
        <c:axId val="3279125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12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28263342082240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ConfidenceScore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5.4</c:v>
                </c:pt>
                <c:pt idx="5">
                  <c:v>5.8</c:v>
                </c:pt>
                <c:pt idx="6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2.8</c:v>
                </c:pt>
                <c:pt idx="2">
                  <c:v>3.4</c:v>
                </c:pt>
                <c:pt idx="3">
                  <c:v>4</c:v>
                </c:pt>
                <c:pt idx="4">
                  <c:v>4.8</c:v>
                </c:pt>
                <c:pt idx="5">
                  <c:v>5.3</c:v>
                </c:pt>
                <c:pt idx="6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91056"/>
        <c:axId val="4542961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Switch Delay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25</c:v>
                      </c:pt>
                      <c:pt idx="5">
                        <c:v>100</c:v>
                      </c:pt>
                      <c:pt idx="6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25</c:v>
                      </c:pt>
                      <c:pt idx="5">
                        <c:v>100</c:v>
                      </c:pt>
                      <c:pt idx="6">
                        <c:v>1000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42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96152"/>
        <c:crosses val="autoZero"/>
        <c:auto val="1"/>
        <c:lblAlgn val="ctr"/>
        <c:lblOffset val="100"/>
        <c:noMultiLvlLbl val="0"/>
      </c:catAx>
      <c:valAx>
        <c:axId val="45429615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910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trlProps/ctrlProp1.xml><?xml version="1.0" encoding="utf-8"?>
<formControlPr xmlns="http://schemas.microsoft.com/office/spreadsheetml/2009/9/main" objectType="Scroll" dx="22" fmlaLink="F20" horiz="1" inc="27" max="66" page="10" val="26"/>
</file>

<file path=xl/ctrlProps/ctrlProp2.xml><?xml version="1.0" encoding="utf-8"?>
<formControlPr xmlns="http://schemas.microsoft.com/office/spreadsheetml/2009/9/main" objectType="Scroll" dx="22" fmlaLink="F20" horiz="1" inc="27" max="66" page="10" val="26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8</xdr:row>
      <xdr:rowOff>152400</xdr:rowOff>
    </xdr:from>
    <xdr:to>
      <xdr:col>17</xdr:col>
      <xdr:colOff>495300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8</xdr:row>
      <xdr:rowOff>152400</xdr:rowOff>
    </xdr:from>
    <xdr:to>
      <xdr:col>17</xdr:col>
      <xdr:colOff>495300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190500</xdr:colOff>
      <xdr:row>8</xdr:row>
      <xdr:rowOff>152400</xdr:rowOff>
    </xdr:from>
    <xdr:to>
      <xdr:col>17</xdr:col>
      <xdr:colOff>495300</xdr:colOff>
      <xdr:row>23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233362</xdr:colOff>
      <xdr:row>11</xdr:row>
      <xdr:rowOff>114300</xdr:rowOff>
    </xdr:from>
    <xdr:to>
      <xdr:col>8</xdr:col>
      <xdr:colOff>538162</xdr:colOff>
      <xdr:row>26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18</xdr:row>
          <xdr:rowOff>171450</xdr:rowOff>
        </xdr:from>
        <xdr:to>
          <xdr:col>7</xdr:col>
          <xdr:colOff>190500</xdr:colOff>
          <xdr:row>19</xdr:row>
          <xdr:rowOff>180975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23</xdr:row>
          <xdr:rowOff>9525</xdr:rowOff>
        </xdr:from>
        <xdr:to>
          <xdr:col>6</xdr:col>
          <xdr:colOff>152400</xdr:colOff>
          <xdr:row>24</xdr:row>
          <xdr:rowOff>19050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T20" sqref="T20"/>
    </sheetView>
  </sheetViews>
  <sheetFormatPr defaultRowHeight="15" x14ac:dyDescent="0.25"/>
  <cols>
    <col min="1" max="1" width="19.7109375" bestFit="1" customWidth="1"/>
    <col min="4" max="4" width="11.85546875" customWidth="1"/>
    <col min="5" max="5" width="11.42578125" customWidth="1"/>
    <col min="6" max="6" width="13.28515625" customWidth="1"/>
    <col min="8" max="8" width="10" customWidth="1"/>
    <col min="15" max="15" width="10.7109375" customWidth="1"/>
    <col min="16" max="16" width="11.28515625" customWidth="1"/>
    <col min="17" max="17" width="10" customWidth="1"/>
    <col min="18" max="20" width="11.42578125" customWidth="1"/>
  </cols>
  <sheetData>
    <row r="1" spans="1:20" x14ac:dyDescent="0.25">
      <c r="A1" t="s">
        <v>93</v>
      </c>
    </row>
    <row r="2" spans="1:20" ht="63" x14ac:dyDescent="0.25">
      <c r="A2" s="18" t="s">
        <v>9</v>
      </c>
      <c r="B2" s="18" t="s">
        <v>30</v>
      </c>
      <c r="C2" s="18" t="s">
        <v>37</v>
      </c>
      <c r="D2" s="18" t="s">
        <v>35</v>
      </c>
      <c r="E2" s="18" t="s">
        <v>41</v>
      </c>
      <c r="F2" s="18" t="s">
        <v>96</v>
      </c>
      <c r="G2" s="18" t="s">
        <v>0</v>
      </c>
      <c r="H2" s="18" t="s">
        <v>38</v>
      </c>
      <c r="I2" s="18" t="s">
        <v>39</v>
      </c>
      <c r="J2" s="18" t="s">
        <v>67</v>
      </c>
      <c r="K2" s="18" t="s">
        <v>68</v>
      </c>
      <c r="L2" s="18" t="s">
        <v>69</v>
      </c>
      <c r="M2" s="18" t="s">
        <v>70</v>
      </c>
      <c r="N2" s="18" t="s">
        <v>29</v>
      </c>
      <c r="O2" s="19" t="s">
        <v>65</v>
      </c>
      <c r="P2" s="19" t="s">
        <v>66</v>
      </c>
      <c r="Q2" s="19" t="s">
        <v>2</v>
      </c>
      <c r="R2" s="19" t="s">
        <v>75</v>
      </c>
      <c r="S2" s="19" t="s">
        <v>76</v>
      </c>
      <c r="T2" s="19" t="s">
        <v>1</v>
      </c>
    </row>
    <row r="3" spans="1:20" ht="15.75" thickBot="1" x14ac:dyDescent="0.3">
      <c r="A3" t="s">
        <v>83</v>
      </c>
      <c r="J3" s="36"/>
      <c r="K3" s="36"/>
      <c r="L3" s="36"/>
      <c r="M3" s="36"/>
    </row>
    <row r="4" spans="1:20" ht="15.75" thickBot="1" x14ac:dyDescent="0.3">
      <c r="A4" s="13" t="s">
        <v>20</v>
      </c>
      <c r="B4" s="13" t="s">
        <v>31</v>
      </c>
      <c r="C4" s="13">
        <v>4.3959999999999999</v>
      </c>
      <c r="D4" s="13">
        <f>_xlfn.STDEV.S(C4,C5,C6)</f>
        <v>2.5166114784235414E-3</v>
      </c>
      <c r="E4" s="13">
        <f t="shared" ref="E4" si="0">IF(D4=0,1,D4)</f>
        <v>2.5166114784235414E-3</v>
      </c>
      <c r="F4" s="13">
        <v>1</v>
      </c>
      <c r="G4" s="13">
        <f>SUM(C4:C6)</f>
        <v>13.180999999999999</v>
      </c>
      <c r="H4" s="13">
        <f t="shared" ref="H4" si="1">G4/E4</f>
        <v>5237.5982995423892</v>
      </c>
      <c r="I4" s="13">
        <f>E4</f>
        <v>2.5166114784235414E-3</v>
      </c>
      <c r="J4" s="37">
        <f>I5-I4*0.25</f>
        <v>4.3933708471303943</v>
      </c>
      <c r="K4" s="37">
        <f>J4-I4*0.66</f>
        <v>4.3917098835546344</v>
      </c>
      <c r="L4" s="37">
        <f>K4-I4*1</f>
        <v>4.389193272076211</v>
      </c>
      <c r="M4" s="37">
        <f>L4-I4*1.5</f>
        <v>4.3854183548585759</v>
      </c>
      <c r="N4" s="13">
        <f>IF((C4)&lt;M4,1,IF(AND(C4&gt;=M4,C4&lt;L4),7.75,IF(AND(C4&gt;=L4,C4&lt;K4),5.5,IF(AND(C4&gt;=K4,C4&lt;J4),3.25,IF(AND(C4&gt;=J4,C4&lt;=J5),1,IF(AND(C4&gt;J5,C4&lt;=K5),3.25,IF(AND(C4&gt;K5,C4&lt;=L5),5.5,IF(AND(C4&gt;L5,C4&lt;=M5),7.75,10))))))))</f>
        <v>3.25</v>
      </c>
      <c r="O4" s="22">
        <f>BaseScore!$G$14</f>
        <v>3.7647008405999998</v>
      </c>
      <c r="P4" s="22">
        <f>EnvirScore!$H$9</f>
        <v>3.5571116567549996</v>
      </c>
      <c r="Q4" s="22">
        <f t="shared" ref="Q4:Q6" si="2">N4+O4+P4</f>
        <v>10.571812497354999</v>
      </c>
      <c r="R4" s="24">
        <f>IF((R5)&gt;9,1,IF(AND(R5&gt;7,R5&lt;=8.99),2,IF(AND(R5&gt;4,R5&lt;=6.99),3,IF(AND(R5&gt;0,R5&lt;=3.99),4,0))))</f>
        <v>2</v>
      </c>
      <c r="S4" s="25">
        <f>IF((S5)&gt;9,1,IF(AND(S5&gt;7,S5&lt;=8.99),2,IF(AND(S5&gt;4,S5&lt;=6.99),3,IF(AND(S5&gt;0,S5&lt;=3.99),4,0))))</f>
        <v>3</v>
      </c>
      <c r="T4" s="26">
        <f>IF((T5)&gt;9,1,IF(AND(T5&gt;7,T5&lt;=8.99),2,IF(AND(T5&gt;4,T5&lt;=6.99),3,IF(AND(T5&gt;0,T5&lt;=3.99),4,0))))</f>
        <v>3</v>
      </c>
    </row>
    <row r="5" spans="1:20" x14ac:dyDescent="0.25">
      <c r="B5" t="s">
        <v>32</v>
      </c>
      <c r="C5">
        <v>4.3940000000000001</v>
      </c>
      <c r="I5">
        <f>MEDIAN(C4:C6)</f>
        <v>4.3940000000000001</v>
      </c>
      <c r="J5" s="36">
        <f>I5+I4*0.25</f>
        <v>4.394629152869606</v>
      </c>
      <c r="K5" s="36">
        <f>J5+I4*0.66</f>
        <v>4.3962901164453658</v>
      </c>
      <c r="L5" s="36">
        <f>K5+I4*1</f>
        <v>4.3988067279237892</v>
      </c>
      <c r="M5" s="36">
        <f>L5+I4*1.5</f>
        <v>4.4025816451414244</v>
      </c>
      <c r="N5">
        <f>IF((C5)&lt;M4,10,IF(AND(C5&gt;=M4,C5&lt;L4),7.75,IF(AND(C5&gt;=L4,C5&lt;K4),5.5,IF(AND(C5&gt;=K4,C5&lt;J4),3.25,IF(AND(C5&gt;=J4,C5&lt;=J5),1,IF(AND(C5&gt;J5,C5&lt;=K5),3.25,IF(AND(C5&gt;K5,C5&lt;=L5),5.5,IF(AND(C5&gt;L5,C5&lt;=M5),7.75,10))))))))</f>
        <v>1</v>
      </c>
      <c r="O5" s="22">
        <f>BaseScore!$G$14</f>
        <v>3.7647008405999998</v>
      </c>
      <c r="P5" s="22">
        <f>EnvirScore!$H$9</f>
        <v>3.5571116567549996</v>
      </c>
      <c r="Q5" s="22">
        <f t="shared" si="2"/>
        <v>8.3218124973549994</v>
      </c>
      <c r="R5" s="31">
        <f>((N4+O4)+(N5+O5)+(N6+O6))/3</f>
        <v>7.0147008405999998</v>
      </c>
      <c r="S5" s="31">
        <f>((N4+P4)+(N5+P5)+(N6+P6))/3</f>
        <v>6.8071116567550005</v>
      </c>
      <c r="T5" s="30">
        <f>(SUM(R5:S5))/2</f>
        <v>6.9109062486775006</v>
      </c>
    </row>
    <row r="6" spans="1:20" x14ac:dyDescent="0.25">
      <c r="B6" t="s">
        <v>33</v>
      </c>
      <c r="C6">
        <v>4.391</v>
      </c>
      <c r="J6" s="36"/>
      <c r="K6" s="36"/>
      <c r="L6" s="36"/>
      <c r="M6" s="36"/>
      <c r="N6">
        <f>IF((C6)&lt;M4,10,IF(AND(C6&gt;=M4,C6&lt;L4),7.75,IF(AND(C6&gt;=L4,C6&lt;K4),5.5,IF(AND(C6&gt;=K4,C6&lt;J4),3.25,IF(AND(C6&gt;=J4,C6&lt;=J5),1,IF(AND(C6&gt;J5,C6&lt;=K5),3.25,IF(AND(C6&gt;K5,C6&lt;=L5),5.5,IF(AND(C6&gt;L5,C6&lt;=M5),7.75,10))))))))</f>
        <v>5.5</v>
      </c>
      <c r="O6" s="22">
        <f>BaseScore!$G$14</f>
        <v>3.7647008405999998</v>
      </c>
      <c r="P6" s="22">
        <f>EnvirScore!$H$9</f>
        <v>3.5571116567549996</v>
      </c>
      <c r="Q6" s="22">
        <f t="shared" si="2"/>
        <v>12.821812497354999</v>
      </c>
      <c r="R6" s="11"/>
      <c r="S6" s="11"/>
      <c r="T6" s="11"/>
    </row>
    <row r="7" spans="1:20" x14ac:dyDescent="0.25">
      <c r="J7" s="36"/>
      <c r="K7" s="36"/>
      <c r="L7" s="36"/>
      <c r="M7" s="36"/>
      <c r="P7" s="30"/>
    </row>
    <row r="8" spans="1:20" ht="15.75" thickBot="1" x14ac:dyDescent="0.3">
      <c r="A8" t="s">
        <v>84</v>
      </c>
      <c r="J8" s="36"/>
      <c r="K8" s="36"/>
      <c r="L8" s="36"/>
      <c r="M8" s="36"/>
      <c r="P8" s="30"/>
    </row>
    <row r="9" spans="1:20" ht="15.75" thickBot="1" x14ac:dyDescent="0.3">
      <c r="A9" s="13" t="s">
        <v>20</v>
      </c>
      <c r="B9" s="13" t="s">
        <v>31</v>
      </c>
      <c r="C9" s="13">
        <v>4.391</v>
      </c>
      <c r="D9" s="13">
        <f>_xlfn.STDEV.S(C9,C10,C11)</f>
        <v>1.1547005383791243E-3</v>
      </c>
      <c r="E9" s="13">
        <f t="shared" ref="E9" si="3">IF(D9=0,1,D9)</f>
        <v>1.1547005383791243E-3</v>
      </c>
      <c r="F9" s="13">
        <v>1</v>
      </c>
      <c r="G9" s="13">
        <f>SUM(C9:C11)</f>
        <v>13.174999999999999</v>
      </c>
      <c r="H9" s="13">
        <f t="shared" ref="H9" si="4">G9/E9</f>
        <v>11409.884694861235</v>
      </c>
      <c r="I9" s="13">
        <f>E9</f>
        <v>1.1547005383791243E-3</v>
      </c>
      <c r="J9" s="37">
        <f>I10-I9*0.25</f>
        <v>4.3907113248654053</v>
      </c>
      <c r="K9" s="37">
        <f>J9-I9*0.66</f>
        <v>4.3899492225100749</v>
      </c>
      <c r="L9" s="37">
        <f>K9-I9*1</f>
        <v>4.3887945219716959</v>
      </c>
      <c r="M9" s="37">
        <f>L9-I9*1.5</f>
        <v>4.3870624711641275</v>
      </c>
      <c r="N9" s="13">
        <f>IF((C9)&lt;M9,1,IF(AND(C9&gt;=M9,C9&lt;L9),7.75,IF(AND(C9&gt;=L9,C9&lt;K9),5.5,IF(AND(C9&gt;=K9,C9&lt;J9),3.25,IF(AND(C9&gt;=J9,C9&lt;=J10),1,IF(AND(C9&gt;J10,C9&lt;=K10),3.25,IF(AND(C9&gt;K10,C9&lt;=L10),5.5,IF(AND(C9&gt;L10,C9&lt;=M10),7.75,10))))))))</f>
        <v>1</v>
      </c>
      <c r="O9" s="22">
        <f>BaseScore!$G$14</f>
        <v>3.7647008405999998</v>
      </c>
      <c r="P9" s="22">
        <f>EnvirScore!$H$9</f>
        <v>3.5571116567549996</v>
      </c>
      <c r="Q9" s="22">
        <f t="shared" ref="Q9:Q11" si="5">N9+O9+P9</f>
        <v>8.3218124973549994</v>
      </c>
      <c r="R9" s="24">
        <f>IF((R10)&gt;9,1,IF(AND(R10&gt;7,R10&lt;=8.9),2,IF(AND(R10&gt;4,R10&lt;=6.9),3,IF(AND(R10&gt;0,R10&lt;=3.9),4,0))))</f>
        <v>3</v>
      </c>
      <c r="S9" s="25">
        <f>IF((S10)&gt;9,1,IF(AND(S10&gt;7,S10&lt;=8.9),2,IF(AND(S10&gt;4,S10&lt;=6.9),3,IF(AND(S10&gt;0,S10&lt;=3.9),4,0))))</f>
        <v>3</v>
      </c>
      <c r="T9" s="26">
        <f>IF((T10)&gt;9,1,IF(AND(T10&gt;7,T10&lt;=8.9),2,IF(AND(T10&gt;4,T10&lt;=6.9),3,IF(AND(T10&gt;0,T10&lt;=3.9),4,0))))</f>
        <v>3</v>
      </c>
    </row>
    <row r="10" spans="1:20" x14ac:dyDescent="0.25">
      <c r="B10" t="s">
        <v>32</v>
      </c>
      <c r="C10">
        <v>4.3929999999999998</v>
      </c>
      <c r="I10">
        <f>MEDIAN(C9:C11)</f>
        <v>4.391</v>
      </c>
      <c r="J10" s="36">
        <f>I10+I9*0.25</f>
        <v>4.3912886751345948</v>
      </c>
      <c r="K10" s="36">
        <f>J10+I9*0.66</f>
        <v>4.3920507774899251</v>
      </c>
      <c r="L10" s="36">
        <f>K10+I9*1</f>
        <v>4.3932054780283041</v>
      </c>
      <c r="M10" s="36">
        <f>L10+I9*1.5</f>
        <v>4.3949375288358725</v>
      </c>
      <c r="N10">
        <f>IF((C10)&lt;M9,10,IF(AND(C10&gt;=M9,C10&lt;L9),7.75,IF(AND(C10&gt;=L9,C10&lt;K9),5.5,IF(AND(C10&gt;=K9,C10&lt;J9),3.25,IF(AND(C10&gt;=J9,C10&lt;=J10),1,IF(AND(C10&gt;J10,C10&lt;=K10),3.25,IF(AND(C10&gt;K10,C10&lt;=L10),5.5,IF(AND(C10&gt;L10,C10&lt;=M10),7.75,10))))))))</f>
        <v>5.5</v>
      </c>
      <c r="O10" s="22">
        <f>BaseScore!$G$14</f>
        <v>3.7647008405999998</v>
      </c>
      <c r="P10" s="22">
        <f>EnvirScore!$H$9</f>
        <v>3.5571116567549996</v>
      </c>
      <c r="Q10" s="22">
        <f t="shared" si="5"/>
        <v>12.821812497354999</v>
      </c>
      <c r="R10" s="31">
        <f>((N9+O9)+(N10+O10)+(N11+O11))/3</f>
        <v>6.2647008405999998</v>
      </c>
      <c r="S10" s="31">
        <f>((N9+P9)+(N10+P10)+(N11+P11))/3</f>
        <v>6.0571116567550005</v>
      </c>
      <c r="T10" s="30">
        <f>(SUM(R10:S10))/2</f>
        <v>6.1609062486775006</v>
      </c>
    </row>
    <row r="11" spans="1:20" x14ac:dyDescent="0.25">
      <c r="B11" t="s">
        <v>33</v>
      </c>
      <c r="C11">
        <v>4.391</v>
      </c>
      <c r="J11" s="36"/>
      <c r="K11" s="36"/>
      <c r="L11" s="36"/>
      <c r="M11" s="36"/>
      <c r="N11">
        <f>IF((C11)&lt;M9,10,IF(AND(C11&gt;=M9,C11&lt;L9),7.75,IF(AND(C11&gt;=L9,C11&lt;K9),5.5,IF(AND(C11&gt;=K9,C11&lt;J9),3.25,IF(AND(C11&gt;=J9,C11&lt;=J10),1,IF(AND(C11&gt;J10,C11&lt;=K10),3.25,IF(AND(C11&gt;K10,C11&lt;=L10),5.5,IF(AND(C11&gt;L10,C11&lt;=M10),7.75,10))))))))</f>
        <v>1</v>
      </c>
      <c r="O11" s="22">
        <f>BaseScore!$G$14</f>
        <v>3.7647008405999998</v>
      </c>
      <c r="P11" s="22">
        <f>EnvirScore!$H$9</f>
        <v>3.5571116567549996</v>
      </c>
      <c r="Q11" s="22">
        <f t="shared" si="5"/>
        <v>8.3218124973549994</v>
      </c>
      <c r="R11" s="11"/>
      <c r="S11" s="11"/>
      <c r="T11" s="11"/>
    </row>
    <row r="12" spans="1:20" x14ac:dyDescent="0.25">
      <c r="J12" s="21"/>
      <c r="K12" s="21"/>
      <c r="L12" s="21"/>
      <c r="M12" s="21"/>
      <c r="P12" s="30"/>
    </row>
    <row r="13" spans="1:20" ht="15.75" thickBot="1" x14ac:dyDescent="0.3">
      <c r="A13" t="s">
        <v>94</v>
      </c>
      <c r="J13" s="21"/>
      <c r="K13" s="21"/>
      <c r="L13" s="21"/>
      <c r="M13" s="21"/>
      <c r="P13" s="30"/>
    </row>
    <row r="14" spans="1:20" ht="15.75" thickBot="1" x14ac:dyDescent="0.3">
      <c r="A14" s="13" t="s">
        <v>20</v>
      </c>
      <c r="B14" s="13" t="s">
        <v>31</v>
      </c>
      <c r="C14" s="13">
        <v>5.4169999999999998</v>
      </c>
      <c r="D14" s="13">
        <f>_xlfn.STDEV.S(C14,C15,C16)</f>
        <v>0.59149725274087728</v>
      </c>
      <c r="E14" s="13">
        <f t="shared" ref="E14" si="6">IF(D14=0,1,D14)</f>
        <v>0.59149725274087728</v>
      </c>
      <c r="F14" s="13">
        <v>1</v>
      </c>
      <c r="G14" s="13">
        <f>SUM(C14:C16)</f>
        <v>14.202</v>
      </c>
      <c r="H14" s="13">
        <f t="shared" ref="H14" si="7">G14/E14</f>
        <v>24.0102552195988</v>
      </c>
      <c r="I14" s="13">
        <f>E14</f>
        <v>0.59149725274087728</v>
      </c>
      <c r="J14" s="37">
        <f>I15-I14*0.25</f>
        <v>4.2461256868147812</v>
      </c>
      <c r="K14" s="37">
        <f>J14-I14*0.66</f>
        <v>3.8557375000058021</v>
      </c>
      <c r="L14" s="37">
        <f>K14-I14*1</f>
        <v>3.264240247264925</v>
      </c>
      <c r="M14" s="37">
        <f>L14-I14*1.5</f>
        <v>2.3769943681536092</v>
      </c>
      <c r="N14" s="13">
        <f>IF((C14)&lt;M14,1,IF(AND(C14&gt;=M14,C14&lt;L14),7.75,IF(AND(C14&gt;=L14,C14&lt;K14),5.5,IF(AND(C14&gt;=K14,C14&lt;J14),3.25,IF(AND(C14&gt;=J14,C14&lt;=J15),1,IF(AND(C14&gt;J15,C14&lt;=K15),3.25,IF(AND(C14&gt;K15,C14&lt;=L15),5.5,IF(AND(C14&gt;L15,C14&lt;=M15),7.75,10))))))))</f>
        <v>5.5</v>
      </c>
      <c r="O14" s="22">
        <f>BaseScore!$G$14</f>
        <v>3.7647008405999998</v>
      </c>
      <c r="P14" s="22">
        <f>EnvirScore!$H$9</f>
        <v>3.5571116567549996</v>
      </c>
      <c r="Q14" s="22">
        <f t="shared" ref="Q14:Q16" si="8">N14+O14+P14</f>
        <v>12.821812497354999</v>
      </c>
      <c r="R14" s="24">
        <f>IF((R15)&gt;9,1,IF(AND(R15&gt;7,R15&lt;=8.99),2,IF(AND(R15&gt;4,R15&lt;=6.99),3,IF(AND(R15&gt;0,R15&lt;=3.99),4,0))))</f>
        <v>3</v>
      </c>
      <c r="S14" s="25">
        <f>IF((S15)&gt;9,1,IF(AND(S15&gt;7,S15&lt;=8.99),2,IF(AND(S15&gt;4,S15&lt;=6.99),3,IF(AND(S15&gt;0,S15&lt;=3.99),4,0))))</f>
        <v>3</v>
      </c>
      <c r="T14" s="26">
        <f>IF((T15)&gt;9,1,IF(AND(T15&gt;7,T15&lt;=8.99),2,IF(AND(T15&gt;4,T15&lt;=6.99),3,IF(AND(T15&gt;0,T15&lt;=3.99),4,0))))</f>
        <v>3</v>
      </c>
    </row>
    <row r="15" spans="1:20" x14ac:dyDescent="0.25">
      <c r="B15" t="s">
        <v>32</v>
      </c>
      <c r="C15">
        <v>4.3940000000000001</v>
      </c>
      <c r="I15">
        <f>MEDIAN(C14:C16)</f>
        <v>4.3940000000000001</v>
      </c>
      <c r="J15" s="36">
        <f>I15+I14*0.25</f>
        <v>4.5418743131852191</v>
      </c>
      <c r="K15" s="36">
        <f>J15+I14*0.66</f>
        <v>4.9322624999941977</v>
      </c>
      <c r="L15" s="36">
        <f>K15+I14*1</f>
        <v>5.5237597527350752</v>
      </c>
      <c r="M15" s="36">
        <f>L15+I14*1.5</f>
        <v>6.4110056318463915</v>
      </c>
      <c r="N15">
        <f>IF((C15)&lt;M14,10,IF(AND(C15&gt;=M14,C15&lt;L14),7.75,IF(AND(C15&gt;=L14,C15&lt;K14),5.5,IF(AND(C15&gt;=K14,C15&lt;J14),3.25,IF(AND(C15&gt;=J14,C15&lt;=J15),1,IF(AND(C15&gt;J15,C15&lt;=K15),3.25,IF(AND(C15&gt;K15,C15&lt;=L15),5.5,IF(AND(C15&gt;L15,C15&lt;=M15),7.75,10))))))))</f>
        <v>1</v>
      </c>
      <c r="O15" s="22">
        <f>BaseScore!$G$14</f>
        <v>3.7647008405999998</v>
      </c>
      <c r="P15" s="22">
        <f>EnvirScore!$H$9</f>
        <v>3.5571116567549996</v>
      </c>
      <c r="Q15" s="22">
        <f t="shared" si="8"/>
        <v>8.3218124973549994</v>
      </c>
      <c r="R15" s="31">
        <f>((N14+O14)+(N15+O15)+(N16+O16))/3</f>
        <v>6.2647008405999998</v>
      </c>
      <c r="S15" s="31">
        <f>((N14+P14)+(N15+P15)+(N16+P16))/3</f>
        <v>6.0571116567550005</v>
      </c>
      <c r="T15" s="30">
        <f>(SUM(R15:S15))/2</f>
        <v>6.1609062486775006</v>
      </c>
    </row>
    <row r="16" spans="1:20" x14ac:dyDescent="0.25">
      <c r="B16" t="s">
        <v>33</v>
      </c>
      <c r="C16">
        <v>4.391</v>
      </c>
      <c r="J16" s="36"/>
      <c r="K16" s="36"/>
      <c r="L16" s="36"/>
      <c r="M16" s="36"/>
      <c r="N16">
        <f>IF((C16)&lt;M14,10,IF(AND(C16&gt;=M14,C16&lt;L14),7.75,IF(AND(C16&gt;=L14,C16&lt;K14),5.5,IF(AND(C16&gt;=K14,C16&lt;J14),3.25,IF(AND(C16&gt;=J14,C16&lt;=J15),1,IF(AND(C16&gt;J15,C16&lt;=K15),3.25,IF(AND(C16&gt;K15,C16&lt;=L15),5.5,IF(AND(C16&gt;L15,C16&lt;=M15),7.75,10))))))))</f>
        <v>1</v>
      </c>
      <c r="O16" s="22">
        <f>BaseScore!$G$14</f>
        <v>3.7647008405999998</v>
      </c>
      <c r="P16" s="22">
        <f>EnvirScore!$H$9</f>
        <v>3.5571116567549996</v>
      </c>
      <c r="Q16" s="22">
        <f t="shared" si="8"/>
        <v>8.3218124973549994</v>
      </c>
      <c r="R16" s="11"/>
      <c r="S16" s="11"/>
      <c r="T16" s="11"/>
    </row>
    <row r="17" spans="1:20" x14ac:dyDescent="0.25">
      <c r="J17" s="36"/>
      <c r="K17" s="36"/>
      <c r="L17" s="36"/>
      <c r="M17" s="36"/>
      <c r="P17" s="30"/>
    </row>
    <row r="18" spans="1:20" ht="15.75" thickBot="1" x14ac:dyDescent="0.3">
      <c r="A18" t="s">
        <v>95</v>
      </c>
      <c r="J18" s="36"/>
      <c r="K18" s="36"/>
      <c r="L18" s="36"/>
      <c r="M18" s="36"/>
      <c r="P18" s="30"/>
    </row>
    <row r="19" spans="1:20" ht="15.75" thickBot="1" x14ac:dyDescent="0.3">
      <c r="A19" s="13" t="s">
        <v>20</v>
      </c>
      <c r="B19" s="13" t="s">
        <v>31</v>
      </c>
      <c r="C19" s="13">
        <v>4.3959999999999999</v>
      </c>
      <c r="D19" s="13">
        <f>_xlfn.STDEV.S(C19,C20,C21)</f>
        <v>0.59091990432996377</v>
      </c>
      <c r="E19" s="13">
        <f t="shared" ref="E19" si="9">IF(D19=0,1,D19)</f>
        <v>0.59091990432996377</v>
      </c>
      <c r="F19" s="13">
        <v>1</v>
      </c>
      <c r="G19" s="13">
        <f>SUM(C19:C21)</f>
        <v>15.234999999999999</v>
      </c>
      <c r="H19" s="13">
        <f t="shared" ref="H19" si="10">G19/E19</f>
        <v>25.781835894112863</v>
      </c>
      <c r="I19" s="13">
        <f>E19</f>
        <v>0.59091990432996377</v>
      </c>
      <c r="J19" s="22">
        <f>I20-I19*0.25</f>
        <v>5.2702700239175089</v>
      </c>
      <c r="K19" s="22">
        <f>J19-I19*0.66</f>
        <v>4.8802628870597324</v>
      </c>
      <c r="L19" s="22">
        <f>K19-I19*1</f>
        <v>4.2893429827297691</v>
      </c>
      <c r="M19" s="22">
        <f>L19-I19*1.5</f>
        <v>3.4029631262348232</v>
      </c>
      <c r="N19" s="13">
        <f>IF((C19)&lt;M19,1,IF(AND(C19&gt;=M19,C19&lt;L19),7.75,IF(AND(C19&gt;=L19,C19&lt;K19),5.5,IF(AND(C19&gt;=K19,C19&lt;J19),3.25,IF(AND(C19&gt;=J19,C19&lt;=J20),1,IF(AND(C19&gt;J20,C19&lt;=K20),3.25,IF(AND(C19&gt;K20,C19&lt;=L20),5.5,IF(AND(C19&gt;L20,C19&lt;=M20),7.75,10))))))))</f>
        <v>5.5</v>
      </c>
      <c r="O19" s="22">
        <f>BaseScore!$G$14</f>
        <v>3.7647008405999998</v>
      </c>
      <c r="P19" s="22">
        <f>EnvirScore!$H$9</f>
        <v>3.5571116567549996</v>
      </c>
      <c r="Q19" s="22">
        <f t="shared" ref="Q19:Q21" si="11">N19+O19+P19</f>
        <v>12.821812497354999</v>
      </c>
      <c r="R19" s="24">
        <f>IF((R20)&gt;9,1,IF(AND(R20&gt;7,R20&lt;=8.9),2,IF(AND(R20&gt;4,R20&lt;=6.9),3,IF(AND(R20&gt;0,R20&lt;=3.9),4,0))))</f>
        <v>3</v>
      </c>
      <c r="S19" s="25">
        <f>IF((S20)&gt;9,1,IF(AND(S20&gt;7,S20&lt;=8.9),2,IF(AND(S20&gt;4,S20&lt;=6.9),3,IF(AND(S20&gt;0,S20&lt;=3.9),4,0))))</f>
        <v>3</v>
      </c>
      <c r="T19" s="26">
        <f>IF((T20)&gt;9,1,IF(AND(T20&gt;7,T20&lt;=8.99),2,IF(AND(T20&gt;4,T20&lt;=6.99),3,IF(AND(T20&gt;0,T20&lt;=3.99),4,0))))</f>
        <v>3</v>
      </c>
    </row>
    <row r="20" spans="1:20" x14ac:dyDescent="0.25">
      <c r="B20" t="s">
        <v>32</v>
      </c>
      <c r="C20">
        <v>5.4210000000000003</v>
      </c>
      <c r="I20">
        <f>MEDIAN(C19:C21)</f>
        <v>5.4180000000000001</v>
      </c>
      <c r="J20" s="21">
        <f>I20+I19*0.25</f>
        <v>5.5657299760824914</v>
      </c>
      <c r="K20" s="21">
        <f>J20+I19*0.66</f>
        <v>5.9557371129402679</v>
      </c>
      <c r="L20" s="21">
        <f>K20+I19*1</f>
        <v>6.5466570172702312</v>
      </c>
      <c r="M20" s="21">
        <f>L20+I19*1.5</f>
        <v>7.4330368737651771</v>
      </c>
      <c r="N20">
        <f>IF((C20)&lt;M19,10,IF(AND(C20&gt;=M19,C20&lt;L19),7.75,IF(AND(C20&gt;=L19,C20&lt;K19),5.5,IF(AND(C20&gt;=K19,C20&lt;J19),3.25,IF(AND(C20&gt;=J19,C20&lt;=J20),1,IF(AND(C20&gt;J20,C20&lt;=K20),3.25,IF(AND(C20&gt;K20,C20&lt;=L20),5.5,IF(AND(C20&gt;L20,C20&lt;=M20),7.75,10))))))))</f>
        <v>1</v>
      </c>
      <c r="O20" s="22">
        <f>BaseScore!$G$14</f>
        <v>3.7647008405999998</v>
      </c>
      <c r="P20" s="22">
        <f>EnvirScore!$H$9</f>
        <v>3.5571116567549996</v>
      </c>
      <c r="Q20" s="22">
        <f t="shared" si="11"/>
        <v>8.3218124973549994</v>
      </c>
      <c r="R20" s="31">
        <f>((N19+O19)+(N20+O20)+(N21+O21))/3</f>
        <v>6.2647008405999998</v>
      </c>
      <c r="S20" s="31">
        <f>((N19+P19)+(N20+P20)+(N21+P21))/3</f>
        <v>6.0571116567550005</v>
      </c>
      <c r="T20" s="30">
        <f>(SUM(R20:S20))/2</f>
        <v>6.1609062486775006</v>
      </c>
    </row>
    <row r="21" spans="1:20" x14ac:dyDescent="0.25">
      <c r="B21" t="s">
        <v>33</v>
      </c>
      <c r="C21">
        <v>5.4180000000000001</v>
      </c>
      <c r="J21" s="21"/>
      <c r="K21" s="21"/>
      <c r="L21" s="21"/>
      <c r="M21" s="21"/>
      <c r="N21">
        <f>IF((C21)&lt;M19,10,IF(AND(C21&gt;=M19,C21&lt;L19),7.75,IF(AND(C21&gt;=L19,C21&lt;K19),5.5,IF(AND(C21&gt;=K19,C21&lt;J19),3.25,IF(AND(C21&gt;=J19,C21&lt;=J20),1,IF(AND(C21&gt;J20,C21&lt;=K20),3.25,IF(AND(C21&gt;K20,C21&lt;=L20),5.5,IF(AND(C21&gt;L20,C21&lt;=M20),7.75,10))))))))</f>
        <v>1</v>
      </c>
      <c r="O21" s="22">
        <f>BaseScore!$G$14</f>
        <v>3.7647008405999998</v>
      </c>
      <c r="P21" s="22">
        <f>EnvirScore!$H$9</f>
        <v>3.5571116567549996</v>
      </c>
      <c r="Q21" s="22">
        <f t="shared" si="11"/>
        <v>8.3218124973549994</v>
      </c>
      <c r="R21" s="11"/>
      <c r="S21" s="11"/>
      <c r="T21" s="11"/>
    </row>
    <row r="22" spans="1:20" x14ac:dyDescent="0.25">
      <c r="J22" s="21"/>
      <c r="K22" s="21"/>
      <c r="L22" s="21"/>
      <c r="M22" s="21"/>
    </row>
  </sheetData>
  <conditionalFormatting sqref="T9">
    <cfRule type="cellIs" dxfId="455" priority="57" operator="equal">
      <formula>1</formula>
    </cfRule>
    <cfRule type="cellIs" dxfId="454" priority="58" operator="equal">
      <formula>2</formula>
    </cfRule>
    <cfRule type="cellIs" dxfId="453" priority="59" operator="equal">
      <formula>3</formula>
    </cfRule>
    <cfRule type="cellIs" dxfId="452" priority="60" operator="equal">
      <formula>4</formula>
    </cfRule>
  </conditionalFormatting>
  <conditionalFormatting sqref="R9">
    <cfRule type="cellIs" dxfId="451" priority="53" operator="equal">
      <formula>1</formula>
    </cfRule>
    <cfRule type="cellIs" dxfId="450" priority="54" operator="equal">
      <formula>2</formula>
    </cfRule>
    <cfRule type="cellIs" dxfId="449" priority="55" operator="equal">
      <formula>3</formula>
    </cfRule>
    <cfRule type="cellIs" dxfId="448" priority="56" operator="equal">
      <formula>4</formula>
    </cfRule>
  </conditionalFormatting>
  <conditionalFormatting sqref="S9">
    <cfRule type="cellIs" dxfId="447" priority="49" operator="equal">
      <formula>1</formula>
    </cfRule>
    <cfRule type="cellIs" dxfId="446" priority="50" operator="equal">
      <formula>2</formula>
    </cfRule>
    <cfRule type="cellIs" dxfId="445" priority="51" operator="equal">
      <formula>3</formula>
    </cfRule>
    <cfRule type="cellIs" dxfId="444" priority="52" operator="equal">
      <formula>4</formula>
    </cfRule>
  </conditionalFormatting>
  <conditionalFormatting sqref="T4">
    <cfRule type="cellIs" dxfId="443" priority="45" operator="equal">
      <formula>1</formula>
    </cfRule>
    <cfRule type="cellIs" dxfId="442" priority="46" operator="equal">
      <formula>2</formula>
    </cfRule>
    <cfRule type="cellIs" dxfId="441" priority="47" operator="equal">
      <formula>3</formula>
    </cfRule>
    <cfRule type="cellIs" dxfId="440" priority="48" operator="equal">
      <formula>4</formula>
    </cfRule>
  </conditionalFormatting>
  <conditionalFormatting sqref="R4">
    <cfRule type="cellIs" dxfId="439" priority="41" operator="equal">
      <formula>1</formula>
    </cfRule>
    <cfRule type="cellIs" dxfId="438" priority="42" operator="equal">
      <formula>2</formula>
    </cfRule>
    <cfRule type="cellIs" dxfId="437" priority="43" operator="equal">
      <formula>3</formula>
    </cfRule>
    <cfRule type="cellIs" dxfId="436" priority="44" operator="equal">
      <formula>4</formula>
    </cfRule>
  </conditionalFormatting>
  <conditionalFormatting sqref="S4">
    <cfRule type="cellIs" dxfId="435" priority="37" operator="equal">
      <formula>1</formula>
    </cfRule>
    <cfRule type="cellIs" dxfId="434" priority="38" operator="equal">
      <formula>2</formula>
    </cfRule>
    <cfRule type="cellIs" dxfId="433" priority="39" operator="equal">
      <formula>3</formula>
    </cfRule>
    <cfRule type="cellIs" dxfId="432" priority="40" operator="equal">
      <formula>4</formula>
    </cfRule>
  </conditionalFormatting>
  <conditionalFormatting sqref="T14">
    <cfRule type="cellIs" dxfId="431" priority="33" operator="equal">
      <formula>1</formula>
    </cfRule>
    <cfRule type="cellIs" dxfId="430" priority="34" operator="equal">
      <formula>2</formula>
    </cfRule>
    <cfRule type="cellIs" dxfId="429" priority="35" operator="equal">
      <formula>3</formula>
    </cfRule>
    <cfRule type="cellIs" dxfId="428" priority="36" operator="equal">
      <formula>4</formula>
    </cfRule>
  </conditionalFormatting>
  <conditionalFormatting sqref="R14">
    <cfRule type="cellIs" dxfId="427" priority="29" operator="equal">
      <formula>1</formula>
    </cfRule>
    <cfRule type="cellIs" dxfId="426" priority="30" operator="equal">
      <formula>2</formula>
    </cfRule>
    <cfRule type="cellIs" dxfId="425" priority="31" operator="equal">
      <formula>3</formula>
    </cfRule>
    <cfRule type="cellIs" dxfId="424" priority="32" operator="equal">
      <formula>4</formula>
    </cfRule>
  </conditionalFormatting>
  <conditionalFormatting sqref="S14">
    <cfRule type="cellIs" dxfId="423" priority="25" operator="equal">
      <formula>1</formula>
    </cfRule>
    <cfRule type="cellIs" dxfId="422" priority="26" operator="equal">
      <formula>2</formula>
    </cfRule>
    <cfRule type="cellIs" dxfId="421" priority="27" operator="equal">
      <formula>3</formula>
    </cfRule>
    <cfRule type="cellIs" dxfId="420" priority="28" operator="equal">
      <formula>4</formula>
    </cfRule>
  </conditionalFormatting>
  <conditionalFormatting sqref="T19">
    <cfRule type="cellIs" dxfId="419" priority="21" operator="equal">
      <formula>1</formula>
    </cfRule>
    <cfRule type="cellIs" dxfId="418" priority="22" operator="equal">
      <formula>2</formula>
    </cfRule>
    <cfRule type="cellIs" dxfId="417" priority="23" operator="equal">
      <formula>3</formula>
    </cfRule>
    <cfRule type="cellIs" dxfId="416" priority="24" operator="equal">
      <formula>4</formula>
    </cfRule>
  </conditionalFormatting>
  <conditionalFormatting sqref="R19">
    <cfRule type="cellIs" dxfId="415" priority="17" operator="equal">
      <formula>1</formula>
    </cfRule>
    <cfRule type="cellIs" dxfId="414" priority="18" operator="equal">
      <formula>2</formula>
    </cfRule>
    <cfRule type="cellIs" dxfId="413" priority="19" operator="equal">
      <formula>3</formula>
    </cfRule>
    <cfRule type="cellIs" dxfId="412" priority="20" operator="equal">
      <formula>4</formula>
    </cfRule>
  </conditionalFormatting>
  <conditionalFormatting sqref="S19">
    <cfRule type="cellIs" dxfId="411" priority="13" operator="equal">
      <formula>1</formula>
    </cfRule>
    <cfRule type="cellIs" dxfId="410" priority="14" operator="equal">
      <formula>2</formula>
    </cfRule>
    <cfRule type="cellIs" dxfId="409" priority="15" operator="equal">
      <formula>3</formula>
    </cfRule>
    <cfRule type="cellIs" dxfId="408" priority="16" operator="equal">
      <formula>4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L13" sqref="L13"/>
    </sheetView>
  </sheetViews>
  <sheetFormatPr defaultRowHeight="15" x14ac:dyDescent="0.25"/>
  <cols>
    <col min="1" max="1" width="19.7109375" bestFit="1" customWidth="1"/>
    <col min="3" max="5" width="12.5703125" customWidth="1"/>
    <col min="6" max="6" width="10.5703125" customWidth="1"/>
    <col min="8" max="8" width="10.28515625" customWidth="1"/>
    <col min="15" max="15" width="11.42578125" customWidth="1"/>
    <col min="16" max="16" width="13.28515625" customWidth="1"/>
    <col min="17" max="17" width="10" customWidth="1"/>
    <col min="18" max="20" width="11.28515625" customWidth="1"/>
  </cols>
  <sheetData>
    <row r="1" spans="1:20" x14ac:dyDescent="0.25">
      <c r="A1" t="s">
        <v>81</v>
      </c>
      <c r="B1" t="s">
        <v>82</v>
      </c>
    </row>
    <row r="2" spans="1:20" ht="63" x14ac:dyDescent="0.25">
      <c r="A2" s="18" t="s">
        <v>9</v>
      </c>
      <c r="B2" s="18" t="s">
        <v>30</v>
      </c>
      <c r="C2" s="18" t="s">
        <v>37</v>
      </c>
      <c r="D2" s="18" t="s">
        <v>35</v>
      </c>
      <c r="E2" s="18" t="s">
        <v>41</v>
      </c>
      <c r="F2" s="18" t="s">
        <v>96</v>
      </c>
      <c r="G2" s="18" t="s">
        <v>0</v>
      </c>
      <c r="H2" s="18" t="s">
        <v>38</v>
      </c>
      <c r="I2" s="18" t="s">
        <v>39</v>
      </c>
      <c r="J2" s="18" t="s">
        <v>67</v>
      </c>
      <c r="K2" s="18" t="s">
        <v>68</v>
      </c>
      <c r="L2" s="18" t="s">
        <v>69</v>
      </c>
      <c r="M2" s="18" t="s">
        <v>70</v>
      </c>
      <c r="N2" s="18" t="s">
        <v>29</v>
      </c>
      <c r="O2" s="19" t="s">
        <v>65</v>
      </c>
      <c r="P2" s="19" t="s">
        <v>66</v>
      </c>
      <c r="Q2" s="19" t="s">
        <v>2</v>
      </c>
      <c r="R2" s="19" t="s">
        <v>75</v>
      </c>
      <c r="S2" s="19" t="s">
        <v>76</v>
      </c>
      <c r="T2" s="19" t="s">
        <v>1</v>
      </c>
    </row>
    <row r="3" spans="1:20" ht="15.75" thickBot="1" x14ac:dyDescent="0.3">
      <c r="A3" t="s">
        <v>83</v>
      </c>
    </row>
    <row r="4" spans="1:20" ht="15.75" thickBot="1" x14ac:dyDescent="0.3">
      <c r="A4" s="13" t="s">
        <v>82</v>
      </c>
      <c r="B4" s="13" t="s">
        <v>31</v>
      </c>
      <c r="C4" s="13">
        <v>9.6</v>
      </c>
      <c r="D4" s="13">
        <f>_xlfn.STDEV.S(C4,C5,C6)</f>
        <v>3.6950417228136086E-2</v>
      </c>
      <c r="E4" s="13">
        <f t="shared" ref="E4" si="0">IF(D4=0,1,D4)</f>
        <v>3.6950417228136086E-2</v>
      </c>
      <c r="F4" s="13">
        <v>1</v>
      </c>
      <c r="G4" s="13">
        <f>SUM(C4:C6)</f>
        <v>28.735999999999997</v>
      </c>
      <c r="H4" s="13">
        <f t="shared" ref="H4" si="1">G4/E4</f>
        <v>777.69081259842505</v>
      </c>
      <c r="I4" s="13">
        <f>E4</f>
        <v>3.6950417228136086E-2</v>
      </c>
      <c r="J4" s="13">
        <f>I5-I4*0.25</f>
        <v>9.5907623956929662</v>
      </c>
      <c r="K4" s="13">
        <f>J4-I4*0.66</f>
        <v>9.5663751203223963</v>
      </c>
      <c r="L4" s="13">
        <f>K4-I4*1</f>
        <v>9.5294247030942607</v>
      </c>
      <c r="M4" s="13">
        <f>L4-I4*1.5</f>
        <v>9.4739990772520564</v>
      </c>
      <c r="N4" s="13">
        <f>IF((C4)&lt;M4,1,IF(AND(C4&gt;=M4,C4&lt;L4),7.75,IF(AND(C4&gt;=L4,C4&lt;K4),5.5,IF(AND(C4&gt;=K4,C4&lt;J4),3.25,IF(AND(C4&gt;=J4,C4&lt;=J5),1,IF(AND(C4&gt;J5,C4&lt;=K5),3.25,IF(AND(C4&gt;K5,C4&lt;=L5),5.5,IF(AND(C4&gt;L5,C4&lt;=M5),7.75,10))))))))</f>
        <v>1</v>
      </c>
      <c r="O4" s="22">
        <f>BaseScore!$G$14</f>
        <v>3.7647008405999998</v>
      </c>
      <c r="P4" s="22">
        <f>EnvirScore!$H$14</f>
        <v>3.4787900567549999</v>
      </c>
      <c r="Q4" s="22">
        <f t="shared" ref="Q4:Q6" si="2">N4+O4+P4</f>
        <v>8.2434908973549987</v>
      </c>
      <c r="R4" s="24">
        <f>IF((R5)&gt;9,1,IF(AND(R5&gt;7,R5&lt;=8.9),2,IF(AND(R5&gt;4,R5&lt;=6.9),3,IF(AND(R5&gt;0,R5&lt;=3.9),4,0))))</f>
        <v>3</v>
      </c>
      <c r="S4" s="25">
        <f>IF((S5)&gt;9,1,IF(AND(S5&gt;7,S5&lt;=8.9),2,IF(AND(S5&gt;4,S5&lt;=6.9),3,IF(AND(S5&gt;0,S5&lt;=3.9),4,0))))</f>
        <v>3</v>
      </c>
      <c r="T4" s="26">
        <f>IF((T5)&gt;9,1,IF(AND(T5&gt;7,T5&lt;=8.9),2,IF(AND(T5&gt;4,T5&lt;=6.9),3,IF(AND(T5&gt;0,T5&lt;=3.9),4,0))))</f>
        <v>3</v>
      </c>
    </row>
    <row r="5" spans="1:20" x14ac:dyDescent="0.25">
      <c r="B5" t="s">
        <v>32</v>
      </c>
      <c r="C5">
        <v>9.5359999999999996</v>
      </c>
      <c r="I5">
        <f>MEDIAN(C4:C6)</f>
        <v>9.6</v>
      </c>
      <c r="J5">
        <f>I5+I4*0.25</f>
        <v>9.6092376043070331</v>
      </c>
      <c r="K5">
        <f>J5+I4*0.66</f>
        <v>9.6336248796776029</v>
      </c>
      <c r="L5">
        <f>K5+I4*1</f>
        <v>9.6705752969057386</v>
      </c>
      <c r="M5">
        <f>L5+I4*1.5</f>
        <v>9.7260009227479429</v>
      </c>
      <c r="N5">
        <f>IF((C5)&lt;M4,10,IF(AND(C5&gt;=M4,C5&lt;L4),7.75,IF(AND(C5&gt;=L4,C5&lt;K4),5.5,IF(AND(C5&gt;=K4,C5&lt;J4),3.25,IF(AND(C5&gt;=J4,C5&lt;=J5),1,IF(AND(C5&gt;J5,C5&lt;=K5),3.25,IF(AND(C5&gt;K5,C5&lt;=L5),5.5,IF(AND(C5&gt;L5,C5&lt;=M5),7.75,10))))))))</f>
        <v>5.5</v>
      </c>
      <c r="O5" s="22">
        <f>BaseScore!$G$14</f>
        <v>3.7647008405999998</v>
      </c>
      <c r="P5" s="22">
        <f>EnvirScore!$H$14</f>
        <v>3.4787900567549999</v>
      </c>
      <c r="Q5" s="22">
        <f t="shared" si="2"/>
        <v>12.743490897354999</v>
      </c>
      <c r="R5" s="31">
        <f>((N4+O4)+(N5+O5)+(N6+O6))/3</f>
        <v>6.2647008405999998</v>
      </c>
      <c r="S5" s="31">
        <f>((N4+P4)+(N5+P5)+(N6+P6))/3</f>
        <v>5.978790056754999</v>
      </c>
      <c r="T5" s="30">
        <f>(SUM(R5:S5))/2</f>
        <v>6.1217454486774994</v>
      </c>
    </row>
    <row r="6" spans="1:20" x14ac:dyDescent="0.25">
      <c r="B6" t="s">
        <v>33</v>
      </c>
      <c r="C6">
        <v>9.6</v>
      </c>
      <c r="N6">
        <f>IF((C6)&lt;M4,10,IF(AND(C6&gt;=M4,C6&lt;L4),7.75,IF(AND(C6&gt;=L4,C6&lt;K4),5.5,IF(AND(C6&gt;=K4,C6&lt;J4),3.25,IF(AND(C6&gt;=J4,C6&lt;=J5),1,IF(AND(C6&gt;J5,C6&lt;=K5),3.25,IF(AND(C6&gt;K5,C6&lt;=L5),5.5,IF(AND(C6&gt;L5,C6&lt;=M5),7.75,10))))))))</f>
        <v>1</v>
      </c>
      <c r="O6" s="22">
        <f>BaseScore!$G$14</f>
        <v>3.7647008405999998</v>
      </c>
      <c r="P6" s="22">
        <f>EnvirScore!$H$14</f>
        <v>3.4787900567549999</v>
      </c>
      <c r="Q6" s="22">
        <f t="shared" si="2"/>
        <v>8.2434908973549987</v>
      </c>
      <c r="R6" s="11"/>
      <c r="S6" s="11"/>
      <c r="T6" s="11"/>
    </row>
    <row r="7" spans="1:20" x14ac:dyDescent="0.25">
      <c r="P7" s="30"/>
    </row>
    <row r="8" spans="1:20" ht="15.75" thickBot="1" x14ac:dyDescent="0.3">
      <c r="A8" t="s">
        <v>84</v>
      </c>
      <c r="P8" s="30"/>
    </row>
    <row r="9" spans="1:20" ht="15.75" thickBot="1" x14ac:dyDescent="0.3">
      <c r="A9" s="13" t="s">
        <v>82</v>
      </c>
      <c r="B9" s="13" t="s">
        <v>31</v>
      </c>
      <c r="C9" s="13">
        <v>9.59</v>
      </c>
      <c r="D9" s="13">
        <f>_xlfn.STDEV.S(C9,C10,C11)</f>
        <v>2.9866369046135724E-2</v>
      </c>
      <c r="E9" s="13">
        <f t="shared" ref="E9" si="3">IF(D9=0,1,D9)</f>
        <v>2.9866369046135724E-2</v>
      </c>
      <c r="F9" s="13">
        <v>1</v>
      </c>
      <c r="G9" s="13">
        <f>SUM(C9:C11)</f>
        <v>28.734000000000002</v>
      </c>
      <c r="H9" s="13">
        <f t="shared" ref="H9" si="4">G9/E9</f>
        <v>962.08548001310407</v>
      </c>
      <c r="I9" s="13">
        <f>E9</f>
        <v>2.9866369046135724E-2</v>
      </c>
      <c r="J9" s="13">
        <f>I10-I9*0.25</f>
        <v>9.5825334077384667</v>
      </c>
      <c r="K9" s="13">
        <f>J9-I9*0.66</f>
        <v>9.5628216041680165</v>
      </c>
      <c r="L9" s="13">
        <f>K9-I9*1</f>
        <v>9.5329552351218805</v>
      </c>
      <c r="M9" s="13">
        <f>L9-I9*1.5</f>
        <v>9.4881556815526764</v>
      </c>
      <c r="N9" s="13">
        <f>IF((C9)&lt;M9,1,IF(AND(C9&gt;=M9,C9&lt;L9),7.75,IF(AND(C9&gt;=L9,C9&lt;K9),5.5,IF(AND(C9&gt;=K9,C9&lt;J9),3.25,IF(AND(C9&gt;=J9,C9&lt;=J10),1,IF(AND(C9&gt;J10,C9&lt;=K10),3.25,IF(AND(C9&gt;K10,C9&lt;=L10),5.5,IF(AND(C9&gt;L10,C9&lt;=M10),7.75,10))))))))</f>
        <v>1</v>
      </c>
      <c r="O9" s="22">
        <f>BaseScore!$G$14</f>
        <v>3.7647008405999998</v>
      </c>
      <c r="P9" s="22">
        <f>EnvirScore!$H$14</f>
        <v>3.4787900567549999</v>
      </c>
      <c r="Q9" s="22">
        <f t="shared" ref="Q9:Q11" si="5">N9+O9+P9</f>
        <v>8.2434908973549987</v>
      </c>
      <c r="R9" s="24">
        <f>IF((R10)&gt;9,1,IF(AND(R10&gt;7,R10&lt;=8.9),2,IF(AND(R10&gt;4,R10&lt;=6.9),3,IF(AND(R10&gt;0,R10&lt;=3.9),4,0))))</f>
        <v>2</v>
      </c>
      <c r="S9" s="25">
        <f>IF((S10)&gt;9,1,IF(AND(S10&gt;7,S10&lt;=8.9),2,IF(AND(S10&gt;4,S10&lt;=6.9),3,IF(AND(S10&gt;0,S10&lt;=3.9),4,0))))</f>
        <v>3</v>
      </c>
      <c r="T9" s="26">
        <f>IF((T10)&gt;9,1,IF(AND(T10&gt;7,T10&lt;=8.9),2,IF(AND(T10&gt;4,T10&lt;=6.9),3,IF(AND(T10&gt;0,T10&lt;=3.9),4,0))))</f>
        <v>3</v>
      </c>
    </row>
    <row r="10" spans="1:20" x14ac:dyDescent="0.25">
      <c r="B10" t="s">
        <v>32</v>
      </c>
      <c r="C10">
        <v>9.5440000000000005</v>
      </c>
      <c r="I10">
        <f>MEDIAN(C9:C11)</f>
        <v>9.59</v>
      </c>
      <c r="J10">
        <f>I10+I9*0.25</f>
        <v>9.597466592261533</v>
      </c>
      <c r="K10">
        <f>J10+I9*0.66</f>
        <v>9.6171783958319832</v>
      </c>
      <c r="L10">
        <f>K10+I9*1</f>
        <v>9.6470447648781192</v>
      </c>
      <c r="M10">
        <f>L10+I9*1.5</f>
        <v>9.6918443184473233</v>
      </c>
      <c r="N10">
        <f>IF((C10)&lt;M9,10,IF(AND(C10&gt;=M9,C10&lt;L9),7.75,IF(AND(C10&gt;=L9,C10&lt;K9),5.5,IF(AND(C10&gt;=K9,C10&lt;J9),3.25,IF(AND(C10&gt;=J9,C10&lt;=J10),1,IF(AND(C10&gt;J10,C10&lt;=K10),3.25,IF(AND(C10&gt;K10,C10&lt;=L10),5.5,IF(AND(C10&gt;L10,C10&lt;=M10),7.75,10))))))))</f>
        <v>5.5</v>
      </c>
      <c r="O10" s="22">
        <f>BaseScore!$G$14</f>
        <v>3.7647008405999998</v>
      </c>
      <c r="P10" s="22">
        <f>EnvirScore!$H$14</f>
        <v>3.4787900567549999</v>
      </c>
      <c r="Q10" s="22">
        <f t="shared" si="5"/>
        <v>12.743490897354999</v>
      </c>
      <c r="R10" s="31">
        <f>((N9+O9)+(N10+O10)+(N11+O11))/3</f>
        <v>7.0147008405999998</v>
      </c>
      <c r="S10" s="31">
        <f>((N9+P9)+(N10+P10)+(N11+P11))/3</f>
        <v>6.728790056754999</v>
      </c>
      <c r="T10" s="30">
        <f>(SUM(R10:S10))/2</f>
        <v>6.8717454486774994</v>
      </c>
    </row>
    <row r="11" spans="1:20" x14ac:dyDescent="0.25">
      <c r="B11" t="s">
        <v>33</v>
      </c>
      <c r="C11">
        <v>9.6</v>
      </c>
      <c r="N11">
        <f>IF((C11)&lt;M9,10,IF(AND(C11&gt;=M9,C11&lt;L9),7.75,IF(AND(C11&gt;=L9,C11&lt;K9),5.5,IF(AND(C11&gt;=K9,C11&lt;J9),3.25,IF(AND(C11&gt;=J9,C11&lt;=J10),1,IF(AND(C11&gt;J10,C11&lt;=K10),3.25,IF(AND(C11&gt;K10,C11&lt;=L10),5.5,IF(AND(C11&gt;L10,C11&lt;=M10),7.75,10))))))))</f>
        <v>3.25</v>
      </c>
      <c r="O11" s="22">
        <f>BaseScore!$G$14</f>
        <v>3.7647008405999998</v>
      </c>
      <c r="P11" s="22">
        <f>EnvirScore!$H$14</f>
        <v>3.4787900567549999</v>
      </c>
      <c r="Q11" s="22">
        <f t="shared" si="5"/>
        <v>10.493490897354999</v>
      </c>
      <c r="R11" s="11"/>
      <c r="S11" s="11"/>
      <c r="T11" s="11"/>
    </row>
    <row r="12" spans="1:20" x14ac:dyDescent="0.25">
      <c r="P12" s="30"/>
    </row>
    <row r="13" spans="1:20" ht="15.75" thickBot="1" x14ac:dyDescent="0.3">
      <c r="A13" t="s">
        <v>85</v>
      </c>
      <c r="P13" s="30"/>
    </row>
    <row r="14" spans="1:20" ht="15.75" thickBot="1" x14ac:dyDescent="0.3">
      <c r="A14" s="13" t="s">
        <v>82</v>
      </c>
      <c r="B14" s="13" t="s">
        <v>31</v>
      </c>
      <c r="C14" s="13">
        <v>9.6</v>
      </c>
      <c r="D14" s="13">
        <f>_xlfn.STDEV.S(C14,C15,C16)</f>
        <v>2.7712812921102059E-2</v>
      </c>
      <c r="E14" s="13">
        <f t="shared" ref="E14" si="6">IF(D14=0,1,D14)</f>
        <v>2.7712812921102059E-2</v>
      </c>
      <c r="F14" s="13">
        <v>1</v>
      </c>
      <c r="G14" s="13">
        <f>SUM(C14:C16)</f>
        <v>28.752000000000002</v>
      </c>
      <c r="H14" s="13">
        <f t="shared" ref="H14" si="7">G14/E14</f>
        <v>1037.4984337337567</v>
      </c>
      <c r="I14" s="13">
        <f>E14</f>
        <v>2.7712812921102059E-2</v>
      </c>
      <c r="J14" s="13">
        <f>I15-I14*0.25</f>
        <v>9.5930717967697241</v>
      </c>
      <c r="K14" s="13">
        <f>J14-I14*0.66</f>
        <v>9.5747813402417972</v>
      </c>
      <c r="L14" s="13">
        <f>K14-I14*1</f>
        <v>9.547068527320695</v>
      </c>
      <c r="M14" s="13">
        <f>L14-I14*1.5</f>
        <v>9.5054993079390417</v>
      </c>
      <c r="N14" s="13">
        <f>IF((C14)&lt;M14,1,IF(AND(C14&gt;=M14,C14&lt;L14),7.75,IF(AND(C14&gt;=L14,C14&lt;K14),5.5,IF(AND(C14&gt;=K14,C14&lt;J14),3.25,IF(AND(C14&gt;=J14,C14&lt;=J15),1,IF(AND(C14&gt;J15,C14&lt;=K15),3.25,IF(AND(C14&gt;K15,C14&lt;=L15),5.5,IF(AND(C14&gt;L15,C14&lt;=M15),7.75,10))))))))</f>
        <v>1</v>
      </c>
      <c r="O14" s="22">
        <f>BaseScore!$G$14</f>
        <v>3.7647008405999998</v>
      </c>
      <c r="P14" s="22">
        <f>EnvirScore!$H$14</f>
        <v>3.4787900567549999</v>
      </c>
      <c r="Q14" s="22">
        <f t="shared" ref="Q14:Q16" si="8">N14+O14+P14</f>
        <v>8.2434908973549987</v>
      </c>
      <c r="R14" s="24">
        <f>IF((R15)&gt;9,1,IF(AND(R15&gt;7,R15&lt;=8.9),2,IF(AND(R15&gt;4,R15&lt;=6.9),3,IF(AND(R15&gt;0,R15&lt;=3.9),4,0))))</f>
        <v>3</v>
      </c>
      <c r="S14" s="25">
        <f>IF((S15)&gt;9,1,IF(AND(S15&gt;7,S15&lt;=8.9),2,IF(AND(S15&gt;4,S15&lt;=6.9),3,IF(AND(S15&gt;0,S15&lt;=3.9),4,0))))</f>
        <v>3</v>
      </c>
      <c r="T14" s="26">
        <f>IF((T15)&gt;9,1,IF(AND(T15&gt;7,T15&lt;=8.9),2,IF(AND(T15&gt;4,T15&lt;=6.9),3,IF(AND(T15&gt;0,T15&lt;=3.9),4,0))))</f>
        <v>3</v>
      </c>
    </row>
    <row r="15" spans="1:20" x14ac:dyDescent="0.25">
      <c r="B15" t="s">
        <v>32</v>
      </c>
      <c r="C15">
        <v>9.5519999999999996</v>
      </c>
      <c r="I15">
        <f>MEDIAN(C14:C16)</f>
        <v>9.6</v>
      </c>
      <c r="J15">
        <f>I15+I14*0.25</f>
        <v>9.6069282032302752</v>
      </c>
      <c r="K15">
        <f>J15+I14*0.66</f>
        <v>9.6252186597582021</v>
      </c>
      <c r="L15">
        <f>K15+I14*1</f>
        <v>9.6529314726793043</v>
      </c>
      <c r="M15">
        <f>L15+I14*1.5</f>
        <v>9.6945006920609575</v>
      </c>
      <c r="N15">
        <f>IF((C15)&lt;M14,10,IF(AND(C15&gt;=M14,C15&lt;L14),7.75,IF(AND(C15&gt;=L14,C15&lt;K14),5.5,IF(AND(C15&gt;=K14,C15&lt;J14),3.25,IF(AND(C15&gt;=J14,C15&lt;=J15),1,IF(AND(C15&gt;J15,C15&lt;=K15),3.25,IF(AND(C15&gt;K15,C15&lt;=L15),5.5,IF(AND(C15&gt;L15,C15&lt;=M15),7.75,10))))))))</f>
        <v>5.5</v>
      </c>
      <c r="O15" s="22">
        <f>BaseScore!$G$14</f>
        <v>3.7647008405999998</v>
      </c>
      <c r="P15" s="22">
        <f>EnvirScore!$H$14</f>
        <v>3.4787900567549999</v>
      </c>
      <c r="Q15" s="22">
        <f t="shared" si="8"/>
        <v>12.743490897354999</v>
      </c>
      <c r="R15" s="31">
        <f>((N14+O14)+(N15+O15)+(N16+O16))/3</f>
        <v>6.2647008405999998</v>
      </c>
      <c r="S15" s="31">
        <f>((N14+P14)+(N15+P15)+(N16+P16))/3</f>
        <v>5.978790056754999</v>
      </c>
      <c r="T15" s="30">
        <f>(SUM(R15:S15))/2</f>
        <v>6.1217454486774994</v>
      </c>
    </row>
    <row r="16" spans="1:20" x14ac:dyDescent="0.25">
      <c r="B16" t="s">
        <v>33</v>
      </c>
      <c r="C16">
        <v>9.6</v>
      </c>
      <c r="N16">
        <f>IF((C16)&lt;M14,10,IF(AND(C16&gt;=M14,C16&lt;L14),7.75,IF(AND(C16&gt;=L14,C16&lt;K14),5.5,IF(AND(C16&gt;=K14,C16&lt;J14),3.25,IF(AND(C16&gt;=J14,C16&lt;=J15),1,IF(AND(C16&gt;J15,C16&lt;=K15),3.25,IF(AND(C16&gt;K15,C16&lt;=L15),5.5,IF(AND(C16&gt;L15,C16&lt;=M15),7.75,10))))))))</f>
        <v>1</v>
      </c>
      <c r="O16" s="22">
        <f>BaseScore!$G$14</f>
        <v>3.7647008405999998</v>
      </c>
      <c r="P16" s="22">
        <f>EnvirScore!$H$14</f>
        <v>3.4787900567549999</v>
      </c>
      <c r="Q16" s="22">
        <f t="shared" si="8"/>
        <v>8.2434908973549987</v>
      </c>
      <c r="R16" s="11"/>
      <c r="S16" s="11"/>
      <c r="T16" s="11"/>
    </row>
    <row r="17" spans="1:20" x14ac:dyDescent="0.25">
      <c r="P17" s="30"/>
    </row>
    <row r="18" spans="1:20" ht="15.75" thickBot="1" x14ac:dyDescent="0.3">
      <c r="A18" t="s">
        <v>86</v>
      </c>
      <c r="P18" s="30"/>
    </row>
    <row r="19" spans="1:20" ht="15.75" thickBot="1" x14ac:dyDescent="0.3">
      <c r="A19" s="13" t="s">
        <v>82</v>
      </c>
      <c r="B19" s="13" t="s">
        <v>31</v>
      </c>
      <c r="C19" s="13">
        <v>9.58</v>
      </c>
      <c r="D19" s="13">
        <f>_xlfn.STDEV.S(C19,C20,C21)</f>
        <v>2.8378395538389938E-2</v>
      </c>
      <c r="E19" s="13">
        <f t="shared" ref="E19" si="9">IF(D19=0,1,D19)</f>
        <v>2.8378395538389938E-2</v>
      </c>
      <c r="F19" s="13">
        <v>1</v>
      </c>
      <c r="G19" s="13">
        <f>SUM(C19:C21)</f>
        <v>28.724000000000004</v>
      </c>
      <c r="H19" s="13">
        <f t="shared" ref="H19" si="10">G19/E19</f>
        <v>1012.1784355687952</v>
      </c>
      <c r="I19" s="13">
        <f>E19</f>
        <v>2.8378395538389938E-2</v>
      </c>
      <c r="J19" s="13">
        <f>I20-I19*0.25</f>
        <v>9.5729054011154027</v>
      </c>
      <c r="K19" s="13">
        <f>J19-I19*0.66</f>
        <v>9.554175660060066</v>
      </c>
      <c r="L19" s="13">
        <f>K19-I19*1</f>
        <v>9.5257972645216764</v>
      </c>
      <c r="M19" s="13">
        <f>L19-I19*1.5</f>
        <v>9.483229671214092</v>
      </c>
      <c r="N19" s="13">
        <f>IF((C19)&lt;M19,1,IF(AND(C19&gt;=M19,C19&lt;L19),7.75,IF(AND(C19&gt;=L19,C19&lt;K19),5.5,IF(AND(C19&gt;=K19,C19&lt;J19),3.25,IF(AND(C19&gt;=J19,C19&lt;=J20),1,IF(AND(C19&gt;J20,C19&lt;=K20),3.25,IF(AND(C19&gt;K20,C19&lt;=L20),5.5,IF(AND(C19&gt;L20,C19&lt;=M20),7.75,10))))))))</f>
        <v>1</v>
      </c>
      <c r="O19" s="22">
        <f>BaseScore!$G$14</f>
        <v>3.7647008405999998</v>
      </c>
      <c r="P19" s="22">
        <f>EnvirScore!$H$14</f>
        <v>3.4787900567549999</v>
      </c>
      <c r="Q19" s="22">
        <f t="shared" ref="Q19:Q21" si="11">N19+O19+P19</f>
        <v>8.2434908973549987</v>
      </c>
      <c r="R19" s="24">
        <f>IF((R20)&gt;9,1,IF(AND(R20&gt;7,R20&lt;=8.9),2,IF(AND(R20&gt;4,R20&lt;=6.9),3,IF(AND(R20&gt;0,R20&lt;=3.9),4,0))))</f>
        <v>2</v>
      </c>
      <c r="S19" s="25">
        <f>IF((S20)&gt;9,1,IF(AND(S20&gt;7,S20&lt;=8.9),2,IF(AND(S20&gt;4,S20&lt;=6.9),3,IF(AND(S20&gt;0,S20&lt;=3.9),4,0))))</f>
        <v>3</v>
      </c>
      <c r="T19" s="26">
        <f>IF((T20)&gt;9,1,IF(AND(T20&gt;7,T20&lt;=8.9),2,IF(AND(T20&gt;4,T20&lt;=6.9),3,IF(AND(T20&gt;0,T20&lt;=3.9),4,0))))</f>
        <v>3</v>
      </c>
    </row>
    <row r="20" spans="1:20" x14ac:dyDescent="0.25">
      <c r="B20" t="s">
        <v>32</v>
      </c>
      <c r="C20">
        <v>9.5440000000000005</v>
      </c>
      <c r="I20">
        <f>MEDIAN(C19:C21)</f>
        <v>9.58</v>
      </c>
      <c r="J20">
        <f>I20+I19*0.25</f>
        <v>9.5870945988845975</v>
      </c>
      <c r="K20">
        <f>J20+I19*0.66</f>
        <v>9.6058243399399341</v>
      </c>
      <c r="L20">
        <f>K20+I19*1</f>
        <v>9.6342027354783237</v>
      </c>
      <c r="M20">
        <f>L20+I19*1.5</f>
        <v>9.6767703287859081</v>
      </c>
      <c r="N20">
        <f>IF((C20)&lt;M19,10,IF(AND(C20&gt;=M19,C20&lt;L19),7.75,IF(AND(C20&gt;=L19,C20&lt;K19),5.5,IF(AND(C20&gt;=K19,C20&lt;J19),3.25,IF(AND(C20&gt;=J19,C20&lt;=J20),1,IF(AND(C20&gt;J20,C20&lt;=K20),3.25,IF(AND(C20&gt;K20,C20&lt;=L20),5.5,IF(AND(C20&gt;L20,C20&lt;=M20),7.75,10))))))))</f>
        <v>5.5</v>
      </c>
      <c r="O20" s="22">
        <f>BaseScore!$G$14</f>
        <v>3.7647008405999998</v>
      </c>
      <c r="P20" s="22">
        <f>EnvirScore!$H$14</f>
        <v>3.4787900567549999</v>
      </c>
      <c r="Q20" s="22">
        <f t="shared" si="11"/>
        <v>12.743490897354999</v>
      </c>
      <c r="R20" s="31">
        <f>((N19+O19)+(N20+O20)+(N21+O21))/3</f>
        <v>7.0147008405999998</v>
      </c>
      <c r="S20" s="31">
        <f>((N19+P19)+(N20+P20)+(N21+P21))/3</f>
        <v>6.728790056754999</v>
      </c>
      <c r="T20" s="30">
        <f>(SUM(R20:S20))/2</f>
        <v>6.8717454486774994</v>
      </c>
    </row>
    <row r="21" spans="1:20" x14ac:dyDescent="0.25">
      <c r="B21" t="s">
        <v>33</v>
      </c>
      <c r="C21">
        <v>9.6</v>
      </c>
      <c r="N21">
        <f>IF((C21)&lt;M19,10,IF(AND(C21&gt;=M19,C21&lt;L19),7.75,IF(AND(C21&gt;=L19,C21&lt;K19),5.5,IF(AND(C21&gt;=K19,C21&lt;J19),3.25,IF(AND(C21&gt;=J19,C21&lt;=J20),1,IF(AND(C21&gt;J20,C21&lt;=K20),3.25,IF(AND(C21&gt;K20,C21&lt;=L20),5.5,IF(AND(C21&gt;L20,C21&lt;=M20),7.75,10))))))))</f>
        <v>3.25</v>
      </c>
      <c r="O21" s="22">
        <f>BaseScore!$G$14</f>
        <v>3.7647008405999998</v>
      </c>
      <c r="P21" s="22">
        <f>EnvirScore!$H$14</f>
        <v>3.4787900567549999</v>
      </c>
      <c r="Q21" s="22">
        <f t="shared" si="11"/>
        <v>10.493490897354999</v>
      </c>
      <c r="R21" s="11"/>
      <c r="S21" s="11"/>
      <c r="T21" s="11"/>
    </row>
    <row r="22" spans="1:20" x14ac:dyDescent="0.25">
      <c r="P22" s="30"/>
    </row>
    <row r="23" spans="1:20" ht="15.75" thickBot="1" x14ac:dyDescent="0.3">
      <c r="A23" t="s">
        <v>87</v>
      </c>
      <c r="P23" s="30"/>
    </row>
    <row r="24" spans="1:20" ht="15.75" thickBot="1" x14ac:dyDescent="0.3">
      <c r="A24" s="13" t="s">
        <v>82</v>
      </c>
      <c r="B24" s="13" t="s">
        <v>31</v>
      </c>
      <c r="C24" s="13">
        <v>9.58</v>
      </c>
      <c r="D24" s="13">
        <f>_xlfn.STDEV.S(C24,C25,C26)</f>
        <v>2.4110855093366881E-2</v>
      </c>
      <c r="E24" s="13">
        <f t="shared" ref="E24" si="12">IF(D24=0,1,D24)</f>
        <v>2.4110855093366881E-2</v>
      </c>
      <c r="F24" s="13">
        <v>1</v>
      </c>
      <c r="G24" s="13">
        <f>SUM(C24:C26)</f>
        <v>28.731999999999999</v>
      </c>
      <c r="H24" s="13">
        <f t="shared" ref="H24" si="13">G24/E24</f>
        <v>1191.6624229517449</v>
      </c>
      <c r="I24" s="13">
        <f>E24</f>
        <v>2.4110855093366881E-2</v>
      </c>
      <c r="J24" s="13">
        <f>I25-I24*0.25</f>
        <v>9.5739722862266579</v>
      </c>
      <c r="K24" s="13">
        <f>J24-I24*0.66</f>
        <v>9.5580591218650355</v>
      </c>
      <c r="L24" s="13">
        <f>K24-I24*1</f>
        <v>9.5339482667716684</v>
      </c>
      <c r="M24" s="13">
        <f>L24-I24*1.5</f>
        <v>9.4977819841316187</v>
      </c>
      <c r="N24" s="13">
        <f>IF((C24)&lt;M24,1,IF(AND(C24&gt;=M24,C24&lt;L24),7.75,IF(AND(C24&gt;=L24,C24&lt;K24),5.5,IF(AND(C24&gt;=K24,C24&lt;J24),3.25,IF(AND(C24&gt;=J24,C24&lt;=J25),1,IF(AND(C24&gt;J25,C24&lt;=K25),3.25,IF(AND(C24&gt;K25,C24&lt;=L25),5.5,IF(AND(C24&gt;L25,C24&lt;=M25),7.75,10))))))))</f>
        <v>1</v>
      </c>
      <c r="O24" s="22">
        <f>BaseScore!$G$14</f>
        <v>3.7647008405999998</v>
      </c>
      <c r="P24" s="22">
        <f>EnvirScore!$H$14</f>
        <v>3.4787900567549999</v>
      </c>
      <c r="Q24" s="22">
        <f t="shared" ref="Q24:Q26" si="14">N24+O24+P24</f>
        <v>8.2434908973549987</v>
      </c>
      <c r="R24" s="24">
        <f>IF((R25)&gt;9,1,IF(AND(R25&gt;7,R25&lt;=8.9),2,IF(AND(R25&gt;4,R25&lt;=6.9),3,IF(AND(R25&gt;0,R25&lt;=3.9),4,0))))</f>
        <v>2</v>
      </c>
      <c r="S24" s="25">
        <f>IF((S25)&gt;9,1,IF(AND(S25&gt;7,S25&lt;=8.9),2,IF(AND(S25&gt;4,S25&lt;=6.9),3,IF(AND(S25&gt;0,S25&lt;=3.9),4,0))))</f>
        <v>3</v>
      </c>
      <c r="T24" s="26">
        <f>IF((T25)&gt;9,1,IF(AND(T25&gt;7,T25&lt;=8.9),2,IF(AND(T25&gt;4,T25&lt;=6.9),3,IF(AND(T25&gt;0,T25&lt;=3.9),4,0))))</f>
        <v>3</v>
      </c>
    </row>
    <row r="25" spans="1:20" x14ac:dyDescent="0.25">
      <c r="B25" t="s">
        <v>32</v>
      </c>
      <c r="C25">
        <v>9.5519999999999996</v>
      </c>
      <c r="I25">
        <f>MEDIAN(C24:C26)</f>
        <v>9.58</v>
      </c>
      <c r="J25">
        <f>I25+I24*0.25</f>
        <v>9.5860277137733423</v>
      </c>
      <c r="K25">
        <f>J25+I24*0.66</f>
        <v>9.6019408781349647</v>
      </c>
      <c r="L25">
        <f>K25+I24*1</f>
        <v>9.6260517332283317</v>
      </c>
      <c r="M25">
        <f>L25+I24*1.5</f>
        <v>9.6622180158683815</v>
      </c>
      <c r="N25">
        <f>IF((C25)&lt;M24,10,IF(AND(C25&gt;=M24,C25&lt;L24),7.75,IF(AND(C25&gt;=L24,C25&lt;K24),5.5,IF(AND(C25&gt;=K24,C25&lt;J24),3.25,IF(AND(C25&gt;=J24,C25&lt;=J25),1,IF(AND(C25&gt;J25,C25&lt;=K25),3.25,IF(AND(C25&gt;K25,C25&lt;=L25),5.5,IF(AND(C25&gt;L25,C25&lt;=M25),7.75,10))))))))</f>
        <v>5.5</v>
      </c>
      <c r="O25" s="22">
        <f>BaseScore!$G$14</f>
        <v>3.7647008405999998</v>
      </c>
      <c r="P25" s="22">
        <f>EnvirScore!$H$14</f>
        <v>3.4787900567549999</v>
      </c>
      <c r="Q25" s="22">
        <f t="shared" si="14"/>
        <v>12.743490897354999</v>
      </c>
      <c r="R25" s="31">
        <f>((N24+O24)+(N25+O25)+(N26+O26))/3</f>
        <v>7.0147008405999998</v>
      </c>
      <c r="S25" s="31">
        <f>((N24+P24)+(N25+P25)+(N26+P26))/3</f>
        <v>6.728790056754999</v>
      </c>
      <c r="T25" s="30">
        <f>(SUM(R25:S25))/2</f>
        <v>6.8717454486774994</v>
      </c>
    </row>
    <row r="26" spans="1:20" x14ac:dyDescent="0.25">
      <c r="B26" t="s">
        <v>33</v>
      </c>
      <c r="C26">
        <v>9.6</v>
      </c>
      <c r="N26">
        <f>IF((C26)&lt;M24,10,IF(AND(C26&gt;=M24,C26&lt;L24),7.75,IF(AND(C26&gt;=L24,C26&lt;K24),5.5,IF(AND(C26&gt;=K24,C26&lt;J24),3.25,IF(AND(C26&gt;=J24,C26&lt;=J25),1,IF(AND(C26&gt;J25,C26&lt;=K25),3.25,IF(AND(C26&gt;K25,C26&lt;=L25),5.5,IF(AND(C26&gt;L25,C26&lt;=M25),7.75,10))))))))</f>
        <v>3.25</v>
      </c>
      <c r="O26" s="22">
        <f>BaseScore!$G$14</f>
        <v>3.7647008405999998</v>
      </c>
      <c r="P26" s="22">
        <f>EnvirScore!$H$14</f>
        <v>3.4787900567549999</v>
      </c>
      <c r="Q26" s="22">
        <f t="shared" si="14"/>
        <v>10.493490897354999</v>
      </c>
      <c r="R26" s="11"/>
      <c r="S26" s="11"/>
      <c r="T26" s="11"/>
    </row>
  </sheetData>
  <conditionalFormatting sqref="T19">
    <cfRule type="cellIs" dxfId="407" priority="21" operator="equal">
      <formula>1</formula>
    </cfRule>
    <cfRule type="cellIs" dxfId="406" priority="22" operator="equal">
      <formula>2</formula>
    </cfRule>
    <cfRule type="cellIs" dxfId="405" priority="23" operator="equal">
      <formula>3</formula>
    </cfRule>
    <cfRule type="cellIs" dxfId="404" priority="24" operator="equal">
      <formula>4</formula>
    </cfRule>
  </conditionalFormatting>
  <conditionalFormatting sqref="R19">
    <cfRule type="cellIs" dxfId="403" priority="17" operator="equal">
      <formula>1</formula>
    </cfRule>
    <cfRule type="cellIs" dxfId="402" priority="18" operator="equal">
      <formula>2</formula>
    </cfRule>
    <cfRule type="cellIs" dxfId="401" priority="19" operator="equal">
      <formula>3</formula>
    </cfRule>
    <cfRule type="cellIs" dxfId="400" priority="20" operator="equal">
      <formula>4</formula>
    </cfRule>
  </conditionalFormatting>
  <conditionalFormatting sqref="S19">
    <cfRule type="cellIs" dxfId="399" priority="13" operator="equal">
      <formula>1</formula>
    </cfRule>
    <cfRule type="cellIs" dxfId="398" priority="14" operator="equal">
      <formula>2</formula>
    </cfRule>
    <cfRule type="cellIs" dxfId="397" priority="15" operator="equal">
      <formula>3</formula>
    </cfRule>
    <cfRule type="cellIs" dxfId="396" priority="16" operator="equal">
      <formula>4</formula>
    </cfRule>
  </conditionalFormatting>
  <conditionalFormatting sqref="S24">
    <cfRule type="cellIs" dxfId="395" priority="1" operator="equal">
      <formula>1</formula>
    </cfRule>
    <cfRule type="cellIs" dxfId="394" priority="2" operator="equal">
      <formula>2</formula>
    </cfRule>
    <cfRule type="cellIs" dxfId="393" priority="3" operator="equal">
      <formula>3</formula>
    </cfRule>
    <cfRule type="cellIs" dxfId="392" priority="4" operator="equal">
      <formula>4</formula>
    </cfRule>
  </conditionalFormatting>
  <conditionalFormatting sqref="T9">
    <cfRule type="cellIs" dxfId="391" priority="57" operator="equal">
      <formula>1</formula>
    </cfRule>
    <cfRule type="cellIs" dxfId="390" priority="58" operator="equal">
      <formula>2</formula>
    </cfRule>
    <cfRule type="cellIs" dxfId="389" priority="59" operator="equal">
      <formula>3</formula>
    </cfRule>
    <cfRule type="cellIs" dxfId="388" priority="60" operator="equal">
      <formula>4</formula>
    </cfRule>
  </conditionalFormatting>
  <conditionalFormatting sqref="R9">
    <cfRule type="cellIs" dxfId="387" priority="53" operator="equal">
      <formula>1</formula>
    </cfRule>
    <cfRule type="cellIs" dxfId="386" priority="54" operator="equal">
      <formula>2</formula>
    </cfRule>
    <cfRule type="cellIs" dxfId="385" priority="55" operator="equal">
      <formula>3</formula>
    </cfRule>
    <cfRule type="cellIs" dxfId="384" priority="56" operator="equal">
      <formula>4</formula>
    </cfRule>
  </conditionalFormatting>
  <conditionalFormatting sqref="S9">
    <cfRule type="cellIs" dxfId="383" priority="49" operator="equal">
      <formula>1</formula>
    </cfRule>
    <cfRule type="cellIs" dxfId="382" priority="50" operator="equal">
      <formula>2</formula>
    </cfRule>
    <cfRule type="cellIs" dxfId="381" priority="51" operator="equal">
      <formula>3</formula>
    </cfRule>
    <cfRule type="cellIs" dxfId="380" priority="52" operator="equal">
      <formula>4</formula>
    </cfRule>
  </conditionalFormatting>
  <conditionalFormatting sqref="T4">
    <cfRule type="cellIs" dxfId="379" priority="45" operator="equal">
      <formula>1</formula>
    </cfRule>
    <cfRule type="cellIs" dxfId="378" priority="46" operator="equal">
      <formula>2</formula>
    </cfRule>
    <cfRule type="cellIs" dxfId="377" priority="47" operator="equal">
      <formula>3</formula>
    </cfRule>
    <cfRule type="cellIs" dxfId="376" priority="48" operator="equal">
      <formula>4</formula>
    </cfRule>
  </conditionalFormatting>
  <conditionalFormatting sqref="R4">
    <cfRule type="cellIs" dxfId="375" priority="41" operator="equal">
      <formula>1</formula>
    </cfRule>
    <cfRule type="cellIs" dxfId="374" priority="42" operator="equal">
      <formula>2</formula>
    </cfRule>
    <cfRule type="cellIs" dxfId="373" priority="43" operator="equal">
      <formula>3</formula>
    </cfRule>
    <cfRule type="cellIs" dxfId="372" priority="44" operator="equal">
      <formula>4</formula>
    </cfRule>
  </conditionalFormatting>
  <conditionalFormatting sqref="S4">
    <cfRule type="cellIs" dxfId="371" priority="37" operator="equal">
      <formula>1</formula>
    </cfRule>
    <cfRule type="cellIs" dxfId="370" priority="38" operator="equal">
      <formula>2</formula>
    </cfRule>
    <cfRule type="cellIs" dxfId="369" priority="39" operator="equal">
      <formula>3</formula>
    </cfRule>
    <cfRule type="cellIs" dxfId="368" priority="40" operator="equal">
      <formula>4</formula>
    </cfRule>
  </conditionalFormatting>
  <conditionalFormatting sqref="T14">
    <cfRule type="cellIs" dxfId="367" priority="33" operator="equal">
      <formula>1</formula>
    </cfRule>
    <cfRule type="cellIs" dxfId="366" priority="34" operator="equal">
      <formula>2</formula>
    </cfRule>
    <cfRule type="cellIs" dxfId="365" priority="35" operator="equal">
      <formula>3</formula>
    </cfRule>
    <cfRule type="cellIs" dxfId="364" priority="36" operator="equal">
      <formula>4</formula>
    </cfRule>
  </conditionalFormatting>
  <conditionalFormatting sqref="R14">
    <cfRule type="cellIs" dxfId="363" priority="29" operator="equal">
      <formula>1</formula>
    </cfRule>
    <cfRule type="cellIs" dxfId="362" priority="30" operator="equal">
      <formula>2</formula>
    </cfRule>
    <cfRule type="cellIs" dxfId="361" priority="31" operator="equal">
      <formula>3</formula>
    </cfRule>
    <cfRule type="cellIs" dxfId="360" priority="32" operator="equal">
      <formula>4</formula>
    </cfRule>
  </conditionalFormatting>
  <conditionalFormatting sqref="S14">
    <cfRule type="cellIs" dxfId="359" priority="25" operator="equal">
      <formula>1</formula>
    </cfRule>
    <cfRule type="cellIs" dxfId="358" priority="26" operator="equal">
      <formula>2</formula>
    </cfRule>
    <cfRule type="cellIs" dxfId="357" priority="27" operator="equal">
      <formula>3</formula>
    </cfRule>
    <cfRule type="cellIs" dxfId="356" priority="28" operator="equal">
      <formula>4</formula>
    </cfRule>
  </conditionalFormatting>
  <conditionalFormatting sqref="T24">
    <cfRule type="cellIs" dxfId="355" priority="9" operator="equal">
      <formula>1</formula>
    </cfRule>
    <cfRule type="cellIs" dxfId="354" priority="10" operator="equal">
      <formula>2</formula>
    </cfRule>
    <cfRule type="cellIs" dxfId="353" priority="11" operator="equal">
      <formula>3</formula>
    </cfRule>
    <cfRule type="cellIs" dxfId="352" priority="12" operator="equal">
      <formula>4</formula>
    </cfRule>
  </conditionalFormatting>
  <conditionalFormatting sqref="R24">
    <cfRule type="cellIs" dxfId="351" priority="5" operator="equal">
      <formula>1</formula>
    </cfRule>
    <cfRule type="cellIs" dxfId="350" priority="6" operator="equal">
      <formula>2</formula>
    </cfRule>
    <cfRule type="cellIs" dxfId="349" priority="7" operator="equal">
      <formula>3</formula>
    </cfRule>
    <cfRule type="cellIs" dxfId="348" priority="8" operator="equal">
      <formula>4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P22" sqref="P22:P23"/>
    </sheetView>
  </sheetViews>
  <sheetFormatPr defaultRowHeight="15" x14ac:dyDescent="0.25"/>
  <cols>
    <col min="1" max="1" width="19.7109375" bestFit="1" customWidth="1"/>
    <col min="4" max="6" width="11.28515625" customWidth="1"/>
    <col min="8" max="8" width="10.7109375" customWidth="1"/>
    <col min="15" max="15" width="11.85546875" customWidth="1"/>
    <col min="16" max="16" width="12" customWidth="1"/>
    <col min="17" max="17" width="10.42578125" customWidth="1"/>
    <col min="18" max="20" width="11.85546875" customWidth="1"/>
  </cols>
  <sheetData>
    <row r="1" spans="1:20" x14ac:dyDescent="0.25">
      <c r="A1" t="s">
        <v>81</v>
      </c>
      <c r="B1" t="s">
        <v>82</v>
      </c>
    </row>
    <row r="2" spans="1:20" ht="63" x14ac:dyDescent="0.25">
      <c r="A2" s="18" t="s">
        <v>9</v>
      </c>
      <c r="B2" s="18" t="s">
        <v>30</v>
      </c>
      <c r="C2" s="18" t="s">
        <v>37</v>
      </c>
      <c r="D2" s="18" t="s">
        <v>35</v>
      </c>
      <c r="E2" s="18" t="s">
        <v>41</v>
      </c>
      <c r="F2" s="18" t="s">
        <v>96</v>
      </c>
      <c r="G2" s="18" t="s">
        <v>0</v>
      </c>
      <c r="H2" s="18" t="s">
        <v>38</v>
      </c>
      <c r="I2" s="18" t="s">
        <v>39</v>
      </c>
      <c r="J2" s="18" t="s">
        <v>67</v>
      </c>
      <c r="K2" s="18" t="s">
        <v>68</v>
      </c>
      <c r="L2" s="18" t="s">
        <v>69</v>
      </c>
      <c r="M2" s="18" t="s">
        <v>70</v>
      </c>
      <c r="N2" s="18" t="s">
        <v>29</v>
      </c>
      <c r="O2" s="19" t="s">
        <v>65</v>
      </c>
      <c r="P2" s="19" t="s">
        <v>66</v>
      </c>
      <c r="Q2" s="19" t="s">
        <v>2</v>
      </c>
      <c r="R2" s="19" t="s">
        <v>75</v>
      </c>
      <c r="S2" s="19" t="s">
        <v>76</v>
      </c>
      <c r="T2" s="19" t="s">
        <v>1</v>
      </c>
    </row>
    <row r="3" spans="1:20" ht="15.75" thickBot="1" x14ac:dyDescent="0.3">
      <c r="A3" t="s">
        <v>89</v>
      </c>
    </row>
    <row r="4" spans="1:20" ht="15.75" thickBot="1" x14ac:dyDescent="0.3">
      <c r="A4" s="13" t="s">
        <v>82</v>
      </c>
      <c r="B4" s="13" t="s">
        <v>31</v>
      </c>
      <c r="C4" s="13">
        <v>6.1</v>
      </c>
      <c r="D4" s="13">
        <f>_xlfn.STDEV.S(C4,C5,C6)</f>
        <v>2.0025064294528518</v>
      </c>
      <c r="E4" s="13">
        <f t="shared" ref="E4" si="0">IF(D4=0,1,D4)</f>
        <v>2.0025064294528518</v>
      </c>
      <c r="F4" s="13">
        <v>1</v>
      </c>
      <c r="G4" s="13">
        <f>SUM(C4:C6)</f>
        <v>25.235999999999997</v>
      </c>
      <c r="H4" s="13">
        <f t="shared" ref="H4" si="1">G4/E4</f>
        <v>12.602206728941825</v>
      </c>
      <c r="I4" s="13">
        <f>E4</f>
        <v>2.0025064294528518</v>
      </c>
      <c r="J4" s="13">
        <f>I5-I4*0.25</f>
        <v>9.035373392636787</v>
      </c>
      <c r="K4" s="13">
        <f>J4-I4*0.66</f>
        <v>7.7137191491979049</v>
      </c>
      <c r="L4" s="13">
        <f>K4-I4*1</f>
        <v>5.7112127197450526</v>
      </c>
      <c r="M4" s="13">
        <f>L4-I4*1.5</f>
        <v>2.7074530755657751</v>
      </c>
      <c r="N4" s="13">
        <f>IF((C4)&lt;M4,1,IF(AND(C4&gt;=M4,C4&lt;L4),7.75,IF(AND(C4&gt;=L4,C4&lt;K4),5.5,IF(AND(C4&gt;=K4,C4&lt;J4),3.25,IF(AND(C4&gt;=J4,C4&lt;=J5),1,IF(AND(C4&gt;J5,C4&lt;=K5),3.25,IF(AND(C4&gt;K5,C4&lt;=L5),5.5,IF(AND(C4&gt;L5,C4&lt;=M5),7.75,10))))))))</f>
        <v>5.5</v>
      </c>
      <c r="O4" s="22">
        <f>BaseScore!$G$14</f>
        <v>3.7647008405999998</v>
      </c>
      <c r="P4" s="22">
        <f>EnvirScore!$H$14</f>
        <v>3.4787900567549999</v>
      </c>
      <c r="Q4" s="22">
        <f t="shared" ref="Q4:Q6" si="2">N4+O4+P4</f>
        <v>12.743490897354999</v>
      </c>
      <c r="R4" s="24">
        <f>IF((R5)&gt;9,1,IF(AND(R5&gt;7,R5&lt;=8.9),2,IF(AND(R5&gt;4,R5&lt;=6.9),3,IF(AND(R5&gt;0,R5&lt;=3.9),4,0))))</f>
        <v>3</v>
      </c>
      <c r="S4" s="25">
        <f>IF((S5)&gt;9,1,IF(AND(S5&gt;7,S5&lt;=8.9),2,IF(AND(S5&gt;4,S5&lt;=6.9),3,IF(AND(S5&gt;0,S5&lt;=3.9),4,0))))</f>
        <v>3</v>
      </c>
      <c r="T4" s="26">
        <f>IF((T5)&gt;9,1,IF(AND(T5&gt;7,T5&lt;=8.9),2,IF(AND(T5&gt;4,T5&lt;=6.9),3,IF(AND(T5&gt;0,T5&lt;=3.9),4,0))))</f>
        <v>3</v>
      </c>
    </row>
    <row r="5" spans="1:20" x14ac:dyDescent="0.25">
      <c r="B5" t="s">
        <v>32</v>
      </c>
      <c r="C5">
        <v>9.5359999999999996</v>
      </c>
      <c r="I5">
        <f>MEDIAN(C4:C6)</f>
        <v>9.5359999999999996</v>
      </c>
      <c r="J5">
        <f>I5+I4*0.25</f>
        <v>10.036626607363212</v>
      </c>
      <c r="K5">
        <f>J5+I4*0.66</f>
        <v>11.358280850802094</v>
      </c>
      <c r="L5">
        <f>K5+I4*1</f>
        <v>13.360787280254947</v>
      </c>
      <c r="M5">
        <f>L5+I4*1.5</f>
        <v>16.364546924434222</v>
      </c>
      <c r="N5">
        <f>IF((C5)&lt;M4,10,IF(AND(C5&gt;=M4,C5&lt;L4),7.75,IF(AND(C5&gt;=L4,C5&lt;K4),5.5,IF(AND(C5&gt;=K4,C5&lt;J4),3.25,IF(AND(C5&gt;=J4,C5&lt;=J5),1,IF(AND(C5&gt;J5,C5&lt;=K5),3.25,IF(AND(C5&gt;K5,C5&lt;=L5),5.5,IF(AND(C5&gt;L5,C5&lt;=M5),7.75,10))))))))</f>
        <v>1</v>
      </c>
      <c r="O5" s="22">
        <f>BaseScore!$G$14</f>
        <v>3.7647008405999998</v>
      </c>
      <c r="P5" s="22">
        <f>EnvirScore!$H$14</f>
        <v>3.4787900567549999</v>
      </c>
      <c r="Q5" s="22">
        <f t="shared" si="2"/>
        <v>8.2434908973549987</v>
      </c>
      <c r="R5" s="31">
        <f>((N4+O4)+(N5+O5)+(N6+O6))/3</f>
        <v>6.2647008405999998</v>
      </c>
      <c r="S5" s="31">
        <f>((N4+P4)+(N5+P5)+(N6+P6))/3</f>
        <v>5.978790056754999</v>
      </c>
      <c r="T5" s="30">
        <f>(SUM(R5:S5))/2</f>
        <v>6.1217454486774994</v>
      </c>
    </row>
    <row r="6" spans="1:20" x14ac:dyDescent="0.25">
      <c r="B6" t="s">
        <v>33</v>
      </c>
      <c r="C6">
        <v>9.6</v>
      </c>
      <c r="N6">
        <f>IF((C6)&lt;M4,10,IF(AND(C6&gt;=M4,C6&lt;L4),7.75,IF(AND(C6&gt;=L4,C6&lt;K4),5.5,IF(AND(C6&gt;=K4,C6&lt;J4),3.25,IF(AND(C6&gt;=J4,C6&lt;=J5),1,IF(AND(C6&gt;J5,C6&lt;=K5),3.25,IF(AND(C6&gt;K5,C6&lt;=L5),5.5,IF(AND(C6&gt;L5,C6&lt;=M5),7.75,10))))))))</f>
        <v>1</v>
      </c>
      <c r="O6" s="22">
        <f>BaseScore!$G$14</f>
        <v>3.7647008405999998</v>
      </c>
      <c r="P6" s="22">
        <f>EnvirScore!$H$14</f>
        <v>3.4787900567549999</v>
      </c>
      <c r="Q6" s="22">
        <f t="shared" si="2"/>
        <v>8.2434908973549987</v>
      </c>
      <c r="R6" s="11"/>
      <c r="S6" s="11"/>
      <c r="T6" s="11"/>
    </row>
    <row r="7" spans="1:20" x14ac:dyDescent="0.25">
      <c r="P7" s="30"/>
    </row>
    <row r="8" spans="1:20" ht="15.75" thickBot="1" x14ac:dyDescent="0.3">
      <c r="A8" t="s">
        <v>88</v>
      </c>
      <c r="P8" s="30"/>
    </row>
    <row r="9" spans="1:20" ht="15.75" thickBot="1" x14ac:dyDescent="0.3">
      <c r="A9" s="13" t="s">
        <v>82</v>
      </c>
      <c r="B9" s="13" t="s">
        <v>31</v>
      </c>
      <c r="C9" s="13">
        <v>9.59</v>
      </c>
      <c r="D9" s="13">
        <f>_xlfn.STDEV.S(C9,C10,C11)</f>
        <v>1.0727284527471679</v>
      </c>
      <c r="E9" s="13">
        <f t="shared" ref="E9" si="3">IF(D9=0,1,D9)</f>
        <v>1.0727284527471679</v>
      </c>
      <c r="F9" s="13">
        <v>1</v>
      </c>
      <c r="G9" s="13">
        <f>SUM(C9:C11)</f>
        <v>26.927</v>
      </c>
      <c r="H9" s="13">
        <f t="shared" ref="H9" si="4">G9/E9</f>
        <v>25.10141306594619</v>
      </c>
      <c r="I9" s="13">
        <f>E9</f>
        <v>1.0727284527471679</v>
      </c>
      <c r="J9" s="13">
        <f>I10-I9*0.25</f>
        <v>9.3218178868132071</v>
      </c>
      <c r="K9" s="13">
        <f>J9-I9*0.66</f>
        <v>8.6138171080000756</v>
      </c>
      <c r="L9" s="13">
        <f>K9-I9*1</f>
        <v>7.5410886552529082</v>
      </c>
      <c r="M9" s="13">
        <f>L9-I9*1.5</f>
        <v>5.9319959761321561</v>
      </c>
      <c r="N9" s="13">
        <f>IF((C9)&lt;M9,1,IF(AND(C9&gt;=M9,C9&lt;L9),7.75,IF(AND(C9&gt;=L9,C9&lt;K9),5.5,IF(AND(C9&gt;=K9,C9&lt;J9),3.25,IF(AND(C9&gt;=J9,C9&lt;=J10),1,IF(AND(C9&gt;J10,C9&lt;=K10),3.25,IF(AND(C9&gt;K10,C9&lt;=L10),5.5,IF(AND(C9&gt;L10,C9&lt;=M10),7.75,10))))))))</f>
        <v>1</v>
      </c>
      <c r="O9" s="22">
        <f>BaseScore!$G$14</f>
        <v>3.7647008405999998</v>
      </c>
      <c r="P9" s="22">
        <f>EnvirScore!$H$14</f>
        <v>3.4787900567549999</v>
      </c>
      <c r="Q9" s="22">
        <f t="shared" ref="Q9:Q11" si="5">N9+O9+P9</f>
        <v>8.2434908973549987</v>
      </c>
      <c r="R9" s="24">
        <f>IF((R10)&gt;9,1,IF(AND(R10&gt;7,R10&lt;=8.9),2,IF(AND(R10&gt;4,R10&lt;=6.9),3,IF(AND(R10&gt;0,R10&lt;=3.9),4,0))))</f>
        <v>3</v>
      </c>
      <c r="S9" s="25">
        <f>IF((S10)&gt;9,1,IF(AND(S10&gt;7,S10&lt;=8.9),2,IF(AND(S10&gt;4,S10&lt;=6.9),3,IF(AND(S10&gt;0,S10&lt;=3.9),4,0))))</f>
        <v>3</v>
      </c>
      <c r="T9" s="26">
        <f>IF((T10)&gt;9,1,IF(AND(T10&gt;7,T10&lt;=8.9),2,IF(AND(T10&gt;4,T10&lt;=6.9),3,IF(AND(T10&gt;0,T10&lt;=3.9),4,0))))</f>
        <v>3</v>
      </c>
    </row>
    <row r="10" spans="1:20" x14ac:dyDescent="0.25">
      <c r="B10" t="s">
        <v>32</v>
      </c>
      <c r="C10">
        <v>7.7370000000000001</v>
      </c>
      <c r="I10">
        <f>MEDIAN(C9:C11)</f>
        <v>9.59</v>
      </c>
      <c r="J10">
        <f>I10+I9*0.25</f>
        <v>9.8581821131867926</v>
      </c>
      <c r="K10">
        <f>J10+I9*0.66</f>
        <v>10.566182891999924</v>
      </c>
      <c r="L10">
        <f>K10+I9*1</f>
        <v>11.638911344747092</v>
      </c>
      <c r="M10">
        <f>L10+I9*1.5</f>
        <v>13.248004023867843</v>
      </c>
      <c r="N10">
        <f>IF((C10)&lt;M9,10,IF(AND(C10&gt;=M9,C10&lt;L9),7.75,IF(AND(C10&gt;=L9,C10&lt;K9),5.5,IF(AND(C10&gt;=K9,C10&lt;J9),3.25,IF(AND(C10&gt;=J9,C10&lt;=J10),1,IF(AND(C10&gt;J10,C10&lt;=K10),3.25,IF(AND(C10&gt;K10,C10&lt;=L10),5.5,IF(AND(C10&gt;L10,C10&lt;=M10),7.75,10))))))))</f>
        <v>5.5</v>
      </c>
      <c r="O10" s="22">
        <f>BaseScore!$G$14</f>
        <v>3.7647008405999998</v>
      </c>
      <c r="P10" s="22">
        <f>EnvirScore!$H$14</f>
        <v>3.4787900567549999</v>
      </c>
      <c r="Q10" s="22">
        <f t="shared" si="5"/>
        <v>12.743490897354999</v>
      </c>
      <c r="R10" s="31">
        <f>((N9+O9)+(N10+O10)+(N11+O11))/3</f>
        <v>6.2647008405999998</v>
      </c>
      <c r="S10" s="31">
        <f>((N9+P9)+(N10+P10)+(N11+P11))/3</f>
        <v>5.978790056754999</v>
      </c>
      <c r="T10" s="30">
        <f>(SUM(R10:S10))/2</f>
        <v>6.1217454486774994</v>
      </c>
    </row>
    <row r="11" spans="1:20" x14ac:dyDescent="0.25">
      <c r="B11" t="s">
        <v>33</v>
      </c>
      <c r="C11">
        <v>9.6</v>
      </c>
      <c r="N11">
        <f>IF((C11)&lt;M9,10,IF(AND(C11&gt;=M9,C11&lt;L9),7.75,IF(AND(C11&gt;=L9,C11&lt;K9),5.5,IF(AND(C11&gt;=K9,C11&lt;J9),3.25,IF(AND(C11&gt;=J9,C11&lt;=J10),1,IF(AND(C11&gt;J10,C11&lt;=K10),3.25,IF(AND(C11&gt;K10,C11&lt;=L10),5.5,IF(AND(C11&gt;L10,C11&lt;=M10),7.75,10))))))))</f>
        <v>1</v>
      </c>
      <c r="O11" s="22">
        <f>BaseScore!$G$14</f>
        <v>3.7647008405999998</v>
      </c>
      <c r="P11" s="22">
        <f>EnvirScore!$H$14</f>
        <v>3.4787900567549999</v>
      </c>
      <c r="Q11" s="22">
        <f t="shared" si="5"/>
        <v>8.2434908973549987</v>
      </c>
      <c r="R11" s="11"/>
      <c r="S11" s="11"/>
      <c r="T11" s="11"/>
    </row>
    <row r="12" spans="1:20" x14ac:dyDescent="0.25">
      <c r="P12" s="30"/>
    </row>
    <row r="13" spans="1:20" ht="15.75" thickBot="1" x14ac:dyDescent="0.3">
      <c r="A13" t="s">
        <v>90</v>
      </c>
      <c r="P13" s="30"/>
    </row>
    <row r="14" spans="1:20" ht="15.75" thickBot="1" x14ac:dyDescent="0.3">
      <c r="A14" s="13" t="s">
        <v>82</v>
      </c>
      <c r="B14" s="13" t="s">
        <v>31</v>
      </c>
      <c r="C14" s="22">
        <v>9.6</v>
      </c>
      <c r="D14" s="13">
        <f>_xlfn.STDEV.S(C14,C15,C16)</f>
        <v>2.0070130376590258</v>
      </c>
      <c r="E14" s="13">
        <f t="shared" ref="E14" si="6">IF(D14=0,1,D14)</f>
        <v>2.0070130376590258</v>
      </c>
      <c r="F14" s="13">
        <v>1</v>
      </c>
      <c r="G14" s="13">
        <f>SUM(C14:C16)</f>
        <v>25.252000000000002</v>
      </c>
      <c r="H14" s="13">
        <f t="shared" ref="H14" si="7">G14/E14</f>
        <v>12.581881395974319</v>
      </c>
      <c r="I14" s="13">
        <f>E14</f>
        <v>2.0070130376590258</v>
      </c>
      <c r="J14" s="13">
        <f>I15-I14*0.25</f>
        <v>9.0502467405852425</v>
      </c>
      <c r="K14" s="13">
        <f>J14-I14*0.66</f>
        <v>7.7256181357302856</v>
      </c>
      <c r="L14" s="13">
        <f>K14-I14*1</f>
        <v>5.7186050980712597</v>
      </c>
      <c r="M14" s="13">
        <f>L14-I14*1.5</f>
        <v>2.708085541582721</v>
      </c>
      <c r="N14" s="13">
        <f>IF((C14)&lt;M14,1,IF(AND(C14&gt;=M14,C14&lt;L14),7.75,IF(AND(C14&gt;=L14,C14&lt;K14),5.5,IF(AND(C14&gt;=K14,C14&lt;J14),3.25,IF(AND(C14&gt;=J14,C14&lt;=J15),1,IF(AND(C14&gt;J15,C14&lt;=K15),3.25,IF(AND(C14&gt;K15,C14&lt;=L15),5.5,IF(AND(C14&gt;L15,C14&lt;=M15),7.75,10))))))))</f>
        <v>1</v>
      </c>
      <c r="O14" s="22">
        <f>BaseScore!$G$14</f>
        <v>3.7647008405999998</v>
      </c>
      <c r="P14" s="22">
        <f>EnvirScore!$H$14</f>
        <v>3.4787900567549999</v>
      </c>
      <c r="Q14" s="22">
        <f t="shared" ref="Q14:Q16" si="8">N14+O14+P14</f>
        <v>8.2434908973549987</v>
      </c>
      <c r="R14" s="24">
        <f>IF((R15)&gt;9,1,IF(AND(R15&gt;7,R15&lt;=8.9),2,IF(AND(R15&gt;4,R15&lt;=6.9),3,IF(AND(R15&gt;0,R15&lt;=3.9),4,0))))</f>
        <v>3</v>
      </c>
      <c r="S14" s="25">
        <f>IF((S15)&gt;9,1,IF(AND(S15&gt;7,S15&lt;=8.9),2,IF(AND(S15&gt;4,S15&lt;=6.9),3,IF(AND(S15&gt;0,S15&lt;=3.9),4,0))))</f>
        <v>3</v>
      </c>
      <c r="T14" s="26">
        <f>IF((T15)&gt;9,1,IF(AND(T15&gt;7,T15&lt;=8.9),2,IF(AND(T15&gt;4,T15&lt;=6.9),3,IF(AND(T15&gt;0,T15&lt;=3.9),4,0))))</f>
        <v>3</v>
      </c>
    </row>
    <row r="15" spans="1:20" x14ac:dyDescent="0.25">
      <c r="B15" t="s">
        <v>32</v>
      </c>
      <c r="C15">
        <v>9.5519999999999996</v>
      </c>
      <c r="I15">
        <f>MEDIAN(C14:C16)</f>
        <v>9.5519999999999996</v>
      </c>
      <c r="J15">
        <f>I15+I14*0.25</f>
        <v>10.053753259414757</v>
      </c>
      <c r="K15">
        <f>J15+I14*0.66</f>
        <v>11.378381864269715</v>
      </c>
      <c r="L15">
        <f>K15+I14*1</f>
        <v>13.385394901928741</v>
      </c>
      <c r="M15">
        <f>L15+I14*1.5</f>
        <v>16.39591445841728</v>
      </c>
      <c r="N15">
        <f>IF((C15)&lt;M14,10,IF(AND(C15&gt;=M14,C15&lt;L14),7.75,IF(AND(C15&gt;=L14,C15&lt;K14),5.5,IF(AND(C15&gt;=K14,C15&lt;J14),3.25,IF(AND(C15&gt;=J14,C15&lt;=J15),1,IF(AND(C15&gt;J15,C15&lt;=K15),3.25,IF(AND(C15&gt;K15,C15&lt;=L15),5.5,IF(AND(C15&gt;L15,C15&lt;=M15),7.75,10))))))))</f>
        <v>1</v>
      </c>
      <c r="O15" s="22">
        <f>BaseScore!$G$14</f>
        <v>3.7647008405999998</v>
      </c>
      <c r="P15" s="22">
        <f>EnvirScore!$H$14</f>
        <v>3.4787900567549999</v>
      </c>
      <c r="Q15" s="22">
        <f t="shared" si="8"/>
        <v>8.2434908973549987</v>
      </c>
      <c r="R15" s="31">
        <f>((N14+O14)+(N15+O15)+(N16+O16))/3</f>
        <v>6.2647008405999998</v>
      </c>
      <c r="S15" s="31">
        <f>((N14+P14)+(N15+P15)+(N16+P16))/3</f>
        <v>5.9787900567549999</v>
      </c>
      <c r="T15" s="30">
        <f>(SUM(R15:S15))/2</f>
        <v>6.1217454486774994</v>
      </c>
    </row>
    <row r="16" spans="1:20" x14ac:dyDescent="0.25">
      <c r="B16" t="s">
        <v>33</v>
      </c>
      <c r="C16">
        <v>6.1</v>
      </c>
      <c r="N16">
        <f>IF((C16)&lt;M14,10,IF(AND(C16&gt;=M14,C16&lt;L14),7.75,IF(AND(C16&gt;=L14,C16&lt;K14),5.5,IF(AND(C16&gt;=K14,C16&lt;J14),3.25,IF(AND(C16&gt;=J14,C16&lt;=J15),1,IF(AND(C16&gt;J15,C16&lt;=K15),3.25,IF(AND(C16&gt;K15,C16&lt;=L15),5.5,IF(AND(C16&gt;L15,C16&lt;=M15),7.75,10))))))))</f>
        <v>5.5</v>
      </c>
      <c r="O16" s="22">
        <f>BaseScore!$G$14</f>
        <v>3.7647008405999998</v>
      </c>
      <c r="P16" s="22">
        <f>EnvirScore!$H$14</f>
        <v>3.4787900567549999</v>
      </c>
      <c r="Q16" s="22">
        <f t="shared" si="8"/>
        <v>12.743490897354999</v>
      </c>
      <c r="R16" s="11"/>
      <c r="S16" s="11"/>
      <c r="T16" s="11"/>
    </row>
    <row r="17" spans="1:20" x14ac:dyDescent="0.25">
      <c r="P17" s="30"/>
    </row>
    <row r="18" spans="1:20" ht="15.75" thickBot="1" x14ac:dyDescent="0.3">
      <c r="A18" t="s">
        <v>91</v>
      </c>
      <c r="P18" s="30"/>
    </row>
    <row r="19" spans="1:20" ht="15.75" thickBot="1" x14ac:dyDescent="0.3">
      <c r="A19" s="13" t="s">
        <v>82</v>
      </c>
      <c r="B19" s="13" t="s">
        <v>31</v>
      </c>
      <c r="C19" s="13">
        <v>6.11</v>
      </c>
      <c r="D19" s="13">
        <f>_xlfn.STDEV.S(C19,C20,C21)</f>
        <v>1.7462626759263085</v>
      </c>
      <c r="E19" s="13">
        <f t="shared" ref="E19" si="9">IF(D19=0,1,D19)</f>
        <v>1.7462626759263085</v>
      </c>
      <c r="F19" s="13">
        <v>1</v>
      </c>
      <c r="G19" s="13">
        <f>SUM(C19:C21)</f>
        <v>23.450000000000003</v>
      </c>
      <c r="H19" s="13">
        <f t="shared" ref="H19" si="10">G19/E19</f>
        <v>13.428678470471748</v>
      </c>
      <c r="I19" s="13">
        <f>E19</f>
        <v>1.7462626759263085</v>
      </c>
      <c r="J19" s="13">
        <f>I20-I19*0.25</f>
        <v>7.3034343310184227</v>
      </c>
      <c r="K19" s="13">
        <f>J19-I19*0.66</f>
        <v>6.1509009649070592</v>
      </c>
      <c r="L19" s="13">
        <f>K19-I19*1</f>
        <v>4.4046382889807507</v>
      </c>
      <c r="M19" s="13">
        <f>L19-I19*1.5</f>
        <v>1.785244275091288</v>
      </c>
      <c r="N19" s="13">
        <f>IF((C19)&lt;M19,1,IF(AND(C19&gt;=M19,C19&lt;L19),7.75,IF(AND(C19&gt;=L19,C19&lt;K19),5.5,IF(AND(C19&gt;=K19,C19&lt;J19),3.25,IF(AND(C19&gt;=J19,C19&lt;=J20),1,IF(AND(C19&gt;J20,C19&lt;=K20),3.25,IF(AND(C19&gt;K20,C19&lt;=L20),5.5,IF(AND(C19&gt;L20,C19&lt;=M20),7.75,10))))))))</f>
        <v>5.5</v>
      </c>
      <c r="O19" s="22">
        <f>BaseScore!$G$14</f>
        <v>3.7647008405999998</v>
      </c>
      <c r="P19" s="22">
        <f>EnvirScore!$H$14</f>
        <v>3.4787900567549999</v>
      </c>
      <c r="Q19" s="22">
        <f t="shared" ref="Q19:Q21" si="11">N19+O19+P19</f>
        <v>12.743490897354999</v>
      </c>
      <c r="R19" s="24">
        <f>IF((R20)&gt;9,1,IF(AND(R20&gt;7,R20&lt;=8.9),2,IF(AND(R20&gt;4,R20&lt;=6.9),3,IF(AND(R20&gt;0,R20&lt;=3.9),4,0))))</f>
        <v>2</v>
      </c>
      <c r="S19" s="25">
        <f>IF((S20)&gt;9,1,IF(AND(S20&gt;7,S20&lt;=8.99),2,IF(AND(S20&gt;4,S20&lt;=6.99),3,IF(AND(S20&gt;0,S20&lt;=3.99),4,0))))</f>
        <v>2</v>
      </c>
      <c r="T19" s="26">
        <f>IF((T20)&gt;9,1,IF(AND(T20&gt;7,T20&lt;=8.9),2,IF(AND(T20&gt;4,T20&lt;=6.9),3,IF(AND(T20&gt;0,T20&lt;=3.9),4,0))))</f>
        <v>2</v>
      </c>
    </row>
    <row r="20" spans="1:20" x14ac:dyDescent="0.25">
      <c r="B20" t="s">
        <v>32</v>
      </c>
      <c r="C20">
        <v>7.74</v>
      </c>
      <c r="I20">
        <f>MEDIAN(C19:C21)</f>
        <v>7.74</v>
      </c>
      <c r="J20">
        <f>I20+I19*0.25</f>
        <v>8.1765656689815778</v>
      </c>
      <c r="K20">
        <f>J20+I19*0.66</f>
        <v>9.3290990350929413</v>
      </c>
      <c r="L20">
        <f>K20+I19*1</f>
        <v>11.07536171101925</v>
      </c>
      <c r="M20">
        <f>L20+I19*1.5</f>
        <v>13.694755724908713</v>
      </c>
      <c r="N20">
        <f>IF((C20)&lt;M19,10,IF(AND(C20&gt;=M19,C20&lt;L19),7.75,IF(AND(C20&gt;=L19,C20&lt;K19),5.5,IF(AND(C20&gt;=K19,C20&lt;J19),3.25,IF(AND(C20&gt;=J19,C20&lt;=J20),1,IF(AND(C20&gt;J20,C20&lt;=K20),3.25,IF(AND(C20&gt;K20,C20&lt;=L20),5.5,IF(AND(C20&gt;L20,C20&lt;=M20),7.75,10))))))))</f>
        <v>1</v>
      </c>
      <c r="O20" s="22">
        <f>BaseScore!$G$14</f>
        <v>3.7647008405999998</v>
      </c>
      <c r="P20" s="22">
        <f>EnvirScore!$H$14</f>
        <v>3.4787900567549999</v>
      </c>
      <c r="Q20" s="22">
        <f t="shared" si="11"/>
        <v>8.2434908973549987</v>
      </c>
      <c r="R20" s="31">
        <f>((N19+O19)+(N20+O20)+(N21+O21))/3</f>
        <v>7.7647008405999998</v>
      </c>
      <c r="S20" s="31">
        <f>((N19+P19)+(N20+P20)+(N21+P21))/3</f>
        <v>7.478790056754999</v>
      </c>
      <c r="T20" s="30">
        <f>(SUM(R20:S20))/2</f>
        <v>7.6217454486774994</v>
      </c>
    </row>
    <row r="21" spans="1:20" x14ac:dyDescent="0.25">
      <c r="B21" t="s">
        <v>33</v>
      </c>
      <c r="C21">
        <v>9.6</v>
      </c>
      <c r="N21">
        <f>IF((C21)&lt;M19,10,IF(AND(C21&gt;=M19,C21&lt;L19),7.75,IF(AND(C21&gt;=L19,C21&lt;K19),5.5,IF(AND(C21&gt;=K19,C21&lt;J19),3.25,IF(AND(C21&gt;=J19,C21&lt;=J20),1,IF(AND(C21&gt;J20,C21&lt;=K20),3.25,IF(AND(C21&gt;K20,C21&lt;=L20),5.5,IF(AND(C21&gt;L20,C21&lt;=M20),7.75,10))))))))</f>
        <v>5.5</v>
      </c>
      <c r="O21" s="22">
        <f>BaseScore!$G$14</f>
        <v>3.7647008405999998</v>
      </c>
      <c r="P21" s="22">
        <f>EnvirScore!$H$14</f>
        <v>3.4787900567549999</v>
      </c>
      <c r="Q21" s="22">
        <f t="shared" si="11"/>
        <v>12.743490897354999</v>
      </c>
      <c r="R21" s="11"/>
      <c r="S21" s="11"/>
      <c r="T21" s="11"/>
    </row>
    <row r="22" spans="1:20" x14ac:dyDescent="0.25">
      <c r="P22" s="30"/>
    </row>
    <row r="23" spans="1:20" ht="15.75" thickBot="1" x14ac:dyDescent="0.3">
      <c r="A23" t="s">
        <v>92</v>
      </c>
      <c r="P23" s="30"/>
    </row>
    <row r="24" spans="1:20" ht="15.75" thickBot="1" x14ac:dyDescent="0.3">
      <c r="A24" s="13" t="s">
        <v>82</v>
      </c>
      <c r="B24" s="13" t="s">
        <v>31</v>
      </c>
      <c r="C24" s="13">
        <v>9.58</v>
      </c>
      <c r="D24" s="13">
        <f>_xlfn.STDEV.S(C24,C25,C26)</f>
        <v>1.7409768330834672</v>
      </c>
      <c r="E24" s="13">
        <f t="shared" ref="E24" si="12">IF(D24=0,1,D24)</f>
        <v>1.7409768330834672</v>
      </c>
      <c r="F24" s="13">
        <v>1</v>
      </c>
      <c r="G24" s="13">
        <f>SUM(C24:C26)</f>
        <v>23.418999999999997</v>
      </c>
      <c r="H24" s="13">
        <f t="shared" ref="H24" si="13">G24/E24</f>
        <v>13.451643672088556</v>
      </c>
      <c r="I24" s="13">
        <f>E24</f>
        <v>1.7409768330834672</v>
      </c>
      <c r="J24" s="13">
        <f>I25-I24*0.25</f>
        <v>7.3037557917291327</v>
      </c>
      <c r="K24" s="13">
        <f>J24-I24*0.66</f>
        <v>6.1547110818940443</v>
      </c>
      <c r="L24" s="13">
        <f>K24-I24*1</f>
        <v>4.4137342488105773</v>
      </c>
      <c r="M24" s="13">
        <f>L24-I24*1.5</f>
        <v>1.8022689991853764</v>
      </c>
      <c r="N24" s="13">
        <f>IF((C24)&lt;M24,1,IF(AND(C24&gt;=M24,C24&lt;L24),7.75,IF(AND(C24&gt;=L24,C24&lt;K24),5.5,IF(AND(C24&gt;=K24,C24&lt;J24),3.25,IF(AND(C24&gt;=J24,C24&lt;=J25),1,IF(AND(C24&gt;J25,C24&lt;=K25),3.25,IF(AND(C24&gt;K25,C24&lt;=L25),5.5,IF(AND(C24&gt;L25,C24&lt;=M25),7.75,10))))))))</f>
        <v>5.5</v>
      </c>
      <c r="O24" s="22">
        <f>BaseScore!$G$14</f>
        <v>3.7647008405999998</v>
      </c>
      <c r="P24" s="22">
        <f>EnvirScore!$H$14</f>
        <v>3.4787900567549999</v>
      </c>
      <c r="Q24" s="22">
        <f t="shared" ref="Q24:Q26" si="14">N24+O24+P24</f>
        <v>12.743490897354999</v>
      </c>
      <c r="R24" s="24">
        <f>IF((R25)&gt;9,1,IF(AND(R25&gt;7,R25&lt;=8.9),2,IF(AND(R25&gt;4,R25&lt;=6.9),3,IF(AND(R25&gt;0,R25&lt;=3.9),4,0))))</f>
        <v>2</v>
      </c>
      <c r="S24" s="25">
        <f>IF((S25)&gt;9,1,IF(AND(S25&gt;7,S25&lt;=8.99),2,IF(AND(S25&gt;4,S25&lt;=6.99),3,IF(AND(S25&gt;0,S25&lt;=3.99),4,0))))</f>
        <v>2</v>
      </c>
      <c r="T24" s="26">
        <f>IF((T25)&gt;9,1,IF(AND(T25&gt;7,T25&lt;=8.9),2,IF(AND(T25&gt;4,T25&lt;=6.9),3,IF(AND(T25&gt;0,T25&lt;=3.9),4,0))))</f>
        <v>2</v>
      </c>
    </row>
    <row r="25" spans="1:20" x14ac:dyDescent="0.25">
      <c r="B25" t="s">
        <v>32</v>
      </c>
      <c r="C25">
        <v>7.7389999999999999</v>
      </c>
      <c r="I25">
        <f>MEDIAN(C24:C26)</f>
        <v>7.7389999999999999</v>
      </c>
      <c r="J25">
        <f>I25+I24*0.25</f>
        <v>8.1742442082708671</v>
      </c>
      <c r="K25">
        <f>J25+I24*0.66</f>
        <v>9.3232889181059555</v>
      </c>
      <c r="L25">
        <f>K25+I24*1</f>
        <v>11.064265751189422</v>
      </c>
      <c r="M25">
        <f>L25+I24*1.5</f>
        <v>13.675731000814624</v>
      </c>
      <c r="N25">
        <f>IF((C25)&lt;M24,10,IF(AND(C25&gt;=M24,C25&lt;L24),7.75,IF(AND(C25&gt;=L24,C25&lt;K24),5.5,IF(AND(C25&gt;=K24,C25&lt;J24),3.25,IF(AND(C25&gt;=J24,C25&lt;=J25),1,IF(AND(C25&gt;J25,C25&lt;=K25),3.25,IF(AND(C25&gt;K25,C25&lt;=L25),5.5,IF(AND(C25&gt;L25,C25&lt;=M25),7.75,10))))))))</f>
        <v>1</v>
      </c>
      <c r="O25" s="22">
        <f>BaseScore!$G$14</f>
        <v>3.7647008405999998</v>
      </c>
      <c r="P25" s="22">
        <f>EnvirScore!$H$14</f>
        <v>3.4787900567549999</v>
      </c>
      <c r="Q25" s="22">
        <f t="shared" si="14"/>
        <v>8.2434908973549987</v>
      </c>
      <c r="R25" s="31">
        <f>((N24+O24)+(N25+O25)+(N26+O26))/3</f>
        <v>7.7647008405999998</v>
      </c>
      <c r="S25" s="31">
        <f>((N24+P24)+(N25+P25)+(N26+P26))/3</f>
        <v>7.478790056754999</v>
      </c>
      <c r="T25" s="30">
        <f>(SUM(R25:S25))/2</f>
        <v>7.6217454486774994</v>
      </c>
    </row>
    <row r="26" spans="1:20" x14ac:dyDescent="0.25">
      <c r="B26" t="s">
        <v>33</v>
      </c>
      <c r="C26">
        <v>6.1</v>
      </c>
      <c r="N26">
        <f>IF((C26)&lt;M24,10,IF(AND(C26&gt;=M24,C26&lt;L24),7.75,IF(AND(C26&gt;=L24,C26&lt;K24),5.5,IF(AND(C26&gt;=K24,C26&lt;J24),3.25,IF(AND(C26&gt;=J24,C26&lt;=J25),1,IF(AND(C26&gt;J25,C26&lt;=K25),3.25,IF(AND(C26&gt;K25,C26&lt;=L25),5.5,IF(AND(C26&gt;L25,C26&lt;=M25),7.75,10))))))))</f>
        <v>5.5</v>
      </c>
      <c r="O26" s="22">
        <f>BaseScore!$G$14</f>
        <v>3.7647008405999998</v>
      </c>
      <c r="P26" s="22">
        <f>EnvirScore!$H$14</f>
        <v>3.4787900567549999</v>
      </c>
      <c r="Q26" s="22">
        <f t="shared" si="14"/>
        <v>12.743490897354999</v>
      </c>
      <c r="R26" s="11"/>
      <c r="S26" s="11"/>
      <c r="T26" s="11"/>
    </row>
  </sheetData>
  <conditionalFormatting sqref="T9">
    <cfRule type="cellIs" dxfId="347" priority="57" operator="equal">
      <formula>1</formula>
    </cfRule>
    <cfRule type="cellIs" dxfId="346" priority="58" operator="equal">
      <formula>2</formula>
    </cfRule>
    <cfRule type="cellIs" dxfId="345" priority="59" operator="equal">
      <formula>3</formula>
    </cfRule>
    <cfRule type="cellIs" dxfId="344" priority="60" operator="equal">
      <formula>4</formula>
    </cfRule>
  </conditionalFormatting>
  <conditionalFormatting sqref="R9">
    <cfRule type="cellIs" dxfId="343" priority="53" operator="equal">
      <formula>1</formula>
    </cfRule>
    <cfRule type="cellIs" dxfId="342" priority="54" operator="equal">
      <formula>2</formula>
    </cfRule>
    <cfRule type="cellIs" dxfId="341" priority="55" operator="equal">
      <formula>3</formula>
    </cfRule>
    <cfRule type="cellIs" dxfId="340" priority="56" operator="equal">
      <formula>4</formula>
    </cfRule>
  </conditionalFormatting>
  <conditionalFormatting sqref="S9">
    <cfRule type="cellIs" dxfId="339" priority="49" operator="equal">
      <formula>1</formula>
    </cfRule>
    <cfRule type="cellIs" dxfId="338" priority="50" operator="equal">
      <formula>2</formula>
    </cfRule>
    <cfRule type="cellIs" dxfId="337" priority="51" operator="equal">
      <formula>3</formula>
    </cfRule>
    <cfRule type="cellIs" dxfId="336" priority="52" operator="equal">
      <formula>4</formula>
    </cfRule>
  </conditionalFormatting>
  <conditionalFormatting sqref="T4">
    <cfRule type="cellIs" dxfId="335" priority="45" operator="equal">
      <formula>1</formula>
    </cfRule>
    <cfRule type="cellIs" dxfId="334" priority="46" operator="equal">
      <formula>2</formula>
    </cfRule>
    <cfRule type="cellIs" dxfId="333" priority="47" operator="equal">
      <formula>3</formula>
    </cfRule>
    <cfRule type="cellIs" dxfId="332" priority="48" operator="equal">
      <formula>4</formula>
    </cfRule>
  </conditionalFormatting>
  <conditionalFormatting sqref="R4">
    <cfRule type="cellIs" dxfId="331" priority="41" operator="equal">
      <formula>1</formula>
    </cfRule>
    <cfRule type="cellIs" dxfId="330" priority="42" operator="equal">
      <formula>2</formula>
    </cfRule>
    <cfRule type="cellIs" dxfId="329" priority="43" operator="equal">
      <formula>3</formula>
    </cfRule>
    <cfRule type="cellIs" dxfId="328" priority="44" operator="equal">
      <formula>4</formula>
    </cfRule>
  </conditionalFormatting>
  <conditionalFormatting sqref="S4">
    <cfRule type="cellIs" dxfId="327" priority="37" operator="equal">
      <formula>1</formula>
    </cfRule>
    <cfRule type="cellIs" dxfId="326" priority="38" operator="equal">
      <formula>2</formula>
    </cfRule>
    <cfRule type="cellIs" dxfId="325" priority="39" operator="equal">
      <formula>3</formula>
    </cfRule>
    <cfRule type="cellIs" dxfId="324" priority="40" operator="equal">
      <formula>4</formula>
    </cfRule>
  </conditionalFormatting>
  <conditionalFormatting sqref="T14">
    <cfRule type="cellIs" dxfId="323" priority="33" operator="equal">
      <formula>1</formula>
    </cfRule>
    <cfRule type="cellIs" dxfId="322" priority="34" operator="equal">
      <formula>2</formula>
    </cfRule>
    <cfRule type="cellIs" dxfId="321" priority="35" operator="equal">
      <formula>3</formula>
    </cfRule>
    <cfRule type="cellIs" dxfId="320" priority="36" operator="equal">
      <formula>4</formula>
    </cfRule>
  </conditionalFormatting>
  <conditionalFormatting sqref="R14">
    <cfRule type="cellIs" dxfId="319" priority="29" operator="equal">
      <formula>1</formula>
    </cfRule>
    <cfRule type="cellIs" dxfId="318" priority="30" operator="equal">
      <formula>2</formula>
    </cfRule>
    <cfRule type="cellIs" dxfId="317" priority="31" operator="equal">
      <formula>3</formula>
    </cfRule>
    <cfRule type="cellIs" dxfId="316" priority="32" operator="equal">
      <formula>4</formula>
    </cfRule>
  </conditionalFormatting>
  <conditionalFormatting sqref="S14">
    <cfRule type="cellIs" dxfId="315" priority="25" operator="equal">
      <formula>1</formula>
    </cfRule>
    <cfRule type="cellIs" dxfId="314" priority="26" operator="equal">
      <formula>2</formula>
    </cfRule>
    <cfRule type="cellIs" dxfId="313" priority="27" operator="equal">
      <formula>3</formula>
    </cfRule>
    <cfRule type="cellIs" dxfId="312" priority="28" operator="equal">
      <formula>4</formula>
    </cfRule>
  </conditionalFormatting>
  <conditionalFormatting sqref="T19">
    <cfRule type="cellIs" dxfId="311" priority="21" operator="equal">
      <formula>1</formula>
    </cfRule>
    <cfRule type="cellIs" dxfId="310" priority="22" operator="equal">
      <formula>2</formula>
    </cfRule>
    <cfRule type="cellIs" dxfId="309" priority="23" operator="equal">
      <formula>3</formula>
    </cfRule>
    <cfRule type="cellIs" dxfId="308" priority="24" operator="equal">
      <formula>4</formula>
    </cfRule>
  </conditionalFormatting>
  <conditionalFormatting sqref="R19">
    <cfRule type="cellIs" dxfId="307" priority="17" operator="equal">
      <formula>1</formula>
    </cfRule>
    <cfRule type="cellIs" dxfId="306" priority="18" operator="equal">
      <formula>2</formula>
    </cfRule>
    <cfRule type="cellIs" dxfId="305" priority="19" operator="equal">
      <formula>3</formula>
    </cfRule>
    <cfRule type="cellIs" dxfId="304" priority="20" operator="equal">
      <formula>4</formula>
    </cfRule>
  </conditionalFormatting>
  <conditionalFormatting sqref="S19">
    <cfRule type="cellIs" dxfId="303" priority="13" operator="equal">
      <formula>1</formula>
    </cfRule>
    <cfRule type="cellIs" dxfId="302" priority="14" operator="equal">
      <formula>2</formula>
    </cfRule>
    <cfRule type="cellIs" dxfId="301" priority="15" operator="equal">
      <formula>3</formula>
    </cfRule>
    <cfRule type="cellIs" dxfId="300" priority="16" operator="equal">
      <formula>4</formula>
    </cfRule>
  </conditionalFormatting>
  <conditionalFormatting sqref="T24">
    <cfRule type="cellIs" dxfId="299" priority="9" operator="equal">
      <formula>1</formula>
    </cfRule>
    <cfRule type="cellIs" dxfId="298" priority="10" operator="equal">
      <formula>2</formula>
    </cfRule>
    <cfRule type="cellIs" dxfId="297" priority="11" operator="equal">
      <formula>3</formula>
    </cfRule>
    <cfRule type="cellIs" dxfId="296" priority="12" operator="equal">
      <formula>4</formula>
    </cfRule>
  </conditionalFormatting>
  <conditionalFormatting sqref="R24">
    <cfRule type="cellIs" dxfId="295" priority="5" operator="equal">
      <formula>1</formula>
    </cfRule>
    <cfRule type="cellIs" dxfId="294" priority="6" operator="equal">
      <formula>2</formula>
    </cfRule>
    <cfRule type="cellIs" dxfId="293" priority="7" operator="equal">
      <formula>3</formula>
    </cfRule>
    <cfRule type="cellIs" dxfId="292" priority="8" operator="equal">
      <formula>4</formula>
    </cfRule>
  </conditionalFormatting>
  <conditionalFormatting sqref="S24">
    <cfRule type="cellIs" dxfId="291" priority="1" operator="equal">
      <formula>1</formula>
    </cfRule>
    <cfRule type="cellIs" dxfId="290" priority="2" operator="equal">
      <formula>2</formula>
    </cfRule>
    <cfRule type="cellIs" dxfId="289" priority="3" operator="equal">
      <formula>3</formula>
    </cfRule>
    <cfRule type="cellIs" dxfId="288" priority="4" operator="equal">
      <formula>4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2"/>
  <sheetViews>
    <sheetView zoomScale="90" zoomScaleNormal="90" workbookViewId="0">
      <selection activeCell="S17" sqref="S17"/>
    </sheetView>
  </sheetViews>
  <sheetFormatPr defaultRowHeight="15" x14ac:dyDescent="0.25"/>
  <cols>
    <col min="1" max="1" width="27.28515625" bestFit="1" customWidth="1"/>
    <col min="2" max="2" width="6.7109375" bestFit="1" customWidth="1"/>
    <col min="3" max="3" width="10.7109375" customWidth="1"/>
    <col min="4" max="4" width="10.85546875" bestFit="1" customWidth="1"/>
    <col min="5" max="5" width="10.85546875" customWidth="1"/>
    <col min="6" max="6" width="8.85546875" bestFit="1" customWidth="1"/>
    <col min="7" max="7" width="15.7109375" customWidth="1"/>
    <col min="8" max="8" width="17.7109375" bestFit="1" customWidth="1"/>
    <col min="9" max="9" width="15.5703125" bestFit="1" customWidth="1"/>
    <col min="10" max="10" width="8.85546875" bestFit="1" customWidth="1"/>
    <col min="11" max="11" width="13.85546875" customWidth="1"/>
    <col min="12" max="13" width="10.42578125" customWidth="1"/>
    <col min="15" max="16" width="10.28515625" customWidth="1"/>
    <col min="17" max="17" width="7.7109375" bestFit="1" customWidth="1"/>
    <col min="18" max="18" width="6.140625" bestFit="1" customWidth="1"/>
    <col min="19" max="19" width="6.140625" customWidth="1"/>
    <col min="20" max="20" width="14.7109375" bestFit="1" customWidth="1"/>
    <col min="21" max="22" width="14.7109375" customWidth="1"/>
    <col min="23" max="23" width="12" customWidth="1"/>
    <col min="24" max="24" width="5" customWidth="1"/>
    <col min="25" max="25" width="6" bestFit="1" customWidth="1"/>
    <col min="26" max="26" width="5" customWidth="1"/>
    <col min="27" max="27" width="7.7109375" bestFit="1" customWidth="1"/>
    <col min="28" max="28" width="5.5703125" bestFit="1" customWidth="1"/>
  </cols>
  <sheetData>
    <row r="1" spans="1:69" s="17" customFormat="1" ht="63.75" thickBot="1" x14ac:dyDescent="0.3">
      <c r="A1" s="18" t="s">
        <v>9</v>
      </c>
      <c r="B1" s="18" t="s">
        <v>30</v>
      </c>
      <c r="C1" s="18" t="s">
        <v>5</v>
      </c>
      <c r="D1" s="18" t="s">
        <v>4</v>
      </c>
      <c r="E1" s="18" t="s">
        <v>3</v>
      </c>
      <c r="F1" s="18" t="s">
        <v>37</v>
      </c>
      <c r="G1" s="18" t="s">
        <v>35</v>
      </c>
      <c r="H1" s="18" t="s">
        <v>41</v>
      </c>
      <c r="I1" s="18" t="s">
        <v>36</v>
      </c>
      <c r="J1" s="18" t="s">
        <v>0</v>
      </c>
      <c r="K1" s="18" t="s">
        <v>38</v>
      </c>
      <c r="L1" s="18" t="s">
        <v>39</v>
      </c>
      <c r="M1" s="18" t="s">
        <v>67</v>
      </c>
      <c r="N1" s="18" t="s">
        <v>68</v>
      </c>
      <c r="O1" s="18" t="s">
        <v>69</v>
      </c>
      <c r="P1" s="18" t="s">
        <v>70</v>
      </c>
      <c r="Q1" s="18" t="s">
        <v>29</v>
      </c>
      <c r="R1" s="19" t="s">
        <v>65</v>
      </c>
      <c r="S1" s="19" t="s">
        <v>66</v>
      </c>
      <c r="T1" s="19" t="s">
        <v>2</v>
      </c>
      <c r="U1" s="19" t="s">
        <v>75</v>
      </c>
      <c r="V1" s="19" t="s">
        <v>76</v>
      </c>
      <c r="W1" s="19" t="s">
        <v>1</v>
      </c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</row>
    <row r="2" spans="1:69" s="13" customFormat="1" ht="15.75" thickBot="1" x14ac:dyDescent="0.3">
      <c r="A2" s="13" t="s">
        <v>10</v>
      </c>
      <c r="B2" s="13" t="s">
        <v>31</v>
      </c>
      <c r="C2" s="13">
        <v>12</v>
      </c>
      <c r="D2" s="13">
        <v>24</v>
      </c>
      <c r="E2" s="13">
        <v>48</v>
      </c>
      <c r="G2" s="13">
        <v>0</v>
      </c>
      <c r="H2" s="13">
        <v>1</v>
      </c>
      <c r="I2" s="13">
        <v>3</v>
      </c>
      <c r="J2" s="13">
        <v>1</v>
      </c>
      <c r="Q2" s="13">
        <f>IF(AND(C2=C3,C2=C4),1,10)</f>
        <v>1</v>
      </c>
      <c r="R2" s="22">
        <f>BaseScore!$G$2</f>
        <v>3.2774417045999993</v>
      </c>
      <c r="S2" s="22">
        <f>EnvirScore!$H$2</f>
        <v>3.4222244567549995</v>
      </c>
      <c r="T2" s="22">
        <f>Q2+R2+S2</f>
        <v>7.6996661613549993</v>
      </c>
      <c r="U2" s="24">
        <f>IF((U3)&gt;9,1,IF(AND(U3&gt;7,U3&lt;=8.9),2,IF(AND(U3&gt;4,U3&lt;=6.9),3,IF(AND(U3&gt;0,U3&lt;=3.9),4,0))))</f>
        <v>3</v>
      </c>
      <c r="V2" s="25">
        <f>IF((V3)&gt;9,1,IF(AND(V3&gt;7,V3&lt;=8.9),2,IF(AND(V3&gt;4,V3&lt;=6.9),3,IF(AND(V3&gt;0,V3&lt;=3.9),4,0))))</f>
        <v>3</v>
      </c>
      <c r="W2" s="26">
        <f>IF((W3)&gt;9,1,IF(AND(W3&gt;7,W3&lt;=8.9),2,IF(AND(W3&gt;4,W3&lt;=6.9),3,IF(AND(W3&gt;0,W3&lt;=3.9),4,0))))</f>
        <v>3</v>
      </c>
      <c r="X2" s="20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</row>
    <row r="3" spans="1:69" s="16" customFormat="1" x14ac:dyDescent="0.25">
      <c r="B3" s="16" t="s">
        <v>32</v>
      </c>
      <c r="C3" s="16">
        <v>12</v>
      </c>
      <c r="D3" s="16">
        <v>24</v>
      </c>
      <c r="E3" s="16">
        <v>48</v>
      </c>
      <c r="F3" s="3"/>
      <c r="G3" s="16">
        <v>0</v>
      </c>
      <c r="H3" s="16">
        <v>1</v>
      </c>
      <c r="I3" s="16">
        <v>3</v>
      </c>
      <c r="J3" s="16">
        <v>1</v>
      </c>
      <c r="Q3" s="16">
        <f>IF(AND(D2=D3,D2=D4),1,10)</f>
        <v>1</v>
      </c>
      <c r="R3" s="22">
        <f>BaseScore!$G$2</f>
        <v>3.2774417045999993</v>
      </c>
      <c r="S3" s="22">
        <f>EnvirScore!$H$2</f>
        <v>3.4222244567549995</v>
      </c>
      <c r="T3" s="22">
        <f t="shared" ref="T3:T34" si="0">Q3+R3+S3</f>
        <v>7.6996661613549993</v>
      </c>
      <c r="U3" s="31">
        <f>((Q2+R2)+(Q3+R3)+(Q4+R4))/3</f>
        <v>4.2774417045999993</v>
      </c>
      <c r="V3" s="31">
        <f>((Q2+S2)+(Q3+S3)+(Q4+S4))/3</f>
        <v>4.422224456755</v>
      </c>
      <c r="W3" s="30">
        <f>(SUM(U3:V3))/2</f>
        <v>4.3498330806774996</v>
      </c>
      <c r="X3" s="20"/>
    </row>
    <row r="4" spans="1:69" s="16" customFormat="1" ht="15.75" thickBot="1" x14ac:dyDescent="0.3">
      <c r="B4" s="16" t="s">
        <v>33</v>
      </c>
      <c r="C4" s="16">
        <v>12</v>
      </c>
      <c r="D4" s="16">
        <v>24</v>
      </c>
      <c r="E4" s="16">
        <v>48</v>
      </c>
      <c r="F4" s="3"/>
      <c r="G4" s="16">
        <v>0</v>
      </c>
      <c r="H4" s="16">
        <v>1</v>
      </c>
      <c r="I4" s="16">
        <v>3</v>
      </c>
      <c r="J4" s="16">
        <v>1</v>
      </c>
      <c r="Q4" s="16">
        <f>IF(AND(D2=D3,D2=D4),1,10)</f>
        <v>1</v>
      </c>
      <c r="R4" s="22">
        <f>BaseScore!$G$2</f>
        <v>3.2774417045999993</v>
      </c>
      <c r="S4" s="22">
        <f>EnvirScore!$H$2</f>
        <v>3.4222244567549995</v>
      </c>
      <c r="T4" s="22">
        <f t="shared" si="0"/>
        <v>7.6996661613549993</v>
      </c>
      <c r="X4" s="20"/>
    </row>
    <row r="5" spans="1:69" ht="15.75" thickBot="1" x14ac:dyDescent="0.3">
      <c r="A5" s="13" t="s">
        <v>12</v>
      </c>
      <c r="B5" s="13" t="s">
        <v>31</v>
      </c>
      <c r="C5" s="13"/>
      <c r="D5" s="13"/>
      <c r="E5" s="13"/>
      <c r="F5" s="13">
        <f>(SUM(C2:E2))*F29</f>
        <v>672</v>
      </c>
      <c r="G5" s="13">
        <f>_xlfn.STDEV.S(F5,F6,F7)</f>
        <v>0</v>
      </c>
      <c r="H5" s="13">
        <f t="shared" ref="H5:H17" si="1">IF(G5=0,1,G5)</f>
        <v>1</v>
      </c>
      <c r="I5" s="13">
        <v>3</v>
      </c>
      <c r="J5" s="13">
        <f>SUM(F5:F7)</f>
        <v>2016</v>
      </c>
      <c r="K5" s="13">
        <f t="shared" ref="K5:K17" si="2">J5/H5</f>
        <v>2016</v>
      </c>
      <c r="L5" s="13">
        <f>H5</f>
        <v>1</v>
      </c>
      <c r="M5" s="13">
        <f>L6-L5*0.25</f>
        <v>671.75</v>
      </c>
      <c r="N5" s="13">
        <f>M5-L5*0.66</f>
        <v>671.09</v>
      </c>
      <c r="O5" s="13">
        <f>N5-L5*1.5</f>
        <v>669.59</v>
      </c>
      <c r="P5" s="13">
        <f>O5-L5*1.5</f>
        <v>668.09</v>
      </c>
      <c r="Q5" s="13">
        <f>IF((F5)&lt;P5,1,IF(AND(F5&gt;=P5,F5&lt;O5),7.75,IF(AND(F5&gt;=O5,F5&lt;N5),5.5,IF(AND(F5&gt;=N5,F5&lt;M5),3.25,IF(AND(F5&gt;=M5,F5&lt;=M6),1,IF(AND(F5&gt;M6,F5&lt;=N6),3.25,IF(AND(F5&gt;N6,F5&lt;=O6),5.5,IF(AND(F5&gt;O6,F5&lt;=P6),7.75,10))))))))</f>
        <v>1</v>
      </c>
      <c r="R5" s="22">
        <f>BaseScore!$G$3</f>
        <v>3.2774417045999993</v>
      </c>
      <c r="S5" s="22">
        <f>EnvirScore!$H$3</f>
        <v>4.4930025623549996</v>
      </c>
      <c r="T5" s="22">
        <f t="shared" si="0"/>
        <v>8.7704442669549998</v>
      </c>
      <c r="U5" s="24">
        <f>IF((U6)&gt;9,1,IF(AND(U6&gt;7,U6&lt;=8.9),2,IF(AND(U6&gt;4,U6&lt;=6.9),3,IF(AND(U6&gt;0,U6&lt;=3.9),4,0))))</f>
        <v>3</v>
      </c>
      <c r="V5" s="25">
        <f>IF((V6)&gt;9,1,IF(AND(V6&gt;7,V6&lt;=8.9),2,IF(AND(V6&gt;4,V6&lt;=6.9),3,IF(AND(V6&gt;0,V6&lt;=3.9),4,0))))</f>
        <v>3</v>
      </c>
      <c r="W5" s="26">
        <f>IF((W6)&gt;9,1,IF(AND(W6&gt;7,W6&lt;=8.9),2,IF(AND(W6&gt;4,W6&lt;=6.9),3,IF(AND(W6&gt;0,W6&lt;=3.9),4,0))))</f>
        <v>3</v>
      </c>
      <c r="X5" s="20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</row>
    <row r="6" spans="1:69" x14ac:dyDescent="0.25">
      <c r="B6" t="s">
        <v>32</v>
      </c>
      <c r="C6" s="3"/>
      <c r="D6" s="3"/>
      <c r="E6" s="3"/>
      <c r="F6">
        <f>(SUM(C3:E3))*F30</f>
        <v>672</v>
      </c>
      <c r="L6">
        <f>MEDIAN(F5:F7)</f>
        <v>672</v>
      </c>
      <c r="M6">
        <f>L6+L5*0.25</f>
        <v>672.25</v>
      </c>
      <c r="N6">
        <f>M6+L5*0.66</f>
        <v>672.91</v>
      </c>
      <c r="O6">
        <f>N6+L5*1</f>
        <v>673.91</v>
      </c>
      <c r="P6">
        <f>O6+L5*1.5</f>
        <v>675.41</v>
      </c>
      <c r="Q6">
        <f>IF((F6)&lt;P5,10,IF(AND(F6&gt;=P5,F6&lt;O5),7.75,IF(AND(F6&gt;=O5,F6&lt;N5),5.5,IF(AND(F6&gt;=N5,F6&lt;M5),3.25,IF(AND(F6&gt;=M5,F6&lt;=M6),1,IF(AND(F6&gt;M6,F6&lt;=N6),3.25,IF(AND(F6&gt;N6,F6&lt;=O6),5.5,IF(AND(F6&gt;O6,F6&lt;=P6),7.75,10))))))))</f>
        <v>1</v>
      </c>
      <c r="R6" s="22">
        <f>BaseScore!$G$3</f>
        <v>3.2774417045999993</v>
      </c>
      <c r="S6" s="22">
        <f>EnvirScore!$H$3</f>
        <v>4.4930025623549996</v>
      </c>
      <c r="T6" s="22">
        <f t="shared" si="0"/>
        <v>8.7704442669549998</v>
      </c>
      <c r="U6" s="31">
        <f>((Q5+R5)+(Q6+R6)+(Q7+R7))/3</f>
        <v>4.2774417045999993</v>
      </c>
      <c r="V6" s="31">
        <f>((Q5+S5)+(Q6+S6)+(Q7+S7))/3</f>
        <v>5.4930025623549996</v>
      </c>
      <c r="W6" s="30">
        <f>(SUM(U6:V6))/2</f>
        <v>4.8852221334774999</v>
      </c>
      <c r="X6" s="20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</row>
    <row r="7" spans="1:69" ht="15.75" thickBot="1" x14ac:dyDescent="0.3">
      <c r="B7" t="s">
        <v>33</v>
      </c>
      <c r="C7" s="3"/>
      <c r="D7" s="3"/>
      <c r="E7" s="3"/>
      <c r="F7">
        <f>(SUM(C4:E4))*F31</f>
        <v>672</v>
      </c>
      <c r="Q7">
        <f>IF((F7)&lt;P5,10,IF(AND(F7&gt;=P5,F7&lt;O5),7.75,IF(AND(F7&gt;=O5,F7&lt;N5),5.5,IF(AND(F7&gt;=N5,F7&lt;M5),3.25,IF(AND(F7&gt;=M5,F7&lt;=M6),1,IF(AND(F7&gt;M6,F7&lt;=N6),3.25,IF(AND(F7&gt;N6,F7&lt;=O6),5.5,IF(AND(F7&gt;O6,F7&lt;=P6),7.75,10))))))))</f>
        <v>1</v>
      </c>
      <c r="R7" s="22">
        <f>BaseScore!$G$3</f>
        <v>3.2774417045999993</v>
      </c>
      <c r="S7" s="22">
        <f>EnvirScore!$H$3</f>
        <v>4.4930025623549996</v>
      </c>
      <c r="T7" s="22">
        <f t="shared" si="0"/>
        <v>8.7704442669549998</v>
      </c>
      <c r="U7" s="12"/>
      <c r="V7" s="12"/>
      <c r="W7" s="12"/>
      <c r="X7" s="20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</row>
    <row r="8" spans="1:69" ht="15.75" thickBot="1" x14ac:dyDescent="0.3">
      <c r="A8" s="13" t="s">
        <v>25</v>
      </c>
      <c r="B8" s="13" t="s">
        <v>31</v>
      </c>
      <c r="C8" s="13">
        <v>934246</v>
      </c>
      <c r="D8" s="13">
        <v>915933</v>
      </c>
      <c r="E8" s="13">
        <v>889199</v>
      </c>
      <c r="F8" s="13"/>
      <c r="G8" s="13">
        <f t="shared" ref="G8:G16" si="3">_xlfn.STDEV.S(C8,D8,E8)</f>
        <v>22654.303984011516</v>
      </c>
      <c r="H8" s="13">
        <f t="shared" si="1"/>
        <v>22654.303984011516</v>
      </c>
      <c r="I8" s="13">
        <v>3</v>
      </c>
      <c r="J8" s="13">
        <f t="shared" ref="J8:J13" si="4">SUM(C8,D8,E8)</f>
        <v>2739378</v>
      </c>
      <c r="K8" s="13">
        <f t="shared" si="2"/>
        <v>120.92086351155795</v>
      </c>
      <c r="L8" s="13">
        <f>_xlfn.STDEV.S(K8:K10)</f>
        <v>30.255479160676028</v>
      </c>
      <c r="M8" s="13">
        <f>L9-L8*0.25</f>
        <v>111.55075784010528</v>
      </c>
      <c r="N8" s="13">
        <f>M8-L8*0.66</f>
        <v>91.582141594059095</v>
      </c>
      <c r="O8" s="13">
        <f>N8-L8*1</f>
        <v>61.326662433383063</v>
      </c>
      <c r="P8" s="13">
        <f>O8-L8*1.5</f>
        <v>15.943443692369023</v>
      </c>
      <c r="Q8" s="13">
        <f>IF((K8)&lt;P8,10,IF(AND(K8&gt;=P8,K8&lt;O8),7.75,IF(AND(K8&gt;=O8,K8&lt;N8),5.5,IF(AND(K8&gt;=N8,K8&lt;M8),3.25,IF(AND(K8&gt;=M8,K8&lt;=M9),1,IF(AND(K8&gt;M9,K8&lt;=N9),3.25,IF(AND(K8&gt;N9,K8&lt;=O9),5.5,IF(AND(K8&gt;O9,K8&lt;=P9),7.75,10))))))))</f>
        <v>1</v>
      </c>
      <c r="R8" s="22">
        <f>BaseScore!$G$5</f>
        <v>4.542328488599999</v>
      </c>
      <c r="S8" s="22">
        <f>EnvirScore!$H$5</f>
        <v>3.5353556567549993</v>
      </c>
      <c r="T8" s="22">
        <f>Q8+R8+S8</f>
        <v>9.0776841453549988</v>
      </c>
      <c r="U8" s="24">
        <f>IF((U9)&gt;9,1,IF(AND(U9&gt;7,U9&lt;=8.9),2,IF(AND(U9&gt;4,U9&lt;=6.9),3,IF(AND(U9&gt;0,U9&lt;=3.9),4,0))))</f>
        <v>2</v>
      </c>
      <c r="V8" s="25">
        <f>IF((V9)&gt;9,1,IF(AND(V9&gt;7,V9&lt;=8.9),2,IF(AND(V9&gt;4,V9&lt;=6.9),3,IF(AND(V9&gt;0,V9&lt;=3.9),4,0))))</f>
        <v>3</v>
      </c>
      <c r="W8" s="26">
        <f>IF((W9)&gt;9,1,IF(AND(W9&gt;7,W9&lt;=8.9),2,IF(AND(W9&gt;4,W9&lt;=6.9),3,IF(AND(W9&gt;0,W9&lt;=3.9),4,0))))</f>
        <v>3</v>
      </c>
      <c r="X8" s="20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</row>
    <row r="9" spans="1:69" x14ac:dyDescent="0.25">
      <c r="B9" t="s">
        <v>32</v>
      </c>
      <c r="C9">
        <v>857230</v>
      </c>
      <c r="D9">
        <v>899044</v>
      </c>
      <c r="E9">
        <v>936830</v>
      </c>
      <c r="F9" s="3"/>
      <c r="G9">
        <f t="shared" si="3"/>
        <v>39816.98212237253</v>
      </c>
      <c r="H9">
        <f t="shared" si="1"/>
        <v>39816.98212237253</v>
      </c>
      <c r="I9">
        <v>3</v>
      </c>
      <c r="J9">
        <f t="shared" si="4"/>
        <v>2693104</v>
      </c>
      <c r="K9">
        <f t="shared" si="2"/>
        <v>67.637069824204175</v>
      </c>
      <c r="L9">
        <f>MEDIAN(K8:K10)</f>
        <v>119.11462763027428</v>
      </c>
      <c r="M9">
        <f>L9+L8*0.25</f>
        <v>126.67849742044329</v>
      </c>
      <c r="N9">
        <f>M9+L8*0.66</f>
        <v>146.64711366648947</v>
      </c>
      <c r="O9">
        <f>N9+L8*1</f>
        <v>176.90259282716551</v>
      </c>
      <c r="P9">
        <f>O9+L8*1.5</f>
        <v>222.28581156817955</v>
      </c>
      <c r="Q9">
        <f>IF((K9)&lt;P8,10,IF(AND(K9&gt;=P8,K9&lt;O8),7.75,IF(AND(K9&gt;=O8,K9&lt;N8),5.5,IF(AND(K9&gt;=N8,K9&lt;M8),3.25,IF(AND(K9&gt;=M8,K9&lt;=M9),1,IF(AND(K9&gt;M9,K9&lt;=N9),3.25,IF(AND(K9&gt;N9,K9&lt;=O9),5.5,IF(AND(K9&gt;O9,K9&lt;=P9),7.75,10))))))))</f>
        <v>5.5</v>
      </c>
      <c r="R9" s="22">
        <f>BaseScore!$G$5</f>
        <v>4.542328488599999</v>
      </c>
      <c r="S9" s="22">
        <f>EnvirScore!$H$5</f>
        <v>3.5353556567549993</v>
      </c>
      <c r="T9" s="22">
        <f t="shared" si="0"/>
        <v>13.577684145354999</v>
      </c>
      <c r="U9" s="31">
        <f>((Q8+R8)+(Q9+R9)+(Q10+R10))/3</f>
        <v>7.042328488599999</v>
      </c>
      <c r="V9" s="31">
        <f>((Q8+S8)+(Q9+S9)+(Q10+S10))/3</f>
        <v>6.0353556567549989</v>
      </c>
      <c r="W9" s="30">
        <f>(SUM(U9:V9))/2</f>
        <v>6.5388420726774985</v>
      </c>
      <c r="X9" s="20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</row>
    <row r="10" spans="1:69" ht="15.75" thickBot="1" x14ac:dyDescent="0.3">
      <c r="B10" t="s">
        <v>33</v>
      </c>
      <c r="C10">
        <v>903751</v>
      </c>
      <c r="D10">
        <v>895933</v>
      </c>
      <c r="E10">
        <v>861739</v>
      </c>
      <c r="F10" s="3"/>
      <c r="G10">
        <f t="shared" si="3"/>
        <v>22343.376736742368</v>
      </c>
      <c r="H10">
        <f t="shared" si="1"/>
        <v>22343.376736742368</v>
      </c>
      <c r="I10">
        <v>3</v>
      </c>
      <c r="J10">
        <f t="shared" si="4"/>
        <v>2661423</v>
      </c>
      <c r="K10">
        <f t="shared" si="2"/>
        <v>119.11462763027428</v>
      </c>
      <c r="Q10">
        <f>IF((K10)&lt;P8,10,IF(AND(K10&gt;=P8,K10&lt;O8),7.75,IF(AND(K10&gt;=O8,K10&lt;N8),5.5,IF(AND(K10&gt;=N8,K10&lt;M8),3.25,IF(AND(K10&gt;=M8,K10&lt;=M9),1,IF(AND(K10&gt;M9,K10&lt;=N9),3.25,IF(AND(K10&gt;N9,K10&lt;=O9),5.5,IF(AND(K10&gt;O9,K10&lt;=P9),7.75,10))))))))</f>
        <v>1</v>
      </c>
      <c r="R10" s="22">
        <f>BaseScore!$G$5</f>
        <v>4.542328488599999</v>
      </c>
      <c r="S10" s="22">
        <f>EnvirScore!$H$5</f>
        <v>3.5353556567549993</v>
      </c>
      <c r="T10" s="22">
        <f t="shared" si="0"/>
        <v>9.0776841453549988</v>
      </c>
      <c r="U10" s="12"/>
      <c r="V10" s="12"/>
      <c r="W10" s="12"/>
      <c r="X10" s="20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</row>
    <row r="11" spans="1:69" ht="15.75" thickBot="1" x14ac:dyDescent="0.3">
      <c r="A11" s="13" t="s">
        <v>17</v>
      </c>
      <c r="B11" s="13" t="s">
        <v>31</v>
      </c>
      <c r="C11" s="13">
        <v>934246</v>
      </c>
      <c r="D11" s="13">
        <v>915933</v>
      </c>
      <c r="E11" s="13">
        <v>889199</v>
      </c>
      <c r="F11" s="13"/>
      <c r="G11" s="13">
        <f t="shared" si="3"/>
        <v>22654.303984011516</v>
      </c>
      <c r="H11" s="13">
        <f t="shared" si="1"/>
        <v>22654.303984011516</v>
      </c>
      <c r="I11" s="13">
        <v>3</v>
      </c>
      <c r="J11" s="13">
        <f t="shared" si="4"/>
        <v>2739378</v>
      </c>
      <c r="K11" s="13">
        <f t="shared" si="2"/>
        <v>120.92086351155795</v>
      </c>
      <c r="L11" s="13">
        <f>_xlfn.STDEV.S(K11:K13)</f>
        <v>30.255479160676028</v>
      </c>
      <c r="M11" s="13">
        <f>L12-L11*0.25</f>
        <v>111.55075784010528</v>
      </c>
      <c r="N11" s="13">
        <f>M11-L11*0.66</f>
        <v>91.582141594059095</v>
      </c>
      <c r="O11" s="13">
        <f>N11-L11*1</f>
        <v>61.326662433383063</v>
      </c>
      <c r="P11" s="13">
        <f>O11-L11*1.5</f>
        <v>15.943443692369023</v>
      </c>
      <c r="Q11" s="13">
        <f>IF((K11)&lt;P11,10,IF(AND(K11&gt;=P11,K11&lt;O11),7.75,IF(AND(K11&gt;=O11,K11&lt;N11),5.5,IF(AND(K11&gt;=N11,K11&lt;M11),3.25,IF(AND(K11&gt;=M11,K11&lt;=M12),1,IF(AND(K11&gt;M12,K11&lt;=N12),3.25,IF(AND(K11&gt;N12,K11&lt;=O12),5.5,IF(AND(K11&gt;O12,K11&lt;=P12),7.75,10))))))))</f>
        <v>1</v>
      </c>
      <c r="R11" s="22">
        <f>BaseScore!$G$6</f>
        <v>4.542328488599999</v>
      </c>
      <c r="S11" s="22">
        <f>EnvirScore!$H$6</f>
        <v>3.5353556567549993</v>
      </c>
      <c r="T11" s="22">
        <f t="shared" si="0"/>
        <v>9.0776841453549988</v>
      </c>
      <c r="U11" s="24">
        <f>IF((U12)&gt;9,1,IF(AND(U12&gt;7,U12&lt;=8.9),2,IF(AND(U12&gt;4,U12&lt;=6.9),3,IF(AND(U12&gt;0,U12&lt;=3.9),4,0))))</f>
        <v>2</v>
      </c>
      <c r="V11" s="25">
        <f>IF((V12)&gt;9,1,IF(AND(V12&gt;7,V12&lt;=8.9),2,IF(AND(V12&gt;4,V12&lt;=6.9),3,IF(AND(V12&gt;0,V12&lt;=3.9),4,0))))</f>
        <v>3</v>
      </c>
      <c r="W11" s="26">
        <f>IF((W12)&gt;9,1,IF(AND(W12&gt;7,W12&lt;=8.9),2,IF(AND(W12&gt;4,W12&lt;=6.9),3,IF(AND(W12&gt;0,W12&lt;=3.9),4,0))))</f>
        <v>3</v>
      </c>
      <c r="X11" s="20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</row>
    <row r="12" spans="1:69" x14ac:dyDescent="0.25">
      <c r="B12" t="s">
        <v>32</v>
      </c>
      <c r="C12">
        <v>857230</v>
      </c>
      <c r="D12">
        <v>899044</v>
      </c>
      <c r="E12">
        <v>936830</v>
      </c>
      <c r="F12" s="3"/>
      <c r="G12">
        <f t="shared" si="3"/>
        <v>39816.98212237253</v>
      </c>
      <c r="H12">
        <f t="shared" si="1"/>
        <v>39816.98212237253</v>
      </c>
      <c r="I12">
        <v>3</v>
      </c>
      <c r="J12">
        <f t="shared" si="4"/>
        <v>2693104</v>
      </c>
      <c r="K12">
        <f t="shared" si="2"/>
        <v>67.637069824204175</v>
      </c>
      <c r="L12">
        <f>MEDIAN(K11:K13)</f>
        <v>119.11462763027428</v>
      </c>
      <c r="M12">
        <f>L12+L11*0.25</f>
        <v>126.67849742044329</v>
      </c>
      <c r="N12">
        <f>M12+L11*0.66</f>
        <v>146.64711366648947</v>
      </c>
      <c r="O12">
        <f>N12+L11*1</f>
        <v>176.90259282716551</v>
      </c>
      <c r="P12">
        <f>O12+L11*1.5</f>
        <v>222.28581156817955</v>
      </c>
      <c r="Q12">
        <f>IF((K12)&lt;P11,10,IF(AND(K12&gt;=P11,K12&lt;O11),7.75,IF(AND(K12&gt;=O11,K12&lt;N11),5.5,IF(AND(K12&gt;=N11,K12&lt;M11),3.25,IF(AND(K12&gt;=M11,K12&lt;=M12),1,IF(AND(K12&gt;M12,K12&lt;=N12),3.25,IF(AND(K12&gt;N12,K12&lt;=O12),5.5,IF(AND(K12&gt;O12,K12&lt;=P12),7.75,10))))))))</f>
        <v>5.5</v>
      </c>
      <c r="R12" s="22">
        <f>BaseScore!$G$6</f>
        <v>4.542328488599999</v>
      </c>
      <c r="S12" s="22">
        <f>EnvirScore!$H$6</f>
        <v>3.5353556567549993</v>
      </c>
      <c r="T12" s="22">
        <f t="shared" si="0"/>
        <v>13.577684145354999</v>
      </c>
      <c r="U12" s="31">
        <f>((Q11+R11)+(Q12+R12)+(Q13+R13))/3</f>
        <v>7.042328488599999</v>
      </c>
      <c r="V12" s="31">
        <f>((Q11+S11)+(Q12+S12)+(Q13+S13))/3</f>
        <v>6.0353556567549989</v>
      </c>
      <c r="W12" s="30">
        <f>(SUM(U12:V12))/2</f>
        <v>6.5388420726774985</v>
      </c>
      <c r="X12" s="20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</row>
    <row r="13" spans="1:69" ht="15.75" thickBot="1" x14ac:dyDescent="0.3">
      <c r="B13" t="s">
        <v>33</v>
      </c>
      <c r="C13">
        <v>903751</v>
      </c>
      <c r="D13">
        <v>895933</v>
      </c>
      <c r="E13">
        <v>861739</v>
      </c>
      <c r="F13" s="3"/>
      <c r="G13">
        <f t="shared" si="3"/>
        <v>22343.376736742368</v>
      </c>
      <c r="H13">
        <f t="shared" si="1"/>
        <v>22343.376736742368</v>
      </c>
      <c r="I13">
        <v>3</v>
      </c>
      <c r="J13">
        <f t="shared" si="4"/>
        <v>2661423</v>
      </c>
      <c r="K13">
        <f t="shared" si="2"/>
        <v>119.11462763027428</v>
      </c>
      <c r="Q13">
        <f>IF((K13)&lt;P11,10,IF(AND(K13&gt;=P11,K13&lt;O11),7.75,IF(AND(K13&gt;=O11,K13&lt;N11),5.5,IF(AND(K13&gt;=N11,K13&lt;M11),3.25,IF(AND(K13&gt;=M11,K13&lt;=M12),1,IF(AND(K13&gt;M12,K13&lt;=N12),3.25,IF(AND(K13&gt;N12,K13&lt;=O12),5.5,IF(AND(K13&gt;O12,K13&lt;=P12),7.75,10))))))))</f>
        <v>1</v>
      </c>
      <c r="R13" s="22">
        <f>BaseScore!$G$6</f>
        <v>4.542328488599999</v>
      </c>
      <c r="S13" s="22">
        <f>EnvirScore!$H$6</f>
        <v>3.5353556567549993</v>
      </c>
      <c r="T13" s="22">
        <f t="shared" si="0"/>
        <v>9.0776841453549988</v>
      </c>
      <c r="U13" s="12"/>
      <c r="V13" s="12"/>
      <c r="W13" s="12"/>
      <c r="X13" s="20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</row>
    <row r="14" spans="1:69" ht="15.75" thickBot="1" x14ac:dyDescent="0.3">
      <c r="A14" s="13" t="s">
        <v>19</v>
      </c>
      <c r="B14" s="13" t="s">
        <v>31</v>
      </c>
      <c r="C14" s="13">
        <v>934246</v>
      </c>
      <c r="D14" s="13">
        <f>915933+C14</f>
        <v>1850179</v>
      </c>
      <c r="E14" s="13">
        <f>889199+D14</f>
        <v>2739378</v>
      </c>
      <c r="F14" s="13"/>
      <c r="G14" s="13">
        <f t="shared" si="3"/>
        <v>902598.99360254826</v>
      </c>
      <c r="H14" s="13">
        <f t="shared" si="1"/>
        <v>902598.99360254826</v>
      </c>
      <c r="I14" s="13">
        <v>3</v>
      </c>
      <c r="J14" s="13">
        <f t="shared" ref="J14:J16" si="5">SUM(C14,D14,E14)</f>
        <v>5523803</v>
      </c>
      <c r="K14" s="13">
        <f t="shared" si="2"/>
        <v>6.1198860614200496</v>
      </c>
      <c r="L14" s="13">
        <f>_xlfn.STDEV.S(K14:K16)</f>
        <v>0.1914934709064825</v>
      </c>
      <c r="M14" s="13">
        <f>L15-L14*0.25</f>
        <v>6.0562457528064559</v>
      </c>
      <c r="N14" s="13">
        <f>M14-L14*0.66</f>
        <v>5.9298600620081778</v>
      </c>
      <c r="O14" s="13">
        <f>N14-L14*1</f>
        <v>5.7383665911016957</v>
      </c>
      <c r="P14" s="13">
        <f>O14-L14*1.5</f>
        <v>5.451126384741972</v>
      </c>
      <c r="Q14" s="13">
        <f>IF((K14)&lt;P14,10,IF(AND(K14&gt;=P14,K14&lt;O14),7.75,IF(AND(K14&gt;=O14,K14&lt;N14),5.5,IF(AND(K14&gt;=N14,K14&lt;M14),3.25,IF(AND(K14&gt;=M14,K14&lt;=M15),1,IF(AND(K14&gt;M15,K14&lt;=N15),3.25,IF(AND(K14&gt;N15,K14&lt;=O15),5.5,IF(AND(K14&gt;O15,K14&lt;=P15),7.75,10))))))))</f>
        <v>1</v>
      </c>
      <c r="R14" s="22">
        <f>BaseScore!$G$8</f>
        <v>3.9495021845999996</v>
      </c>
      <c r="S14" s="22">
        <f>EnvirScore!$H$8</f>
        <v>4.9516538519549993</v>
      </c>
      <c r="T14" s="22">
        <f t="shared" si="0"/>
        <v>9.9011560365549993</v>
      </c>
      <c r="U14" s="24">
        <f>IF((U15)&gt;9,1,IF(AND(U15&gt;7,U15&lt;=8.9),2,IF(AND(U15&gt;4,U15&lt;=6.9),3,IF(AND(U15&gt;0,U15&lt;=3.9),4,0))))</f>
        <v>3</v>
      </c>
      <c r="V14" s="25">
        <f>IF((V15)&gt;9,1,IF(AND(V15&gt;7,V15&lt;=8.9),2,IF(AND(V15&gt;4,V15&lt;=6.9),3,IF(AND(V15&gt;0,V15&lt;=3.9),4,0))))</f>
        <v>2</v>
      </c>
      <c r="W14" s="26">
        <f>IF((W15)&gt;9,1,IF(AND(W15&gt;7,W15&lt;=8.9),2,IF(AND(W15&gt;4,W15&lt;=6.9),3,IF(AND(W15&gt;0,W15&lt;=3.9),4,0))))</f>
        <v>0</v>
      </c>
      <c r="X14" s="20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</row>
    <row r="15" spans="1:69" x14ac:dyDescent="0.25">
      <c r="B15" t="s">
        <v>32</v>
      </c>
      <c r="C15">
        <v>857230</v>
      </c>
      <c r="D15">
        <f>899044+C15</f>
        <v>1756274</v>
      </c>
      <c r="E15">
        <f>936830+D15</f>
        <v>2693104</v>
      </c>
      <c r="F15" s="3"/>
      <c r="G15">
        <f t="shared" si="3"/>
        <v>918001.80707084283</v>
      </c>
      <c r="H15">
        <f t="shared" si="1"/>
        <v>918001.80707084283</v>
      </c>
      <c r="I15">
        <v>3</v>
      </c>
      <c r="J15">
        <f t="shared" si="5"/>
        <v>5306608</v>
      </c>
      <c r="K15">
        <f t="shared" si="2"/>
        <v>5.7806073573344126</v>
      </c>
      <c r="L15">
        <f>MEDIAN(K14:K16)</f>
        <v>6.1041191205330767</v>
      </c>
      <c r="M15">
        <f>L15+L14*0.25</f>
        <v>6.1519924882596975</v>
      </c>
      <c r="N15">
        <f>M15+L14*0.66</f>
        <v>6.2783781790579756</v>
      </c>
      <c r="O15">
        <f>N15+L14*1</f>
        <v>6.4698716499644577</v>
      </c>
      <c r="P15">
        <f>O15+L14*1.5</f>
        <v>6.7571118563241814</v>
      </c>
      <c r="Q15">
        <f>IF((K15)&lt;P14,10,IF(AND(K15&gt;=P14,K15&lt;O14),7.75,IF(AND(K15&gt;=O14,K15&lt;N14),5.5,IF(AND(K15&gt;=N14,K15&lt;M14),3.25,IF(AND(K15&gt;=M14,K15&lt;=M15),1,IF(AND(K15&gt;M15,K15&lt;=N15),3.25,IF(AND(K15&gt;N15,K15&lt;=O15),5.5,IF(AND(K15&gt;O15,K15&lt;=P15),7.75,10))))))))</f>
        <v>5.5</v>
      </c>
      <c r="R15" s="22">
        <f>BaseScore!$G$8</f>
        <v>3.9495021845999996</v>
      </c>
      <c r="S15" s="22">
        <f>EnvirScore!$H$8</f>
        <v>4.9516538519549993</v>
      </c>
      <c r="T15" s="22">
        <f t="shared" si="0"/>
        <v>14.401156036554999</v>
      </c>
      <c r="U15" s="31">
        <f>((Q14+R14)+(Q15+R15)+(Q16+R16))/3</f>
        <v>6.4495021846</v>
      </c>
      <c r="V15" s="31">
        <f>((Q14+S14)+(Q15+S15)+(Q16+S16))/3</f>
        <v>7.4516538519549984</v>
      </c>
      <c r="W15" s="30">
        <f>(SUM(U15:V15))/2</f>
        <v>6.9505780182774988</v>
      </c>
      <c r="X15" s="20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</row>
    <row r="16" spans="1:69" ht="15.75" thickBot="1" x14ac:dyDescent="0.3">
      <c r="B16" t="s">
        <v>33</v>
      </c>
      <c r="C16">
        <v>903751</v>
      </c>
      <c r="D16">
        <f>895933+C16</f>
        <v>1799684</v>
      </c>
      <c r="E16">
        <f>861739+D16</f>
        <v>2661423</v>
      </c>
      <c r="F16" s="3"/>
      <c r="G16">
        <f t="shared" si="3"/>
        <v>878891.43282831018</v>
      </c>
      <c r="H16">
        <f t="shared" si="1"/>
        <v>878891.43282831018</v>
      </c>
      <c r="I16">
        <v>3</v>
      </c>
      <c r="J16">
        <f t="shared" si="5"/>
        <v>5364858</v>
      </c>
      <c r="K16">
        <f t="shared" si="2"/>
        <v>6.1041191205330767</v>
      </c>
      <c r="Q16">
        <f>IF((K16)&lt;P14,10,IF(AND(K16&gt;=P14,K16&lt;O14),7.75,IF(AND(K16&gt;=O14,K16&lt;N14),5.5,IF(AND(K16&gt;=N14,K16&lt;M14),3.25,IF(AND(K16&gt;=M14,K16&lt;=M15),1,IF(AND(K16&gt;M15,K16&lt;=N15),3.25,IF(AND(K16&gt;N15,K16&lt;=O15),5.5,IF(AND(K16&gt;O15,K16&lt;=P15),7.75,10))))))))</f>
        <v>1</v>
      </c>
      <c r="R16" s="22">
        <f>BaseScore!$G$8</f>
        <v>3.9495021845999996</v>
      </c>
      <c r="S16" s="22">
        <f>EnvirScore!$H$8</f>
        <v>4.9516538519549993</v>
      </c>
      <c r="T16" s="22">
        <f t="shared" si="0"/>
        <v>9.9011560365549993</v>
      </c>
      <c r="U16" s="12"/>
      <c r="V16" s="12"/>
      <c r="W16" s="12"/>
      <c r="X16" s="20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</row>
    <row r="17" spans="1:69" ht="15.75" thickBot="1" x14ac:dyDescent="0.3">
      <c r="A17" s="13" t="s">
        <v>20</v>
      </c>
      <c r="B17" s="13" t="s">
        <v>31</v>
      </c>
      <c r="C17" s="13"/>
      <c r="D17" s="13"/>
      <c r="E17" s="13"/>
      <c r="F17" s="13">
        <f>E14</f>
        <v>2739378</v>
      </c>
      <c r="G17" s="13">
        <f>_xlfn.STDEV.S(F17,F18,F19)</f>
        <v>39204.487119886333</v>
      </c>
      <c r="H17" s="13">
        <f t="shared" si="1"/>
        <v>39204.487119886333</v>
      </c>
      <c r="I17" s="13">
        <v>3</v>
      </c>
      <c r="J17" s="13">
        <f>SUM(F17:F19)</f>
        <v>8093905</v>
      </c>
      <c r="K17" s="13">
        <f t="shared" si="2"/>
        <v>206.45353617939301</v>
      </c>
      <c r="L17" s="13">
        <f>H17</f>
        <v>39204.487119886333</v>
      </c>
      <c r="M17" s="13">
        <f>L18-L17*0.25</f>
        <v>2683302.8782200282</v>
      </c>
      <c r="N17" s="13">
        <f>M17-L17*0.66</f>
        <v>2657427.9167209035</v>
      </c>
      <c r="O17" s="13">
        <f>N17-L17*1</f>
        <v>2618223.4296010169</v>
      </c>
      <c r="P17" s="13">
        <f>O17-L17*1.5</f>
        <v>2559416.6989211873</v>
      </c>
      <c r="Q17" s="13">
        <f>IF((F17)&lt;P17,1,IF(AND(F17&gt;=P17,F17&lt;O17),7.75,IF(AND(F17&gt;=O17,F17&lt;N17),5.5,IF(AND(F17&gt;=N17,F17&lt;M17),3.25,IF(AND(F17&gt;=M17,F17&lt;=M18),1,IF(AND(F17&gt;M18,F17&lt;=N18),3.25,IF(AND(F17&gt;N18,F17&lt;=O18),5.5,IF(AND(F17&gt;O18,F17&lt;=P18),7.75,10))))))))</f>
        <v>5.5</v>
      </c>
      <c r="R17" s="22">
        <f>BaseScore!$G$9</f>
        <v>3.7647008405999998</v>
      </c>
      <c r="S17" s="22">
        <f>EnvirScore!$H$9</f>
        <v>3.5571116567549996</v>
      </c>
      <c r="T17" s="22">
        <f t="shared" si="0"/>
        <v>12.821812497354999</v>
      </c>
      <c r="U17" s="24">
        <f>IF((U18)&gt;9,1,IF(AND(U18&gt;7,U18&lt;=8.9),2,IF(AND(U18&gt;4,U18&lt;=6.9),3,IF(AND(U18&gt;0,U18&lt;=3.9),4,0))))</f>
        <v>2</v>
      </c>
      <c r="V17" s="25">
        <f>IF((V18)&gt;9,1,IF(AND(V18&gt;7,V18&lt;=8.9),2,IF(AND(V18&gt;4,V18&lt;=6.9),3,IF(AND(V18&gt;0,V18&lt;=3.9),4,0))))</f>
        <v>3</v>
      </c>
      <c r="W17" s="26">
        <f>IF((W18)&gt;9,1,IF(AND(W18&gt;7,W18&lt;=8.9),2,IF(AND(W18&gt;4,W18&lt;=6.9),3,IF(AND(W18&gt;0,W18&lt;=3.9),4,0))))</f>
        <v>0</v>
      </c>
      <c r="X17" s="20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</row>
    <row r="18" spans="1:69" x14ac:dyDescent="0.25">
      <c r="B18" t="s">
        <v>32</v>
      </c>
      <c r="C18" s="3"/>
      <c r="D18" s="3"/>
      <c r="E18" s="3"/>
      <c r="F18">
        <f t="shared" ref="F18:F19" si="6">E15</f>
        <v>2693104</v>
      </c>
      <c r="L18">
        <f>MEDIAN(F17:F19)</f>
        <v>2693104</v>
      </c>
      <c r="M18">
        <f>L18+L17*0.25</f>
        <v>2702905.1217799718</v>
      </c>
      <c r="N18">
        <f>M18+L17*0.66</f>
        <v>2728780.0832790965</v>
      </c>
      <c r="O18">
        <f>N18+L17*1</f>
        <v>2767984.5703989831</v>
      </c>
      <c r="P18">
        <f>O18+L17*1.5</f>
        <v>2826791.3010788127</v>
      </c>
      <c r="Q18">
        <f>IF((F18)&lt;P17,10,IF(AND(F18&gt;=P17,F18&lt;O17),7.75,IF(AND(F18&gt;=O17,F18&lt;N17),5.5,IF(AND(F18&gt;=N17,F18&lt;M17),3.25,IF(AND(F18&gt;=M17,F18&lt;=M18),1,IF(AND(F18&gt;M18,F18&lt;=N18),3.25,IF(AND(F18&gt;N18,F18&lt;=O18),5.5,IF(AND(F18&gt;O18,F18&lt;=P18),7.75,10))))))))</f>
        <v>1</v>
      </c>
      <c r="R18" s="22">
        <f>BaseScore!$G$9</f>
        <v>3.7647008405999998</v>
      </c>
      <c r="S18" s="22">
        <f>EnvirScore!$H$9</f>
        <v>3.5571116567549996</v>
      </c>
      <c r="T18" s="22">
        <f t="shared" si="0"/>
        <v>8.3218124973549994</v>
      </c>
      <c r="U18" s="31">
        <f>((Q17+R17)+(Q18+R18)+(Q19+R19))/3</f>
        <v>7.0147008405999998</v>
      </c>
      <c r="V18" s="31">
        <f>((Q17+S17)+(Q18+S18)+(Q19+S19))/3</f>
        <v>6.8071116567550005</v>
      </c>
      <c r="W18" s="30">
        <f>(SUM(U18:V18))/2</f>
        <v>6.9109062486775006</v>
      </c>
      <c r="X18" s="20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</row>
    <row r="19" spans="1:69" ht="15.75" thickBot="1" x14ac:dyDescent="0.3">
      <c r="B19" t="s">
        <v>33</v>
      </c>
      <c r="C19" s="3"/>
      <c r="D19" s="3"/>
      <c r="E19" s="3"/>
      <c r="F19">
        <f t="shared" si="6"/>
        <v>2661423</v>
      </c>
      <c r="Q19">
        <f>IF((F19)&lt;P17,10,IF(AND(F19&gt;=P17,F19&lt;O17),7.75,IF(AND(F19&gt;=O17,F19&lt;N17),5.5,IF(AND(F19&gt;=N17,F19&lt;M17),3.25,IF(AND(F19&gt;=M17,F19&lt;=M18),1,IF(AND(F19&gt;M18,F19&lt;=N18),3.25,IF(AND(F19&gt;N18,F19&lt;=O18),5.5,IF(AND(F19&gt;O18,F19&lt;=P18),7.75,10))))))))</f>
        <v>3.25</v>
      </c>
      <c r="R19" s="22">
        <f>BaseScore!$G$9</f>
        <v>3.7647008405999998</v>
      </c>
      <c r="S19" s="22">
        <f>EnvirScore!$H$9</f>
        <v>3.5571116567549996</v>
      </c>
      <c r="T19" s="22">
        <f t="shared" si="0"/>
        <v>10.571812497354999</v>
      </c>
      <c r="U19" s="12"/>
      <c r="V19" s="12"/>
      <c r="W19" s="12"/>
      <c r="X19" s="20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</row>
    <row r="20" spans="1:69" ht="15.75" thickBot="1" x14ac:dyDescent="0.3">
      <c r="A20" s="13" t="s">
        <v>21</v>
      </c>
      <c r="B20" s="13" t="s">
        <v>31</v>
      </c>
      <c r="C20" s="13"/>
      <c r="D20" s="13"/>
      <c r="E20" s="13"/>
      <c r="F20" s="13">
        <v>4</v>
      </c>
      <c r="G20" s="13">
        <f>_xlfn.STDEV.S(F20,F21,F22)</f>
        <v>0</v>
      </c>
      <c r="H20" s="13">
        <f t="shared" ref="H20" si="7">IF(G20=0,1,G20)</f>
        <v>1</v>
      </c>
      <c r="I20" s="13">
        <v>1</v>
      </c>
      <c r="J20" s="13">
        <f>SUM(G20:I20)</f>
        <v>2</v>
      </c>
      <c r="K20" s="13">
        <f t="shared" ref="K20" si="8">J20/H20</f>
        <v>2</v>
      </c>
      <c r="L20" s="13">
        <f>H20</f>
        <v>1</v>
      </c>
      <c r="M20" s="13">
        <f>L21-L20*0.25</f>
        <v>3.75</v>
      </c>
      <c r="N20" s="13">
        <f>M20-L20*0.66</f>
        <v>3.09</v>
      </c>
      <c r="O20" s="13">
        <f>N20-L20*1</f>
        <v>2.09</v>
      </c>
      <c r="P20" s="13">
        <f>O20-L20*1.5</f>
        <v>0.58999999999999986</v>
      </c>
      <c r="Q20" s="13">
        <f>IF((F20)&lt;P20,1,IF(AND(F20&gt;=P20,F20&lt;O20),7.75,IF(AND(F20&gt;=O20,F20&lt;N20),5.5,IF(AND(F20&gt;=N20,F20&lt;M20),3.25,IF(AND(F20&gt;=M20,F20&lt;=M21),1,IF(AND(F20&gt;M21,F20&lt;=N21),3.25,IF(AND(F20&gt;N21,F20&lt;=O21),5.5,IF(AND(F20&gt;O21,F20&lt;=P21),7.75,10))))))))</f>
        <v>1</v>
      </c>
      <c r="R20" s="22">
        <f>BaseScore!$G$10</f>
        <v>4.8596885525999998</v>
      </c>
      <c r="S20" s="22">
        <f>EnvirScore!$H$10</f>
        <v>3.5788676567549995</v>
      </c>
      <c r="T20" s="22">
        <f t="shared" si="0"/>
        <v>9.4385562093549993</v>
      </c>
      <c r="U20" s="24">
        <f>IF((U21)&gt;9,1,IF(AND(U21&gt;7,U21&lt;=8.9),2,IF(AND(U21&gt;4,U21&lt;=6.9),3,IF(AND(U21&gt;0,U21&lt;=3.9),4,0))))</f>
        <v>3</v>
      </c>
      <c r="V20" s="25">
        <f>IF((V21)&gt;9,1,IF(AND(V21&gt;7,V21&lt;=8.9),2,IF(AND(V21&gt;4,V21&lt;=6.9),3,IF(AND(V21&gt;0,V21&lt;=3.9),4,0))))</f>
        <v>3</v>
      </c>
      <c r="W20" s="26">
        <f>IF((W21)&gt;9,1,IF(AND(W21&gt;7,W21&lt;=8.9),2,IF(AND(W21&gt;4,W21&lt;=6.9),3,IF(AND(W21&gt;0,W21&lt;=3.9),4,0))))</f>
        <v>3</v>
      </c>
      <c r="X20" s="20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</row>
    <row r="21" spans="1:69" x14ac:dyDescent="0.25">
      <c r="B21" t="s">
        <v>32</v>
      </c>
      <c r="C21" s="3"/>
      <c r="D21" s="3"/>
      <c r="E21" s="3"/>
      <c r="F21">
        <v>4</v>
      </c>
      <c r="L21">
        <f>MEDIAN(F20:F22)</f>
        <v>4</v>
      </c>
      <c r="M21">
        <f>L21+L20*0.25</f>
        <v>4.25</v>
      </c>
      <c r="N21">
        <f>M21+L20*0.66</f>
        <v>4.91</v>
      </c>
      <c r="O21">
        <f>N21+L20*1</f>
        <v>5.91</v>
      </c>
      <c r="P21">
        <f>O21+L20*1.5</f>
        <v>7.41</v>
      </c>
      <c r="Q21">
        <f>IF((F21)&lt;P20,10,IF(AND(F21&gt;=P20,F21&lt;O20),7.75,IF(AND(F21&gt;=O20,F21&lt;N20),5.5,IF(AND(F21&gt;=N20,F21&lt;M20),3.25,IF(AND(F21&gt;=M20,F21&lt;=M21),1,IF(AND(F21&gt;M21,F21&lt;=N21),3.25,IF(AND(F21&gt;N21,F21&lt;=O21),5.5,IF(AND(F21&gt;O21,F21&lt;=P21),7.75,10))))))))</f>
        <v>1</v>
      </c>
      <c r="R21" s="22">
        <f>BaseScore!$G$10</f>
        <v>4.8596885525999998</v>
      </c>
      <c r="S21" s="22">
        <f>EnvirScore!$H$10</f>
        <v>3.5788676567549995</v>
      </c>
      <c r="T21" s="22">
        <f t="shared" si="0"/>
        <v>9.4385562093549993</v>
      </c>
      <c r="U21" s="31">
        <f>((Q20+R20)+(Q21+R21)+(Q22+R22))/3</f>
        <v>5.8596885526000007</v>
      </c>
      <c r="V21" s="31">
        <f>((Q20+S20)+(Q21+S21)+(Q22+S22))/3</f>
        <v>4.5788676567549995</v>
      </c>
      <c r="W21" s="30">
        <f>(SUM(U21:V21))/2</f>
        <v>5.2192781046774996</v>
      </c>
      <c r="X21" s="20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</row>
    <row r="22" spans="1:69" ht="15.75" thickBot="1" x14ac:dyDescent="0.3">
      <c r="B22" t="s">
        <v>33</v>
      </c>
      <c r="C22" s="3"/>
      <c r="D22" s="3"/>
      <c r="E22" s="3"/>
      <c r="F22">
        <v>4</v>
      </c>
      <c r="Q22">
        <f>IF((F22)&lt;P20,10,IF(AND(F22&gt;=P20,F22&lt;O20),7.75,IF(AND(F22&gt;=O20,F22&lt;N20),5.5,IF(AND(F22&gt;=N20,F22&lt;M20),3.25,IF(AND(F22&gt;=M20,F22&lt;=M21),1,IF(AND(F22&gt;M21,F22&lt;=N21),3.25,IF(AND(F22&gt;N21,F22&lt;=O21),5.5,IF(AND(F22&gt;O21,F22&lt;=P21),7.75,10))))))))</f>
        <v>1</v>
      </c>
      <c r="R22" s="22">
        <f>BaseScore!$G$10</f>
        <v>4.8596885525999998</v>
      </c>
      <c r="S22" s="22">
        <f>EnvirScore!$H$10</f>
        <v>3.5788676567549995</v>
      </c>
      <c r="T22" s="22">
        <f t="shared" si="0"/>
        <v>9.4385562093549993</v>
      </c>
      <c r="U22" s="12"/>
      <c r="V22" s="12"/>
      <c r="W22" s="12"/>
      <c r="X22" s="20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</row>
    <row r="23" spans="1:69" ht="24" thickBot="1" x14ac:dyDescent="0.3">
      <c r="A23" s="13" t="s">
        <v>22</v>
      </c>
      <c r="B23" s="13" t="s">
        <v>31</v>
      </c>
      <c r="C23" s="14" t="s">
        <v>49</v>
      </c>
      <c r="D23" s="14" t="s">
        <v>49</v>
      </c>
      <c r="E23" s="14" t="s">
        <v>49</v>
      </c>
      <c r="F23" s="13"/>
      <c r="G23" s="13">
        <v>0</v>
      </c>
      <c r="H23" s="13">
        <f t="shared" ref="H23:H25" si="9">IF(G23=0,1,G23)</f>
        <v>1</v>
      </c>
      <c r="I23" s="13">
        <v>3</v>
      </c>
      <c r="J23" s="13"/>
      <c r="K23" s="13"/>
      <c r="L23" s="13"/>
      <c r="M23" s="13"/>
      <c r="N23" s="13"/>
      <c r="O23" s="13"/>
      <c r="P23" s="13"/>
      <c r="Q23" s="13">
        <f>IF(AND(C23=C24,C23=C25),1,10)</f>
        <v>1</v>
      </c>
      <c r="R23" s="22">
        <f>BaseScore!$G$11</f>
        <v>4.6913512085999995</v>
      </c>
      <c r="S23" s="22">
        <f>EnvirScore!$H$11</f>
        <v>3.5788676567549995</v>
      </c>
      <c r="T23" s="22">
        <f t="shared" si="0"/>
        <v>9.2702188653549982</v>
      </c>
      <c r="U23" s="24">
        <f>IF((U24)&gt;9,1,IF(AND(U24&gt;7,U24&lt;=8.9),2,IF(AND(U24&gt;4,U24&lt;=6.9),3,IF(AND(U24&gt;0,U24&lt;=3.9),4,0))))</f>
        <v>3</v>
      </c>
      <c r="V23" s="25">
        <f>IF((V24)&gt;9,1,IF(AND(V24&gt;7,V24&lt;=8.9),2,IF(AND(V24&gt;4,V24&lt;=6.9),3,IF(AND(V24&gt;0,V24&lt;=3.9),4,0))))</f>
        <v>3</v>
      </c>
      <c r="W23" s="26">
        <f>IF((W24)&gt;9,1,IF(AND(W24&gt;7,W24&lt;=8.9),2,IF(AND(W24&gt;4,W24&lt;=6.9),3,IF(AND(W24&gt;0,W24&lt;=3.9),4,0))))</f>
        <v>3</v>
      </c>
      <c r="X23" s="20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</row>
    <row r="24" spans="1:69" ht="23.25" x14ac:dyDescent="0.25">
      <c r="B24" t="s">
        <v>32</v>
      </c>
      <c r="C24" s="6" t="s">
        <v>49</v>
      </c>
      <c r="D24" s="6" t="s">
        <v>49</v>
      </c>
      <c r="E24" s="6" t="s">
        <v>49</v>
      </c>
      <c r="F24" s="3"/>
      <c r="G24">
        <v>0</v>
      </c>
      <c r="H24">
        <f t="shared" si="9"/>
        <v>1</v>
      </c>
      <c r="I24">
        <v>3</v>
      </c>
      <c r="Q24" s="16">
        <f>IF(AND(D23=D24,D23=D25),1,10)</f>
        <v>1</v>
      </c>
      <c r="R24" s="22">
        <f>BaseScore!$G$11</f>
        <v>4.6913512085999995</v>
      </c>
      <c r="S24" s="22">
        <f>EnvirScore!$H$11</f>
        <v>3.5788676567549995</v>
      </c>
      <c r="T24" s="22">
        <f t="shared" si="0"/>
        <v>9.2702188653549982</v>
      </c>
      <c r="U24" s="31">
        <f>((Q23+R23)+(Q24+R24)+(Q25+R25))/3</f>
        <v>5.6913512085999995</v>
      </c>
      <c r="V24" s="31">
        <f>((Q23+S23)+(Q24+S24)+(Q25+S25))/3</f>
        <v>4.5788676567549995</v>
      </c>
      <c r="W24" s="30">
        <f>(SUM(U24:V24))/2</f>
        <v>5.1351094326774991</v>
      </c>
      <c r="X24" s="20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</row>
    <row r="25" spans="1:69" ht="24" thickBot="1" x14ac:dyDescent="0.3">
      <c r="B25" t="s">
        <v>33</v>
      </c>
      <c r="C25" s="6" t="s">
        <v>49</v>
      </c>
      <c r="D25" s="6" t="s">
        <v>49</v>
      </c>
      <c r="E25" s="6" t="s">
        <v>49</v>
      </c>
      <c r="F25" s="3"/>
      <c r="G25">
        <v>0</v>
      </c>
      <c r="H25">
        <f t="shared" si="9"/>
        <v>1</v>
      </c>
      <c r="I25">
        <v>3</v>
      </c>
      <c r="Q25" s="16">
        <f>IF(AND(D23=D24,D23=D25),1,10)</f>
        <v>1</v>
      </c>
      <c r="R25" s="22">
        <f>BaseScore!$G$11</f>
        <v>4.6913512085999995</v>
      </c>
      <c r="S25" s="22">
        <f>EnvirScore!$H$11</f>
        <v>3.5788676567549995</v>
      </c>
      <c r="T25" s="22">
        <f t="shared" si="0"/>
        <v>9.2702188653549982</v>
      </c>
      <c r="U25" s="12"/>
      <c r="V25" s="12"/>
      <c r="W25" s="12"/>
      <c r="X25" s="20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</row>
    <row r="26" spans="1:69" ht="15.75" thickBot="1" x14ac:dyDescent="0.3">
      <c r="A26" s="13" t="s">
        <v>24</v>
      </c>
      <c r="B26" s="13" t="s">
        <v>31</v>
      </c>
      <c r="C26" s="15" t="s">
        <v>43</v>
      </c>
      <c r="D26" s="15" t="s">
        <v>43</v>
      </c>
      <c r="E26" s="15" t="s">
        <v>43</v>
      </c>
      <c r="F26" s="13"/>
      <c r="G26" s="13"/>
      <c r="H26" s="13"/>
      <c r="I26" s="13">
        <v>3</v>
      </c>
      <c r="J26" s="13">
        <f>AVERAGE(L26:O26)</f>
        <v>1</v>
      </c>
      <c r="K26" s="13"/>
      <c r="L26" s="13">
        <f>IF(C26="OpenVSwtich",1,IF(C26="HP FlexFabric 12900",3,IF(C26="Cisco Nexus 9000",3,IF(C26="Juniper OCX1100",3,2))))</f>
        <v>1</v>
      </c>
      <c r="M26" s="4">
        <f>IF(C26="OpenVSwtich",1,IF(C26="HP FlexFabric 12900",3,IF(C26="Cisco Nexus 9000",3,IF(C26="Juniper OCX1100",3,2))))</f>
        <v>1</v>
      </c>
      <c r="N26" s="4">
        <f>IF(D26="OpenVSwtich",1,IF(D26="HP FlexFabric 12900",3,IF(D26="Cisco Nexus 9000",3,IF(D26="Juniper OCX1100",3,2))))</f>
        <v>1</v>
      </c>
      <c r="O26" s="4">
        <f>IF(E26="OpenVSwtich",1,IF(E26="HP FlexFabric 12900",3,IF(E26="Cisco Nexus 9000",3,IF(E26="Juniper OCX1100",3,2))))</f>
        <v>1</v>
      </c>
      <c r="P26" s="4">
        <f>IF(F26="OpenVSwtich",1,IF(F26="HP FlexFabric 12900",3,IF(F26="Cisco Nexus 9000",3,IF(F26="Juniper OCX1100",3,2))))</f>
        <v>2</v>
      </c>
      <c r="Q26" s="13">
        <f>IF((J26)&lt;2,10,IF(AND(J26&gt;=2,J26&lt;3),5,1))</f>
        <v>10</v>
      </c>
      <c r="R26" s="22">
        <f>BaseScore!$G$12</f>
        <v>3.7674103445999991</v>
      </c>
      <c r="S26" s="22">
        <f>EnvirScore!$H$12</f>
        <v>5.4071200631549994</v>
      </c>
      <c r="T26" s="22">
        <f t="shared" si="0"/>
        <v>19.174530407754997</v>
      </c>
      <c r="U26" s="24">
        <f>IF((U27)&gt;9,1,IF(AND(U27&gt;7,U27&lt;=8.9),2,IF(AND(U27&gt;4,U27&lt;=6.9),3,IF(AND(U27&gt;0,U27&lt;=3.9),4,0))))</f>
        <v>1</v>
      </c>
      <c r="V26" s="25">
        <f>IF((V27)&gt;9,1,IF(AND(V27&gt;7,V27&lt;=8.9),2,IF(AND(V27&gt;4,V27&lt;=6.9),3,IF(AND(V27&gt;0,V27&lt;=3.9),4,0))))</f>
        <v>1</v>
      </c>
      <c r="W26" s="26">
        <f>IF((W27)&gt;9,1,IF(AND(W27&gt;7,W27&lt;=8.9),2,IF(AND(W27&gt;4,W27&lt;=6.9),3,IF(AND(W27&gt;0,W27&lt;=3.9),4,0))))</f>
        <v>1</v>
      </c>
      <c r="X26" s="20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</row>
    <row r="27" spans="1:69" x14ac:dyDescent="0.25">
      <c r="B27" t="s">
        <v>32</v>
      </c>
      <c r="C27" s="9" t="s">
        <v>43</v>
      </c>
      <c r="D27" s="9" t="s">
        <v>43</v>
      </c>
      <c r="E27" s="9" t="s">
        <v>43</v>
      </c>
      <c r="F27" s="3"/>
      <c r="I27">
        <v>3</v>
      </c>
      <c r="J27">
        <f>AVERAGE(L27:O27)</f>
        <v>1</v>
      </c>
      <c r="L27">
        <f t="shared" ref="L27:L28" si="10">IF(C27="OpenVSwtich",1,IF(C27="HP FlexFabric 12900",3,IF(C27="Cisco Nexus 9000",3,IF(C27="Juniper OCX1100",3,2))))</f>
        <v>1</v>
      </c>
      <c r="M27" s="4">
        <f>IF(C27="OpenVSwtich",1,IF(C27="HP FlexFabric 12900",3,IF(C27="Cisco Nexus 9000",3,IF(C27="Juniper OCX1100",3,2))))</f>
        <v>1</v>
      </c>
      <c r="N27" s="4">
        <f>IF(D27="OpenVSwtich",1,IF(D27="HP FlexFabric 12900",3,IF(D27="Cisco Nexus 9000",3,IF(D27="Juniper OCX1100",3,2))))</f>
        <v>1</v>
      </c>
      <c r="O27" s="4">
        <f t="shared" ref="O27:P28" si="11">IF(E27="OpenVSwtich",1,IF(E27="HP FlexFabric 12900",3,IF(E27="Cisco Nexus 9000",3,IF(E27="Juniper OCX1100",3,2))))</f>
        <v>1</v>
      </c>
      <c r="P27" s="4">
        <f t="shared" si="11"/>
        <v>2</v>
      </c>
      <c r="Q27" s="16">
        <f t="shared" ref="Q27:Q28" si="12">IF((J27)&lt;2,10,IF(AND(J27&gt;=2,J27&lt;3),5,1))</f>
        <v>10</v>
      </c>
      <c r="R27" s="22">
        <f>BaseScore!$G$12</f>
        <v>3.7674103445999991</v>
      </c>
      <c r="S27" s="22">
        <f>EnvirScore!$H$12</f>
        <v>5.4071200631549994</v>
      </c>
      <c r="T27" s="22">
        <f t="shared" si="0"/>
        <v>19.174530407754997</v>
      </c>
      <c r="U27" s="31">
        <f>((Q26+R26)+(Q27+R27)+(Q28+R28))/3</f>
        <v>13.7674103446</v>
      </c>
      <c r="V27" s="31">
        <f>((Q26+S26)+(Q27+S27)+(Q28+S28))/3</f>
        <v>15.407120063154998</v>
      </c>
      <c r="W27" s="30">
        <f>(SUM(U27:V27))/2</f>
        <v>14.5872652038775</v>
      </c>
      <c r="X27" s="20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</row>
    <row r="28" spans="1:69" ht="15.75" thickBot="1" x14ac:dyDescent="0.3">
      <c r="B28" t="s">
        <v>33</v>
      </c>
      <c r="C28" s="9" t="s">
        <v>43</v>
      </c>
      <c r="D28" s="9" t="s">
        <v>43</v>
      </c>
      <c r="E28" s="9" t="s">
        <v>43</v>
      </c>
      <c r="F28" s="3"/>
      <c r="I28">
        <v>3</v>
      </c>
      <c r="J28">
        <f>AVERAGE(L28:O28)</f>
        <v>1</v>
      </c>
      <c r="L28">
        <f t="shared" si="10"/>
        <v>1</v>
      </c>
      <c r="M28" s="4">
        <f>IF(C28="OpenVSwtich",1,IF(C28="HP FlexFabric 12900",3,IF(C28="Cisco Nexus 9000",3,IF(C28="Juniper OCX1100",3,2))))</f>
        <v>1</v>
      </c>
      <c r="N28" s="4">
        <f>IF(D28="OpenVSwtich",1,IF(D28="HP FlexFabric 12900",3,IF(D28="Cisco Nexus 9000",3,IF(D28="Juniper OCX1100",3,2))))</f>
        <v>1</v>
      </c>
      <c r="O28" s="4">
        <f t="shared" si="11"/>
        <v>1</v>
      </c>
      <c r="P28" s="4">
        <f t="shared" si="11"/>
        <v>2</v>
      </c>
      <c r="Q28" s="16">
        <f t="shared" si="12"/>
        <v>10</v>
      </c>
      <c r="R28" s="22">
        <f>BaseScore!$G$12</f>
        <v>3.7674103445999991</v>
      </c>
      <c r="S28" s="22">
        <f>EnvirScore!$H$12</f>
        <v>5.4071200631549994</v>
      </c>
      <c r="T28" s="22">
        <f t="shared" si="0"/>
        <v>19.174530407754997</v>
      </c>
      <c r="U28" s="12"/>
      <c r="V28" s="12"/>
      <c r="W28" s="12"/>
      <c r="X28" s="20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</row>
    <row r="29" spans="1:69" ht="15.75" thickBot="1" x14ac:dyDescent="0.3">
      <c r="A29" s="13" t="s">
        <v>26</v>
      </c>
      <c r="B29" s="13" t="s">
        <v>31</v>
      </c>
      <c r="C29" s="13"/>
      <c r="D29" s="13"/>
      <c r="E29" s="13"/>
      <c r="F29" s="13">
        <v>8</v>
      </c>
      <c r="G29" s="13">
        <f>_xlfn.STDEV.S(F29,F30,F31)</f>
        <v>0</v>
      </c>
      <c r="H29" s="13">
        <f t="shared" ref="H29" si="13">IF(G29=0,1,G29)</f>
        <v>1</v>
      </c>
      <c r="I29" s="13">
        <v>1</v>
      </c>
      <c r="J29" s="13">
        <f>SUM(G29:I29)</f>
        <v>2</v>
      </c>
      <c r="K29" s="13">
        <f t="shared" ref="K29" si="14">J29/H29</f>
        <v>2</v>
      </c>
      <c r="L29" s="13">
        <f>H29</f>
        <v>1</v>
      </c>
      <c r="M29" s="13">
        <f>L30-L29*0.25</f>
        <v>7.75</v>
      </c>
      <c r="N29" s="13">
        <f>M29-L29*0.66</f>
        <v>7.09</v>
      </c>
      <c r="O29" s="13">
        <f>N29-L29*1</f>
        <v>6.09</v>
      </c>
      <c r="P29" s="13">
        <f>O29-L29*1.5</f>
        <v>4.59</v>
      </c>
      <c r="Q29" s="13">
        <f>IF((F29)&lt;P29,1,IF(AND(F29&gt;=P29,F29&lt;O29),7.75,IF(AND(F29&gt;=O29,F29&lt;N29),5.5,IF(AND(F29&gt;=N29,F29&lt;M29),3.25,IF(AND(F29&gt;=M29,F29&lt;=M30),1,IF(AND(F29&gt;M30,F29&lt;=N30),3.25,IF(AND(F29&gt;N30,F29&lt;=O30),5.5,IF(AND(F29&gt;O30,F29&lt;=P30),7.75,10))))))))</f>
        <v>1</v>
      </c>
      <c r="R29" s="22">
        <f>BaseScore!$G$13</f>
        <v>3.7647008405999998</v>
      </c>
      <c r="S29" s="22">
        <f>EnvirScore!$H$13</f>
        <v>3.4787900567549999</v>
      </c>
      <c r="T29" s="22">
        <f t="shared" si="0"/>
        <v>8.2434908973549987</v>
      </c>
      <c r="U29" s="24">
        <f>IF((U30)&gt;9,1,IF(AND(U30&gt;7,U30&lt;=8.9),2,IF(AND(U30&gt;4,U30&lt;=6.9),3,IF(AND(U30&gt;0,U30&lt;=3.9),4,0))))</f>
        <v>3</v>
      </c>
      <c r="V29" s="25">
        <f>IF((V30)&gt;9,1,IF(AND(V30&gt;7,V30&lt;=8.9),2,IF(AND(V30&gt;4,V30&lt;=6.9),3,IF(AND(V30&gt;0,V30&lt;=3.9),4,0))))</f>
        <v>3</v>
      </c>
      <c r="W29" s="26">
        <f>IF((W30)&gt;9,1,IF(AND(W30&gt;7,W30&lt;=8.9),2,IF(AND(W30&gt;4,W30&lt;=6.9),3,IF(AND(W30&gt;0,W30&lt;=3.9),4,0))))</f>
        <v>3</v>
      </c>
      <c r="X29" s="20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</row>
    <row r="30" spans="1:69" x14ac:dyDescent="0.25">
      <c r="B30" t="s">
        <v>32</v>
      </c>
      <c r="C30" s="3"/>
      <c r="D30" s="3"/>
      <c r="E30" s="3"/>
      <c r="F30">
        <v>8</v>
      </c>
      <c r="L30">
        <f>MEDIAN(F29:F31)</f>
        <v>8</v>
      </c>
      <c r="M30">
        <f>L30+L29*0.25</f>
        <v>8.25</v>
      </c>
      <c r="N30">
        <f>M30+L29*0.66</f>
        <v>8.91</v>
      </c>
      <c r="O30">
        <f>N30+L29*1</f>
        <v>9.91</v>
      </c>
      <c r="P30">
        <f>O30+L29*1.5</f>
        <v>11.41</v>
      </c>
      <c r="Q30">
        <f>IF((F30)&lt;P29,10,IF(AND(F30&gt;=P29,F30&lt;O29),7.75,IF(AND(F30&gt;=O29,F30&lt;N29),5.5,IF(AND(F30&gt;=N29,F30&lt;M29),3.25,IF(AND(F30&gt;=M29,F30&lt;=M30),1,IF(AND(F30&gt;M30,F30&lt;=N30),3.25,IF(AND(F30&gt;N30,F30&lt;=O30),5.5,IF(AND(F30&gt;O30,F30&lt;=P30),7.75,10))))))))</f>
        <v>1</v>
      </c>
      <c r="R30" s="22">
        <f>BaseScore!$G$13</f>
        <v>3.7647008405999998</v>
      </c>
      <c r="S30" s="22">
        <f>EnvirScore!$H$13</f>
        <v>3.4787900567549999</v>
      </c>
      <c r="T30" s="22">
        <f t="shared" si="0"/>
        <v>8.2434908973549987</v>
      </c>
      <c r="U30" s="31">
        <f>((Q29+R29)+(Q30+R30)+(Q31+R31))/3</f>
        <v>4.7647008405999998</v>
      </c>
      <c r="V30" s="31">
        <f>((Q29+S29)+(Q30+S30)+(Q31+S31))/3</f>
        <v>4.4787900567549999</v>
      </c>
      <c r="W30" s="30">
        <f>(SUM(U30:V30))/2</f>
        <v>4.6217454486774994</v>
      </c>
      <c r="X30" s="20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</row>
    <row r="31" spans="1:69" ht="15.75" thickBot="1" x14ac:dyDescent="0.3">
      <c r="B31" t="s">
        <v>33</v>
      </c>
      <c r="C31" s="3"/>
      <c r="D31" s="3"/>
      <c r="E31" s="3"/>
      <c r="F31">
        <v>8</v>
      </c>
      <c r="Q31">
        <f>IF((F31)&lt;P29,10,IF(AND(F31&gt;=P29,F31&lt;O29),7.75,IF(AND(F31&gt;=O29,F31&lt;N29),5.5,IF(AND(F31&gt;=N29,F31&lt;M29),3.25,IF(AND(F31&gt;=M29,F31&lt;=M30),1,IF(AND(F31&gt;M30,F31&lt;=N30),3.25,IF(AND(F31&gt;N30,F31&lt;=O30),5.5,IF(AND(F31&gt;O30,F31&lt;=P30),7.75,10))))))))</f>
        <v>1</v>
      </c>
      <c r="R31" s="22">
        <f>BaseScore!$G$13</f>
        <v>3.7647008405999998</v>
      </c>
      <c r="S31" s="22">
        <f>EnvirScore!$H$13</f>
        <v>3.4787900567549999</v>
      </c>
      <c r="T31" s="22">
        <f t="shared" si="0"/>
        <v>8.2434908973549987</v>
      </c>
      <c r="U31" s="12"/>
      <c r="V31" s="12"/>
      <c r="W31" s="12"/>
      <c r="X31" s="20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</row>
    <row r="32" spans="1:69" ht="15.75" thickBot="1" x14ac:dyDescent="0.3">
      <c r="A32" s="13" t="s">
        <v>34</v>
      </c>
      <c r="B32" s="13" t="s">
        <v>31</v>
      </c>
      <c r="C32" s="13"/>
      <c r="D32" s="13"/>
      <c r="E32" s="13"/>
      <c r="F32" s="13">
        <v>9.58</v>
      </c>
      <c r="G32" s="13">
        <f>_xlfn.STDEV.S(F32,F33,F34)</f>
        <v>2.4110855093366881E-2</v>
      </c>
      <c r="H32" s="13">
        <f t="shared" ref="H32" si="15">IF(G32=0,1,G32)</f>
        <v>2.4110855093366881E-2</v>
      </c>
      <c r="I32" s="13">
        <v>1</v>
      </c>
      <c r="J32" s="13">
        <f>SUM(F32:F34)</f>
        <v>28.731999999999999</v>
      </c>
      <c r="K32" s="13">
        <f t="shared" ref="K32" si="16">J32/H32</f>
        <v>1191.6624229517449</v>
      </c>
      <c r="L32" s="13">
        <f>H32</f>
        <v>2.4110855093366881E-2</v>
      </c>
      <c r="M32" s="13">
        <f>L33-L32*0.25</f>
        <v>9.5739722862266579</v>
      </c>
      <c r="N32" s="13">
        <f>M32-L32*0.66</f>
        <v>9.5580591218650355</v>
      </c>
      <c r="O32" s="13">
        <f>N32-L32*1</f>
        <v>9.5339482667716684</v>
      </c>
      <c r="P32" s="13">
        <f>O32-L32*1.5</f>
        <v>9.4977819841316187</v>
      </c>
      <c r="Q32" s="13">
        <f>IF((F32)&lt;P32,1,IF(AND(F32&gt;=P32,F32&lt;O32),7.75,IF(AND(F32&gt;=O32,F32&lt;N32),5.5,IF(AND(F32&gt;=N32,F32&lt;M32),3.25,IF(AND(F32&gt;=M32,F32&lt;=M33),1,IF(AND(F32&gt;M33,F32&lt;=N33),3.25,IF(AND(F32&gt;N33,F32&lt;=O33),5.5,IF(AND(F32&gt;O33,F32&lt;=P33),7.75,10))))))))</f>
        <v>1</v>
      </c>
      <c r="R32" s="22">
        <f>BaseScore!$G$14</f>
        <v>3.7647008405999998</v>
      </c>
      <c r="S32" s="22">
        <f>EnvirScore!$H$14</f>
        <v>3.4787900567549999</v>
      </c>
      <c r="T32" s="22">
        <f t="shared" si="0"/>
        <v>8.2434908973549987</v>
      </c>
      <c r="U32" s="24">
        <f>IF((U33)&gt;9,1,IF(AND(U33&gt;7,U33&lt;=8.9),2,IF(AND(U33&gt;4,U33&lt;=6.9),3,IF(AND(U33&gt;0,U33&lt;=3.9),4,0))))</f>
        <v>2</v>
      </c>
      <c r="V32" s="25">
        <f>IF((V33)&gt;9,1,IF(AND(V33&gt;7,V33&lt;=8.9),2,IF(AND(V33&gt;4,V33&lt;=6.9),3,IF(AND(V33&gt;0,V33&lt;=3.9),4,0))))</f>
        <v>3</v>
      </c>
      <c r="W32" s="26">
        <f>IF((W33)&gt;9,1,IF(AND(W33&gt;7,W33&lt;=8.9),2,IF(AND(W33&gt;4,W33&lt;=6.9),3,IF(AND(W33&gt;0,W33&lt;=3.9),4,0))))</f>
        <v>3</v>
      </c>
      <c r="X32" s="20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</row>
    <row r="33" spans="1:72" x14ac:dyDescent="0.25">
      <c r="B33" t="s">
        <v>32</v>
      </c>
      <c r="C33" s="3"/>
      <c r="D33" s="3"/>
      <c r="E33" s="3"/>
      <c r="F33">
        <v>9.5519999999999996</v>
      </c>
      <c r="L33">
        <f>MEDIAN(F32:F34)</f>
        <v>9.58</v>
      </c>
      <c r="M33">
        <f>L33+L32*0.25</f>
        <v>9.5860277137733423</v>
      </c>
      <c r="N33">
        <f>M33+L32*0.66</f>
        <v>9.6019408781349647</v>
      </c>
      <c r="O33">
        <f>N33+L32*1</f>
        <v>9.6260517332283317</v>
      </c>
      <c r="P33">
        <f>O33+L32*1.5</f>
        <v>9.6622180158683815</v>
      </c>
      <c r="Q33">
        <f>IF((F33)&lt;P32,10,IF(AND(F33&gt;=P32,F33&lt;O32),7.75,IF(AND(F33&gt;=O32,F33&lt;N32),5.5,IF(AND(F33&gt;=N32,F33&lt;M32),3.25,IF(AND(F33&gt;=M32,F33&lt;=M33),1,IF(AND(F33&gt;M33,F33&lt;=N33),3.25,IF(AND(F33&gt;N33,F33&lt;=O33),5.5,IF(AND(F33&gt;O33,F33&lt;=P33),7.75,10))))))))</f>
        <v>5.5</v>
      </c>
      <c r="R33" s="22">
        <f>BaseScore!$G$14</f>
        <v>3.7647008405999998</v>
      </c>
      <c r="S33" s="22">
        <f>EnvirScore!$H$14</f>
        <v>3.4787900567549999</v>
      </c>
      <c r="T33" s="22">
        <f t="shared" si="0"/>
        <v>12.743490897354999</v>
      </c>
      <c r="U33" s="31">
        <f>((Q32+R32)+(Q33+R33)+(Q34+R34))/3</f>
        <v>7.0147008405999998</v>
      </c>
      <c r="V33" s="31">
        <f>((Q32+S32)+(Q33+S33)+(Q34+S34))/3</f>
        <v>6.728790056754999</v>
      </c>
      <c r="W33" s="30">
        <f>(SUM(U33:V33))/2</f>
        <v>6.8717454486774994</v>
      </c>
      <c r="X33" s="20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</row>
    <row r="34" spans="1:72" x14ac:dyDescent="0.25">
      <c r="B34" t="s">
        <v>33</v>
      </c>
      <c r="C34" s="3"/>
      <c r="D34" s="3"/>
      <c r="E34" s="3"/>
      <c r="F34">
        <v>9.6</v>
      </c>
      <c r="Q34">
        <f>IF((F34)&lt;P32,10,IF(AND(F34&gt;=P32,F34&lt;O32),7.75,IF(AND(F34&gt;=O32,F34&lt;N32),5.5,IF(AND(F34&gt;=N32,F34&lt;M32),3.25,IF(AND(F34&gt;=M32,F34&lt;=M33),1,IF(AND(F34&gt;M33,F34&lt;=N33),3.25,IF(AND(F34&gt;N33,F34&lt;=O33),5.5,IF(AND(F34&gt;O33,F34&lt;=P33),7.75,10))))))))</f>
        <v>3.25</v>
      </c>
      <c r="R34" s="22">
        <f>BaseScore!$G$14</f>
        <v>3.7647008405999998</v>
      </c>
      <c r="S34" s="22">
        <f>EnvirScore!$H$14</f>
        <v>3.4787900567549999</v>
      </c>
      <c r="T34" s="22">
        <f t="shared" si="0"/>
        <v>10.493490897354999</v>
      </c>
      <c r="U34" s="11"/>
      <c r="V34" s="11"/>
      <c r="W34" s="11"/>
      <c r="X34" s="20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</row>
    <row r="35" spans="1:72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</row>
    <row r="36" spans="1:72" ht="15.75" thickBot="1" x14ac:dyDescent="0.3">
      <c r="T36" s="2" t="s">
        <v>40</v>
      </c>
      <c r="U36" s="21">
        <f t="shared" ref="U36:V36" si="17">(SUM(U3,U6,U9,U12,U15,U18,U24,U27,U30,U33))/11</f>
        <v>6.1219915132727261</v>
      </c>
      <c r="V36" s="21">
        <f t="shared" si="17"/>
        <v>6.1307519704318176</v>
      </c>
      <c r="W36" s="30">
        <f>(SUM(U36:V36))/2</f>
        <v>6.1263717418522718</v>
      </c>
      <c r="Y36" s="16"/>
      <c r="Z36" s="16"/>
      <c r="AA36" s="16"/>
      <c r="AB36" s="16"/>
    </row>
    <row r="37" spans="1:72" ht="19.5" thickBot="1" x14ac:dyDescent="0.35">
      <c r="R37" s="8"/>
      <c r="T37" s="10" t="s">
        <v>54</v>
      </c>
      <c r="U37" s="27">
        <f>IF((U36)&gt;9,1,IF(AND(U36&gt;7,U36&lt;=8.9),2,IF(AND(U36&gt;4,U36&lt;=6.9),3,IF(AND(U36&gt;0,U36&lt;=3.9),4,0))))</f>
        <v>3</v>
      </c>
      <c r="V37" s="28">
        <f>IF((V36)&gt;9,1,IF(AND(V36&gt;7,V36&lt;=8.9),2,IF(AND(V36&gt;4,V36&lt;=6.9),3,IF(AND(V36&gt;0,V36&lt;=3.9),4,0))))</f>
        <v>3</v>
      </c>
      <c r="W37" s="29">
        <f>IF((W36)&gt;9,1,IF(AND(W36&gt;7,W36&lt;=8.9),2,IF(AND(W36&gt;4,W36&lt;=6.9),3,IF(AND(W36&gt;0,W36&lt;=3.9),4,0))))</f>
        <v>3</v>
      </c>
      <c r="Y37" s="30"/>
      <c r="Z37" s="30"/>
      <c r="AA37" s="16"/>
      <c r="AB37" s="16"/>
    </row>
    <row r="38" spans="1:72" x14ac:dyDescent="0.25">
      <c r="O38" s="7"/>
      <c r="P38" s="7"/>
    </row>
    <row r="39" spans="1:72" x14ac:dyDescent="0.25">
      <c r="O39" s="7"/>
      <c r="P39" s="7"/>
      <c r="S39" s="2" t="s">
        <v>55</v>
      </c>
      <c r="T39" s="38" t="s">
        <v>71</v>
      </c>
      <c r="U39" s="38"/>
      <c r="V39" s="38"/>
      <c r="W39" s="38"/>
      <c r="X39" s="38"/>
    </row>
    <row r="40" spans="1:72" x14ac:dyDescent="0.25">
      <c r="O40" s="7"/>
      <c r="P40" s="7"/>
      <c r="T40" s="39" t="s">
        <v>72</v>
      </c>
      <c r="U40" s="39"/>
      <c r="V40" s="39"/>
      <c r="W40" s="39"/>
      <c r="X40" s="39"/>
    </row>
    <row r="41" spans="1:72" x14ac:dyDescent="0.25">
      <c r="T41" s="40" t="s">
        <v>73</v>
      </c>
      <c r="U41" s="40"/>
      <c r="V41" s="40"/>
      <c r="W41" s="40"/>
      <c r="X41" s="40"/>
    </row>
    <row r="42" spans="1:72" x14ac:dyDescent="0.25">
      <c r="T42" s="41" t="s">
        <v>74</v>
      </c>
      <c r="U42" s="41"/>
      <c r="V42" s="41"/>
      <c r="W42" s="41"/>
      <c r="X42" s="41"/>
    </row>
  </sheetData>
  <dataConsolidate/>
  <mergeCells count="4">
    <mergeCell ref="T39:X39"/>
    <mergeCell ref="T40:X40"/>
    <mergeCell ref="T41:X41"/>
    <mergeCell ref="T42:X42"/>
  </mergeCells>
  <conditionalFormatting sqref="V2">
    <cfRule type="cellIs" dxfId="287" priority="133" operator="equal">
      <formula>1</formula>
    </cfRule>
    <cfRule type="cellIs" dxfId="286" priority="134" operator="equal">
      <formula>2</formula>
    </cfRule>
    <cfRule type="cellIs" dxfId="285" priority="135" operator="equal">
      <formula>3</formula>
    </cfRule>
    <cfRule type="cellIs" dxfId="284" priority="136" operator="equal">
      <formula>4</formula>
    </cfRule>
  </conditionalFormatting>
  <conditionalFormatting sqref="V8">
    <cfRule type="cellIs" dxfId="283" priority="109" operator="equal">
      <formula>1</formula>
    </cfRule>
    <cfRule type="cellIs" dxfId="282" priority="110" operator="equal">
      <formula>2</formula>
    </cfRule>
    <cfRule type="cellIs" dxfId="281" priority="111" operator="equal">
      <formula>3</formula>
    </cfRule>
    <cfRule type="cellIs" dxfId="280" priority="112" operator="equal">
      <formula>4</formula>
    </cfRule>
  </conditionalFormatting>
  <conditionalFormatting sqref="W8">
    <cfRule type="cellIs" dxfId="279" priority="117" operator="equal">
      <formula>1</formula>
    </cfRule>
    <cfRule type="cellIs" dxfId="278" priority="118" operator="equal">
      <formula>2</formula>
    </cfRule>
    <cfRule type="cellIs" dxfId="277" priority="119" operator="equal">
      <formula>3</formula>
    </cfRule>
    <cfRule type="cellIs" dxfId="276" priority="120" operator="equal">
      <formula>4</formula>
    </cfRule>
  </conditionalFormatting>
  <conditionalFormatting sqref="U5">
    <cfRule type="cellIs" dxfId="275" priority="125" operator="equal">
      <formula>1</formula>
    </cfRule>
    <cfRule type="cellIs" dxfId="274" priority="126" operator="equal">
      <formula>2</formula>
    </cfRule>
    <cfRule type="cellIs" dxfId="273" priority="127" operator="equal">
      <formula>3</formula>
    </cfRule>
    <cfRule type="cellIs" dxfId="272" priority="128" operator="equal">
      <formula>4</formula>
    </cfRule>
  </conditionalFormatting>
  <conditionalFormatting sqref="W2">
    <cfRule type="cellIs" dxfId="271" priority="141" operator="equal">
      <formula>1</formula>
    </cfRule>
    <cfRule type="cellIs" dxfId="270" priority="142" operator="equal">
      <formula>2</formula>
    </cfRule>
    <cfRule type="cellIs" dxfId="269" priority="143" operator="equal">
      <formula>3</formula>
    </cfRule>
    <cfRule type="cellIs" dxfId="268" priority="144" operator="equal">
      <formula>4</formula>
    </cfRule>
  </conditionalFormatting>
  <conditionalFormatting sqref="U20">
    <cfRule type="cellIs" dxfId="267" priority="65" operator="equal">
      <formula>1</formula>
    </cfRule>
    <cfRule type="cellIs" dxfId="266" priority="66" operator="equal">
      <formula>2</formula>
    </cfRule>
    <cfRule type="cellIs" dxfId="265" priority="67" operator="equal">
      <formula>3</formula>
    </cfRule>
    <cfRule type="cellIs" dxfId="264" priority="68" operator="equal">
      <formula>4</formula>
    </cfRule>
  </conditionalFormatting>
  <conditionalFormatting sqref="V17">
    <cfRule type="cellIs" dxfId="263" priority="73" operator="equal">
      <formula>1</formula>
    </cfRule>
    <cfRule type="cellIs" dxfId="262" priority="74" operator="equal">
      <formula>2</formula>
    </cfRule>
    <cfRule type="cellIs" dxfId="261" priority="75" operator="equal">
      <formula>3</formula>
    </cfRule>
    <cfRule type="cellIs" dxfId="260" priority="76" operator="equal">
      <formula>4</formula>
    </cfRule>
  </conditionalFormatting>
  <conditionalFormatting sqref="W17">
    <cfRule type="cellIs" dxfId="259" priority="81" operator="equal">
      <formula>1</formula>
    </cfRule>
    <cfRule type="cellIs" dxfId="258" priority="82" operator="equal">
      <formula>2</formula>
    </cfRule>
    <cfRule type="cellIs" dxfId="257" priority="83" operator="equal">
      <formula>3</formula>
    </cfRule>
    <cfRule type="cellIs" dxfId="256" priority="84" operator="equal">
      <formula>4</formula>
    </cfRule>
  </conditionalFormatting>
  <conditionalFormatting sqref="U14">
    <cfRule type="cellIs" dxfId="255" priority="89" operator="equal">
      <formula>1</formula>
    </cfRule>
    <cfRule type="cellIs" dxfId="254" priority="90" operator="equal">
      <formula>2</formula>
    </cfRule>
    <cfRule type="cellIs" dxfId="253" priority="91" operator="equal">
      <formula>3</formula>
    </cfRule>
    <cfRule type="cellIs" dxfId="252" priority="92" operator="equal">
      <formula>4</formula>
    </cfRule>
  </conditionalFormatting>
  <conditionalFormatting sqref="V11">
    <cfRule type="cellIs" dxfId="251" priority="97" operator="equal">
      <formula>1</formula>
    </cfRule>
    <cfRule type="cellIs" dxfId="250" priority="98" operator="equal">
      <formula>2</formula>
    </cfRule>
    <cfRule type="cellIs" dxfId="249" priority="99" operator="equal">
      <formula>3</formula>
    </cfRule>
    <cfRule type="cellIs" dxfId="248" priority="100" operator="equal">
      <formula>4</formula>
    </cfRule>
  </conditionalFormatting>
  <conditionalFormatting sqref="W11">
    <cfRule type="cellIs" dxfId="247" priority="105" operator="equal">
      <formula>1</formula>
    </cfRule>
    <cfRule type="cellIs" dxfId="246" priority="106" operator="equal">
      <formula>2</formula>
    </cfRule>
    <cfRule type="cellIs" dxfId="245" priority="107" operator="equal">
      <formula>3</formula>
    </cfRule>
    <cfRule type="cellIs" dxfId="244" priority="108" operator="equal">
      <formula>4</formula>
    </cfRule>
  </conditionalFormatting>
  <conditionalFormatting sqref="U8">
    <cfRule type="cellIs" dxfId="243" priority="113" operator="equal">
      <formula>1</formula>
    </cfRule>
    <cfRule type="cellIs" dxfId="242" priority="114" operator="equal">
      <formula>2</formula>
    </cfRule>
    <cfRule type="cellIs" dxfId="241" priority="115" operator="equal">
      <formula>3</formula>
    </cfRule>
    <cfRule type="cellIs" dxfId="240" priority="116" operator="equal">
      <formula>4</formula>
    </cfRule>
  </conditionalFormatting>
  <conditionalFormatting sqref="V5">
    <cfRule type="cellIs" dxfId="239" priority="121" operator="equal">
      <formula>1</formula>
    </cfRule>
    <cfRule type="cellIs" dxfId="238" priority="122" operator="equal">
      <formula>2</formula>
    </cfRule>
    <cfRule type="cellIs" dxfId="237" priority="123" operator="equal">
      <formula>3</formula>
    </cfRule>
    <cfRule type="cellIs" dxfId="236" priority="124" operator="equal">
      <formula>4</formula>
    </cfRule>
  </conditionalFormatting>
  <conditionalFormatting sqref="W5">
    <cfRule type="cellIs" dxfId="235" priority="129" operator="equal">
      <formula>1</formula>
    </cfRule>
    <cfRule type="cellIs" dxfId="234" priority="130" operator="equal">
      <formula>2</formula>
    </cfRule>
    <cfRule type="cellIs" dxfId="233" priority="131" operator="equal">
      <formula>3</formula>
    </cfRule>
    <cfRule type="cellIs" dxfId="232" priority="132" operator="equal">
      <formula>4</formula>
    </cfRule>
  </conditionalFormatting>
  <conditionalFormatting sqref="U2">
    <cfRule type="cellIs" dxfId="231" priority="137" operator="equal">
      <formula>1</formula>
    </cfRule>
    <cfRule type="cellIs" dxfId="230" priority="138" operator="equal">
      <formula>2</formula>
    </cfRule>
    <cfRule type="cellIs" dxfId="229" priority="139" operator="equal">
      <formula>3</formula>
    </cfRule>
    <cfRule type="cellIs" dxfId="228" priority="140" operator="equal">
      <formula>4</formula>
    </cfRule>
  </conditionalFormatting>
  <conditionalFormatting sqref="U11">
    <cfRule type="cellIs" dxfId="227" priority="101" operator="equal">
      <formula>1</formula>
    </cfRule>
    <cfRule type="cellIs" dxfId="226" priority="102" operator="equal">
      <formula>2</formula>
    </cfRule>
    <cfRule type="cellIs" dxfId="225" priority="103" operator="equal">
      <formula>3</formula>
    </cfRule>
    <cfRule type="cellIs" dxfId="224" priority="104" operator="equal">
      <formula>4</formula>
    </cfRule>
  </conditionalFormatting>
  <conditionalFormatting sqref="W14">
    <cfRule type="cellIs" dxfId="223" priority="93" operator="equal">
      <formula>1</formula>
    </cfRule>
    <cfRule type="cellIs" dxfId="222" priority="94" operator="equal">
      <formula>2</formula>
    </cfRule>
    <cfRule type="cellIs" dxfId="221" priority="95" operator="equal">
      <formula>3</formula>
    </cfRule>
    <cfRule type="cellIs" dxfId="220" priority="96" operator="equal">
      <formula>4</formula>
    </cfRule>
  </conditionalFormatting>
  <conditionalFormatting sqref="V14">
    <cfRule type="cellIs" dxfId="219" priority="85" operator="equal">
      <formula>1</formula>
    </cfRule>
    <cfRule type="cellIs" dxfId="218" priority="86" operator="equal">
      <formula>2</formula>
    </cfRule>
    <cfRule type="cellIs" dxfId="217" priority="87" operator="equal">
      <formula>3</formula>
    </cfRule>
    <cfRule type="cellIs" dxfId="216" priority="88" operator="equal">
      <formula>4</formula>
    </cfRule>
  </conditionalFormatting>
  <conditionalFormatting sqref="U17">
    <cfRule type="cellIs" dxfId="215" priority="77" operator="equal">
      <formula>1</formula>
    </cfRule>
    <cfRule type="cellIs" dxfId="214" priority="78" operator="equal">
      <formula>2</formula>
    </cfRule>
    <cfRule type="cellIs" dxfId="213" priority="79" operator="equal">
      <formula>3</formula>
    </cfRule>
    <cfRule type="cellIs" dxfId="212" priority="80" operator="equal">
      <formula>4</formula>
    </cfRule>
  </conditionalFormatting>
  <conditionalFormatting sqref="W20">
    <cfRule type="cellIs" dxfId="211" priority="69" operator="equal">
      <formula>1</formula>
    </cfRule>
    <cfRule type="cellIs" dxfId="210" priority="70" operator="equal">
      <formula>2</formula>
    </cfRule>
    <cfRule type="cellIs" dxfId="209" priority="71" operator="equal">
      <formula>3</formula>
    </cfRule>
    <cfRule type="cellIs" dxfId="208" priority="72" operator="equal">
      <formula>4</formula>
    </cfRule>
  </conditionalFormatting>
  <conditionalFormatting sqref="V20">
    <cfRule type="cellIs" dxfId="207" priority="61" operator="equal">
      <formula>1</formula>
    </cfRule>
    <cfRule type="cellIs" dxfId="206" priority="62" operator="equal">
      <formula>2</formula>
    </cfRule>
    <cfRule type="cellIs" dxfId="205" priority="63" operator="equal">
      <formula>3</formula>
    </cfRule>
    <cfRule type="cellIs" dxfId="204" priority="64" operator="equal">
      <formula>4</formula>
    </cfRule>
  </conditionalFormatting>
  <conditionalFormatting sqref="W23">
    <cfRule type="cellIs" dxfId="203" priority="57" operator="equal">
      <formula>1</formula>
    </cfRule>
    <cfRule type="cellIs" dxfId="202" priority="58" operator="equal">
      <formula>2</formula>
    </cfRule>
    <cfRule type="cellIs" dxfId="201" priority="59" operator="equal">
      <formula>3</formula>
    </cfRule>
    <cfRule type="cellIs" dxfId="200" priority="60" operator="equal">
      <formula>4</formula>
    </cfRule>
  </conditionalFormatting>
  <conditionalFormatting sqref="U23">
    <cfRule type="cellIs" dxfId="199" priority="53" operator="equal">
      <formula>1</formula>
    </cfRule>
    <cfRule type="cellIs" dxfId="198" priority="54" operator="equal">
      <formula>2</formula>
    </cfRule>
    <cfRule type="cellIs" dxfId="197" priority="55" operator="equal">
      <formula>3</formula>
    </cfRule>
    <cfRule type="cellIs" dxfId="196" priority="56" operator="equal">
      <formula>4</formula>
    </cfRule>
  </conditionalFormatting>
  <conditionalFormatting sqref="V23">
    <cfRule type="cellIs" dxfId="195" priority="49" operator="equal">
      <formula>1</formula>
    </cfRule>
    <cfRule type="cellIs" dxfId="194" priority="50" operator="equal">
      <formula>2</formula>
    </cfRule>
    <cfRule type="cellIs" dxfId="193" priority="51" operator="equal">
      <formula>3</formula>
    </cfRule>
    <cfRule type="cellIs" dxfId="192" priority="52" operator="equal">
      <formula>4</formula>
    </cfRule>
  </conditionalFormatting>
  <conditionalFormatting sqref="W26">
    <cfRule type="cellIs" dxfId="191" priority="45" operator="equal">
      <formula>1</formula>
    </cfRule>
    <cfRule type="cellIs" dxfId="190" priority="46" operator="equal">
      <formula>2</formula>
    </cfRule>
    <cfRule type="cellIs" dxfId="189" priority="47" operator="equal">
      <formula>3</formula>
    </cfRule>
    <cfRule type="cellIs" dxfId="188" priority="48" operator="equal">
      <formula>4</formula>
    </cfRule>
  </conditionalFormatting>
  <conditionalFormatting sqref="U26">
    <cfRule type="cellIs" dxfId="187" priority="41" operator="equal">
      <formula>1</formula>
    </cfRule>
    <cfRule type="cellIs" dxfId="186" priority="42" operator="equal">
      <formula>2</formula>
    </cfRule>
    <cfRule type="cellIs" dxfId="185" priority="43" operator="equal">
      <formula>3</formula>
    </cfRule>
    <cfRule type="cellIs" dxfId="184" priority="44" operator="equal">
      <formula>4</formula>
    </cfRule>
  </conditionalFormatting>
  <conditionalFormatting sqref="V26">
    <cfRule type="cellIs" dxfId="183" priority="37" operator="equal">
      <formula>1</formula>
    </cfRule>
    <cfRule type="cellIs" dxfId="182" priority="38" operator="equal">
      <formula>2</formula>
    </cfRule>
    <cfRule type="cellIs" dxfId="181" priority="39" operator="equal">
      <formula>3</formula>
    </cfRule>
    <cfRule type="cellIs" dxfId="180" priority="40" operator="equal">
      <formula>4</formula>
    </cfRule>
  </conditionalFormatting>
  <conditionalFormatting sqref="W29">
    <cfRule type="cellIs" dxfId="179" priority="33" operator="equal">
      <formula>1</formula>
    </cfRule>
    <cfRule type="cellIs" dxfId="178" priority="34" operator="equal">
      <formula>2</formula>
    </cfRule>
    <cfRule type="cellIs" dxfId="177" priority="35" operator="equal">
      <formula>3</formula>
    </cfRule>
    <cfRule type="cellIs" dxfId="176" priority="36" operator="equal">
      <formula>4</formula>
    </cfRule>
  </conditionalFormatting>
  <conditionalFormatting sqref="U29">
    <cfRule type="cellIs" dxfId="175" priority="29" operator="equal">
      <formula>1</formula>
    </cfRule>
    <cfRule type="cellIs" dxfId="174" priority="30" operator="equal">
      <formula>2</formula>
    </cfRule>
    <cfRule type="cellIs" dxfId="173" priority="31" operator="equal">
      <formula>3</formula>
    </cfRule>
    <cfRule type="cellIs" dxfId="172" priority="32" operator="equal">
      <formula>4</formula>
    </cfRule>
  </conditionalFormatting>
  <conditionalFormatting sqref="V29">
    <cfRule type="cellIs" dxfId="171" priority="25" operator="equal">
      <formula>1</formula>
    </cfRule>
    <cfRule type="cellIs" dxfId="170" priority="26" operator="equal">
      <formula>2</formula>
    </cfRule>
    <cfRule type="cellIs" dxfId="169" priority="27" operator="equal">
      <formula>3</formula>
    </cfRule>
    <cfRule type="cellIs" dxfId="168" priority="28" operator="equal">
      <formula>4</formula>
    </cfRule>
  </conditionalFormatting>
  <conditionalFormatting sqref="W32">
    <cfRule type="cellIs" dxfId="167" priority="21" operator="equal">
      <formula>1</formula>
    </cfRule>
    <cfRule type="cellIs" dxfId="166" priority="22" operator="equal">
      <formula>2</formula>
    </cfRule>
    <cfRule type="cellIs" dxfId="165" priority="23" operator="equal">
      <formula>3</formula>
    </cfRule>
    <cfRule type="cellIs" dxfId="164" priority="24" operator="equal">
      <formula>4</formula>
    </cfRule>
  </conditionalFormatting>
  <conditionalFormatting sqref="U32">
    <cfRule type="cellIs" dxfId="163" priority="17" operator="equal">
      <formula>1</formula>
    </cfRule>
    <cfRule type="cellIs" dxfId="162" priority="18" operator="equal">
      <formula>2</formula>
    </cfRule>
    <cfRule type="cellIs" dxfId="161" priority="19" operator="equal">
      <formula>3</formula>
    </cfRule>
    <cfRule type="cellIs" dxfId="160" priority="20" operator="equal">
      <formula>4</formula>
    </cfRule>
  </conditionalFormatting>
  <conditionalFormatting sqref="V32">
    <cfRule type="cellIs" dxfId="159" priority="13" operator="equal">
      <formula>1</formula>
    </cfRule>
    <cfRule type="cellIs" dxfId="158" priority="14" operator="equal">
      <formula>2</formula>
    </cfRule>
    <cfRule type="cellIs" dxfId="157" priority="15" operator="equal">
      <formula>3</formula>
    </cfRule>
    <cfRule type="cellIs" dxfId="156" priority="16" operator="equal">
      <formula>4</formula>
    </cfRule>
  </conditionalFormatting>
  <conditionalFormatting sqref="W37">
    <cfRule type="cellIs" dxfId="155" priority="9" operator="equal">
      <formula>1</formula>
    </cfRule>
    <cfRule type="cellIs" dxfId="154" priority="10" operator="equal">
      <formula>2</formula>
    </cfRule>
    <cfRule type="cellIs" dxfId="153" priority="11" operator="equal">
      <formula>3</formula>
    </cfRule>
    <cfRule type="cellIs" dxfId="152" priority="12" operator="equal">
      <formula>4</formula>
    </cfRule>
  </conditionalFormatting>
  <conditionalFormatting sqref="U37">
    <cfRule type="cellIs" dxfId="151" priority="5" operator="equal">
      <formula>1</formula>
    </cfRule>
    <cfRule type="cellIs" dxfId="150" priority="6" operator="equal">
      <formula>2</formula>
    </cfRule>
    <cfRule type="cellIs" dxfId="149" priority="7" operator="equal">
      <formula>3</formula>
    </cfRule>
    <cfRule type="cellIs" dxfId="148" priority="8" operator="equal">
      <formula>4</formula>
    </cfRule>
  </conditionalFormatting>
  <conditionalFormatting sqref="V37">
    <cfRule type="cellIs" dxfId="147" priority="1" operator="equal">
      <formula>1</formula>
    </cfRule>
    <cfRule type="cellIs" dxfId="146" priority="2" operator="equal">
      <formula>2</formula>
    </cfRule>
    <cfRule type="cellIs" dxfId="145" priority="3" operator="equal">
      <formula>3</formula>
    </cfRule>
    <cfRule type="cellIs" dxfId="144" priority="4" operator="equal">
      <formula>4</formula>
    </cfRule>
  </conditionalFormatting>
  <dataValidations count="1">
    <dataValidation type="list" allowBlank="1" showInputMessage="1" showErrorMessage="1" sqref="C26:E28">
      <formula1>Types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" sqref="C2"/>
    </sheetView>
  </sheetViews>
  <sheetFormatPr defaultRowHeight="15" x14ac:dyDescent="0.25"/>
  <cols>
    <col min="1" max="1" width="16.140625" bestFit="1" customWidth="1"/>
  </cols>
  <sheetData>
    <row r="1" spans="1:3" x14ac:dyDescent="0.25">
      <c r="A1" t="s">
        <v>106</v>
      </c>
      <c r="C1" t="s">
        <v>107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3</v>
      </c>
      <c r="B3">
        <v>2.8</v>
      </c>
      <c r="C3">
        <v>5</v>
      </c>
    </row>
    <row r="4" spans="1:3" x14ac:dyDescent="0.25">
      <c r="A4">
        <v>3.5</v>
      </c>
      <c r="B4">
        <v>3.4</v>
      </c>
      <c r="C4">
        <v>10</v>
      </c>
    </row>
    <row r="5" spans="1:3" x14ac:dyDescent="0.25">
      <c r="A5">
        <v>4</v>
      </c>
      <c r="B5">
        <v>4</v>
      </c>
      <c r="C5">
        <v>15</v>
      </c>
    </row>
    <row r="6" spans="1:3" x14ac:dyDescent="0.25">
      <c r="A6">
        <v>5.4</v>
      </c>
      <c r="B6">
        <v>4.8</v>
      </c>
      <c r="C6">
        <v>25</v>
      </c>
    </row>
    <row r="7" spans="1:3" x14ac:dyDescent="0.25">
      <c r="A7">
        <v>5.8</v>
      </c>
      <c r="B7">
        <v>5.3</v>
      </c>
      <c r="C7">
        <v>100</v>
      </c>
    </row>
    <row r="8" spans="1:3" x14ac:dyDescent="0.25">
      <c r="A8">
        <v>10</v>
      </c>
      <c r="B8">
        <v>10</v>
      </c>
      <c r="C8">
        <v>1000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2"/>
  <sheetViews>
    <sheetView topLeftCell="A7" zoomScale="90" zoomScaleNormal="90" workbookViewId="0">
      <selection activeCell="N26" sqref="N26"/>
    </sheetView>
  </sheetViews>
  <sheetFormatPr defaultRowHeight="15" x14ac:dyDescent="0.25"/>
  <cols>
    <col min="1" max="1" width="27.28515625" bestFit="1" customWidth="1"/>
    <col min="2" max="2" width="6.7109375" bestFit="1" customWidth="1"/>
    <col min="3" max="3" width="10.7109375" customWidth="1"/>
    <col min="4" max="4" width="10.85546875" bestFit="1" customWidth="1"/>
    <col min="5" max="6" width="10.85546875" customWidth="1"/>
    <col min="7" max="7" width="8.85546875" bestFit="1" customWidth="1"/>
    <col min="8" max="8" width="15.7109375" customWidth="1"/>
    <col min="9" max="9" width="17.7109375" bestFit="1" customWidth="1"/>
    <col min="10" max="10" width="15.5703125" bestFit="1" customWidth="1"/>
    <col min="11" max="11" width="10" bestFit="1" customWidth="1"/>
    <col min="12" max="12" width="13.85546875" customWidth="1"/>
    <col min="13" max="14" width="10.42578125" customWidth="1"/>
    <col min="16" max="17" width="10.28515625" customWidth="1"/>
    <col min="18" max="18" width="7.7109375" bestFit="1" customWidth="1"/>
    <col min="19" max="19" width="6.140625" bestFit="1" customWidth="1"/>
    <col min="20" max="20" width="6.140625" customWidth="1"/>
    <col min="21" max="21" width="14.7109375" bestFit="1" customWidth="1"/>
    <col min="22" max="23" width="14.7109375" customWidth="1"/>
    <col min="24" max="24" width="12" customWidth="1"/>
    <col min="25" max="25" width="5" customWidth="1"/>
    <col min="26" max="26" width="6" bestFit="1" customWidth="1"/>
    <col min="27" max="27" width="5" customWidth="1"/>
    <col min="28" max="28" width="7.7109375" bestFit="1" customWidth="1"/>
    <col min="29" max="29" width="5.5703125" bestFit="1" customWidth="1"/>
  </cols>
  <sheetData>
    <row r="1" spans="1:70" s="17" customFormat="1" ht="63.75" thickBot="1" x14ac:dyDescent="0.3">
      <c r="A1" s="18" t="s">
        <v>9</v>
      </c>
      <c r="B1" s="18" t="s">
        <v>30</v>
      </c>
      <c r="C1" s="18" t="s">
        <v>5</v>
      </c>
      <c r="D1" s="18" t="s">
        <v>77</v>
      </c>
      <c r="E1" s="18" t="s">
        <v>78</v>
      </c>
      <c r="F1" s="18" t="s">
        <v>3</v>
      </c>
      <c r="G1" s="18" t="s">
        <v>37</v>
      </c>
      <c r="H1" s="18" t="s">
        <v>35</v>
      </c>
      <c r="I1" s="18" t="s">
        <v>41</v>
      </c>
      <c r="J1" s="18" t="s">
        <v>36</v>
      </c>
      <c r="K1" s="18" t="s">
        <v>0</v>
      </c>
      <c r="L1" s="18" t="s">
        <v>38</v>
      </c>
      <c r="M1" s="18" t="s">
        <v>39</v>
      </c>
      <c r="N1" s="18" t="s">
        <v>67</v>
      </c>
      <c r="O1" s="18" t="s">
        <v>68</v>
      </c>
      <c r="P1" s="18" t="s">
        <v>69</v>
      </c>
      <c r="Q1" s="18" t="s">
        <v>70</v>
      </c>
      <c r="R1" s="18" t="s">
        <v>29</v>
      </c>
      <c r="S1" s="19" t="s">
        <v>65</v>
      </c>
      <c r="T1" s="19" t="s">
        <v>66</v>
      </c>
      <c r="U1" s="19" t="s">
        <v>2</v>
      </c>
      <c r="V1" s="19" t="s">
        <v>75</v>
      </c>
      <c r="W1" s="19" t="s">
        <v>76</v>
      </c>
      <c r="X1" s="19" t="s">
        <v>79</v>
      </c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</row>
    <row r="2" spans="1:70" s="13" customFormat="1" ht="15.75" thickBot="1" x14ac:dyDescent="0.3">
      <c r="A2" s="13" t="s">
        <v>10</v>
      </c>
      <c r="B2" s="13" t="s">
        <v>31</v>
      </c>
      <c r="C2" s="13">
        <v>12</v>
      </c>
      <c r="D2" s="13">
        <v>24</v>
      </c>
      <c r="E2" s="13">
        <v>48</v>
      </c>
      <c r="F2" s="13">
        <v>96</v>
      </c>
      <c r="H2" s="13">
        <v>0</v>
      </c>
      <c r="I2" s="13">
        <v>1</v>
      </c>
      <c r="J2" s="13">
        <v>4</v>
      </c>
      <c r="K2" s="13">
        <v>1</v>
      </c>
      <c r="R2" s="13">
        <f>IF(AND(C2=C3,C2=C4),1,10)</f>
        <v>1</v>
      </c>
      <c r="S2" s="22">
        <f>BaseScore!$G$2</f>
        <v>3.2774417045999993</v>
      </c>
      <c r="T2" s="22">
        <f>EnvirScore!$G$2</f>
        <v>2.8888913045999995</v>
      </c>
      <c r="U2" s="22">
        <f>R2+S2+T2</f>
        <v>7.1663330091999988</v>
      </c>
      <c r="V2" s="24">
        <f>IF((V3)&gt;9,1,IF(AND(V3&gt;7,V3&lt;=8.9),2,IF(AND(V3&gt;4,V3&lt;=6.9),3,IF(AND(V3&gt;0,V3&lt;=3.9),4,0))))</f>
        <v>3</v>
      </c>
      <c r="W2" s="25">
        <f>IF((W3)&gt;9,1,IF(AND(W3&gt;7,W3&lt;=8.9),2,IF(AND(W3&gt;4,W3&lt;=6.9),3,IF(AND(W3&gt;0,W3&lt;=3.9),4,0))))</f>
        <v>4</v>
      </c>
      <c r="X2" s="26">
        <f>IF((X3)&gt;9,1,IF(AND(X3&gt;7,X3&lt;=8.9),2,IF(AND(X3&gt;4,X3&lt;=6.9),3,IF(AND(X3&gt;0,X3&lt;=3.9),4,0))))</f>
        <v>3</v>
      </c>
      <c r="Y2" s="20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</row>
    <row r="3" spans="1:70" s="16" customFormat="1" x14ac:dyDescent="0.25">
      <c r="B3" s="16" t="s">
        <v>32</v>
      </c>
      <c r="C3" s="16">
        <v>12</v>
      </c>
      <c r="D3" s="16">
        <v>24</v>
      </c>
      <c r="E3" s="16">
        <v>48</v>
      </c>
      <c r="F3" s="16">
        <v>96</v>
      </c>
      <c r="G3" s="3"/>
      <c r="H3" s="16">
        <v>0</v>
      </c>
      <c r="I3" s="16">
        <v>1</v>
      </c>
      <c r="J3" s="16">
        <v>4</v>
      </c>
      <c r="K3" s="16">
        <v>1</v>
      </c>
      <c r="R3" s="16">
        <f>IF(AND(D2=D3,D2=D4),1,10)</f>
        <v>1</v>
      </c>
      <c r="S3" s="22">
        <f>BaseScore!$G$2</f>
        <v>3.2774417045999993</v>
      </c>
      <c r="T3" s="22">
        <f>EnvirScore!$G$2</f>
        <v>2.8888913045999995</v>
      </c>
      <c r="U3" s="22">
        <f t="shared" ref="U3:U34" si="0">R3+S3+T3</f>
        <v>7.1663330091999988</v>
      </c>
      <c r="V3" s="31">
        <f>((R2+S2)+(R3+S3)+(R4+S4))/3</f>
        <v>4.2774417045999993</v>
      </c>
      <c r="W3" s="31">
        <f>((R2+T2)+(R3+T3)+(R4+T4))/3</f>
        <v>3.8888913045999995</v>
      </c>
      <c r="X3" s="30">
        <f>(SUM(V3:W3))/2</f>
        <v>4.0831665045999994</v>
      </c>
      <c r="Y3" s="20"/>
      <c r="Z3" s="30"/>
    </row>
    <row r="4" spans="1:70" s="16" customFormat="1" ht="15.75" thickBot="1" x14ac:dyDescent="0.3">
      <c r="B4" s="16" t="s">
        <v>33</v>
      </c>
      <c r="C4" s="16">
        <v>12</v>
      </c>
      <c r="D4" s="16">
        <v>24</v>
      </c>
      <c r="E4" s="16">
        <v>48</v>
      </c>
      <c r="F4" s="16">
        <v>96</v>
      </c>
      <c r="G4" s="3"/>
      <c r="H4" s="16">
        <v>0</v>
      </c>
      <c r="I4" s="16">
        <v>1</v>
      </c>
      <c r="J4" s="16">
        <v>4</v>
      </c>
      <c r="K4" s="16">
        <v>1</v>
      </c>
      <c r="R4" s="16">
        <f>IF(AND(D2=D3,D2=D4),1,10)</f>
        <v>1</v>
      </c>
      <c r="S4" s="22">
        <f>BaseScore!$G$2</f>
        <v>3.2774417045999993</v>
      </c>
      <c r="T4" s="22">
        <f>EnvirScore!$G$2</f>
        <v>2.8888913045999995</v>
      </c>
      <c r="U4" s="22">
        <f t="shared" si="0"/>
        <v>7.1663330091999988</v>
      </c>
      <c r="V4" s="30"/>
      <c r="W4" s="30"/>
      <c r="X4" s="30"/>
      <c r="Y4" s="20"/>
    </row>
    <row r="5" spans="1:70" ht="15.75" thickBot="1" x14ac:dyDescent="0.3">
      <c r="A5" s="13" t="s">
        <v>12</v>
      </c>
      <c r="B5" s="13" t="s">
        <v>31</v>
      </c>
      <c r="C5" s="13"/>
      <c r="D5" s="13"/>
      <c r="E5" s="13"/>
      <c r="F5" s="13"/>
      <c r="G5" s="13">
        <f>(SUM(C2:F2))*G29</f>
        <v>1440</v>
      </c>
      <c r="H5" s="13">
        <f>_xlfn.STDEV.S(G5,G6,G7)</f>
        <v>0</v>
      </c>
      <c r="I5" s="13">
        <f t="shared" ref="I5:I17" si="1">IF(H5=0,1,H5)</f>
        <v>1</v>
      </c>
      <c r="J5" s="13">
        <v>4</v>
      </c>
      <c r="K5" s="13">
        <f>SUM(G5:G7)</f>
        <v>4320</v>
      </c>
      <c r="L5" s="13">
        <f t="shared" ref="L5:L17" si="2">K5/I5</f>
        <v>4320</v>
      </c>
      <c r="M5" s="13">
        <f>I5</f>
        <v>1</v>
      </c>
      <c r="N5" s="13">
        <f>M6-M5*0.25</f>
        <v>1439.75</v>
      </c>
      <c r="O5" s="13">
        <f>N5-M5*0.66</f>
        <v>1439.09</v>
      </c>
      <c r="P5" s="13">
        <f>O5-M5*1.5</f>
        <v>1437.59</v>
      </c>
      <c r="Q5" s="13">
        <f>P5-M5*1.5</f>
        <v>1436.09</v>
      </c>
      <c r="R5" s="13">
        <f>IF((G5)&lt;Q5,1,IF(AND(G5&gt;=Q5,G5&lt;P5),7.75,IF(AND(G5&gt;=P5,G5&lt;O5),5.5,IF(AND(G5&gt;=O5,G5&lt;N5),3.25,IF(AND(G5&gt;=N5,G5&lt;=N6),1,IF(AND(G5&gt;N6,G5&lt;=O6),3.25,IF(AND(G5&gt;O6,G5&lt;=P6),5.5,IF(AND(G5&gt;P6,G5&lt;=Q6),7.75,10))))))))</f>
        <v>1</v>
      </c>
      <c r="S5" s="22">
        <f>BaseScore!$G$3</f>
        <v>3.2774417045999993</v>
      </c>
      <c r="T5" s="22">
        <f>EnvirScore!$G$3</f>
        <v>4.0464892565999993</v>
      </c>
      <c r="U5" s="22">
        <f t="shared" si="0"/>
        <v>8.3239309611999985</v>
      </c>
      <c r="V5" s="24">
        <f>IF((V6)&gt;9,1,IF(AND(V6&gt;7,V6&lt;=8.9),2,IF(AND(V6&gt;4,V6&lt;=6.9),3,IF(AND(V6&gt;0,V6&lt;=3.9),4,0))))</f>
        <v>3</v>
      </c>
      <c r="W5" s="25">
        <f>IF((W6)&gt;9,1,IF(AND(W6&gt;7,W6&lt;=8.9),2,IF(AND(W6&gt;4,W6&lt;=6.9),3,IF(AND(W6&gt;0,W6&lt;=3.9),4,0))))</f>
        <v>3</v>
      </c>
      <c r="X5" s="26">
        <f>IF((X6)&gt;9,1,IF(AND(X6&gt;7,X6&lt;=8.9),2,IF(AND(X6&gt;4,X6&lt;=6.9),3,IF(AND(X6&gt;0,X6&lt;=3.9),4,0))))</f>
        <v>3</v>
      </c>
      <c r="Y5" s="20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</row>
    <row r="6" spans="1:70" x14ac:dyDescent="0.25">
      <c r="B6" t="s">
        <v>32</v>
      </c>
      <c r="C6" s="3"/>
      <c r="D6" s="3"/>
      <c r="E6" s="3"/>
      <c r="F6" s="3"/>
      <c r="G6">
        <f>(SUM(C3:F3))*G30</f>
        <v>1440</v>
      </c>
      <c r="M6">
        <f>MEDIAN(G5:G7)</f>
        <v>1440</v>
      </c>
      <c r="N6">
        <f>M6+M5*0.25</f>
        <v>1440.25</v>
      </c>
      <c r="O6">
        <f>N6+M5*0.66</f>
        <v>1440.91</v>
      </c>
      <c r="P6">
        <f>O6+M5*1</f>
        <v>1441.91</v>
      </c>
      <c r="Q6">
        <f>P6+M5*1.5</f>
        <v>1443.41</v>
      </c>
      <c r="R6">
        <f>IF((G6)&lt;Q5,10,IF(AND(G6&gt;=Q5,G6&lt;P5),7.75,IF(AND(G6&gt;=P5,G6&lt;O5),5.5,IF(AND(G6&gt;=O5,G6&lt;N5),3.25,IF(AND(G6&gt;=N5,G6&lt;=N6),1,IF(AND(G6&gt;N6,G6&lt;=O6),3.25,IF(AND(G6&gt;O6,G6&lt;=P6),5.5,IF(AND(G6&gt;P6,G6&lt;=Q6),7.75,10))))))))</f>
        <v>1</v>
      </c>
      <c r="S6" s="22">
        <f>BaseScore!$G$3</f>
        <v>3.2774417045999993</v>
      </c>
      <c r="T6" s="22">
        <f>EnvirScore!$G$3</f>
        <v>4.0464892565999993</v>
      </c>
      <c r="U6" s="22">
        <f t="shared" si="0"/>
        <v>8.3239309611999985</v>
      </c>
      <c r="V6" s="30">
        <f>((R5+S5)+(R6+S6)+(R7+S7))/3</f>
        <v>4.2774417045999993</v>
      </c>
      <c r="W6" s="30">
        <f>((R5+T5)+(R6+T6)+(R7+T7))/3</f>
        <v>5.0464892565999993</v>
      </c>
      <c r="X6" s="30">
        <f>(SUM(V6:W6))/2</f>
        <v>4.6619654805999993</v>
      </c>
      <c r="Y6" s="20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</row>
    <row r="7" spans="1:70" ht="15.75" thickBot="1" x14ac:dyDescent="0.3">
      <c r="B7" t="s">
        <v>33</v>
      </c>
      <c r="C7" s="3"/>
      <c r="D7" s="3"/>
      <c r="E7" s="3"/>
      <c r="F7" s="3"/>
      <c r="G7">
        <f>(SUM(C4:F4))*G31</f>
        <v>1440</v>
      </c>
      <c r="R7">
        <f>IF((G7)&lt;Q5,10,IF(AND(G7&gt;=Q5,G7&lt;P5),7.75,IF(AND(G7&gt;=P5,G7&lt;O5),5.5,IF(AND(G7&gt;=O5,G7&lt;N5),3.25,IF(AND(G7&gt;=N5,G7&lt;=N6),1,IF(AND(G7&gt;N6,G7&lt;=O6),3.25,IF(AND(G7&gt;O6,G7&lt;=P6),5.5,IF(AND(G7&gt;P6,G7&lt;=Q6),7.75,10))))))))</f>
        <v>1</v>
      </c>
      <c r="S7" s="22">
        <f>BaseScore!$G$3</f>
        <v>3.2774417045999993</v>
      </c>
      <c r="T7" s="22">
        <f>EnvirScore!$G$3</f>
        <v>4.0464892565999993</v>
      </c>
      <c r="U7" s="22">
        <f t="shared" si="0"/>
        <v>8.3239309611999985</v>
      </c>
      <c r="V7" s="32"/>
      <c r="W7" s="32"/>
      <c r="X7" s="32"/>
      <c r="Y7" s="20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</row>
    <row r="8" spans="1:70" ht="15.75" thickBot="1" x14ac:dyDescent="0.3">
      <c r="A8" s="13" t="s">
        <v>25</v>
      </c>
      <c r="B8" s="13" t="s">
        <v>31</v>
      </c>
      <c r="C8" s="13">
        <v>934246</v>
      </c>
      <c r="D8" s="13">
        <v>915933</v>
      </c>
      <c r="E8" s="13">
        <v>889199</v>
      </c>
      <c r="F8" s="13">
        <v>884045</v>
      </c>
      <c r="G8" s="13"/>
      <c r="H8" s="13">
        <f>_xlfn.STDEV.S(C8,D8,E8,F8)</f>
        <v>23528.092419842851</v>
      </c>
      <c r="I8" s="13">
        <f t="shared" si="1"/>
        <v>23528.092419842851</v>
      </c>
      <c r="J8" s="13">
        <v>4</v>
      </c>
      <c r="K8" s="13">
        <f>SUM(C8,D8,E8,F8)</f>
        <v>3623423</v>
      </c>
      <c r="L8" s="13">
        <f t="shared" si="2"/>
        <v>154.00411284274449</v>
      </c>
      <c r="M8" s="13">
        <f>_xlfn.STDEV.S(L8:L10)</f>
        <v>30.35868040957358</v>
      </c>
      <c r="N8" s="13">
        <f>M9-M8*0.25</f>
        <v>146.41444274035109</v>
      </c>
      <c r="O8" s="13">
        <f>N8-M8*0.66</f>
        <v>126.37771367003253</v>
      </c>
      <c r="P8" s="13">
        <f>O8-M8*1</f>
        <v>96.019033260458954</v>
      </c>
      <c r="Q8" s="13">
        <f>P8-M8*1.5</f>
        <v>50.481012646098584</v>
      </c>
      <c r="R8" s="13">
        <f>IF((L8)&lt;Q8,10,IF(AND(L8&gt;=Q8,L8&lt;P8),7.75,IF(AND(L8&gt;=P8,L8&lt;O8),5.5,IF(AND(L8&gt;=O8,L8&lt;N8),3.25,IF(AND(L8&gt;=N8,L8&lt;=N9),1,IF(AND(L8&gt;N9,L8&lt;=O9),3.25,IF(AND(L8&gt;O9,L8&lt;=P9),5.5,IF(AND(L8&gt;P9,L8&lt;=Q9),7.75,10))))))))</f>
        <v>1</v>
      </c>
      <c r="S8" s="22">
        <f>BaseScore!$G$5</f>
        <v>4.542328488599999</v>
      </c>
      <c r="T8" s="22">
        <f>EnvirScore!$G$5</f>
        <v>3.0111953045999993</v>
      </c>
      <c r="U8" s="22">
        <f>R8+S8+T8</f>
        <v>8.5535237931999983</v>
      </c>
      <c r="V8" s="24">
        <f>IF((V9)&gt;9,1,IF(AND(V9&gt;7,V9&lt;=8.9),2,IF(AND(V9&gt;4,V9&lt;=6.9),3,IF(AND(V9&gt;0,V9&lt;=3.9),4,0))))</f>
        <v>2</v>
      </c>
      <c r="W8" s="25">
        <f>IF((W9)&gt;9,1,IF(AND(W9&gt;7,W9&lt;=8.9),2,IF(AND(W9&gt;4,W9&lt;=6.9),3,IF(AND(W9&gt;0,W9&lt;=3.9),4,0))))</f>
        <v>3</v>
      </c>
      <c r="X8" s="26">
        <f>IF((X9)&gt;9,1,IF(AND(X9&gt;7,X9&lt;=8.9),2,IF(AND(X9&gt;4,X9&lt;=6.9),3,IF(AND(X9&gt;0,X9&lt;=3.9),4,0))))</f>
        <v>3</v>
      </c>
      <c r="Y8" s="20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</row>
    <row r="9" spans="1:70" x14ac:dyDescent="0.25">
      <c r="B9" t="s">
        <v>32</v>
      </c>
      <c r="C9">
        <v>857230</v>
      </c>
      <c r="D9">
        <v>899044</v>
      </c>
      <c r="E9">
        <v>936830</v>
      </c>
      <c r="F9">
        <v>924111</v>
      </c>
      <c r="G9" s="3"/>
      <c r="H9" s="16">
        <f t="shared" ref="H9:H16" si="3">_xlfn.STDEV.S(C9,D9,E9,F9)</f>
        <v>35089.82283963068</v>
      </c>
      <c r="I9">
        <f t="shared" si="1"/>
        <v>35089.82283963068</v>
      </c>
      <c r="J9">
        <v>4</v>
      </c>
      <c r="K9" s="16">
        <f t="shared" ref="K9:K16" si="4">SUM(C9,D9,E9,F9)</f>
        <v>3617215</v>
      </c>
      <c r="L9">
        <f t="shared" si="2"/>
        <v>103.08444749155852</v>
      </c>
      <c r="M9">
        <f>MEDIAN(L8:L10)</f>
        <v>154.00411284274449</v>
      </c>
      <c r="N9">
        <f>M9+M8*0.25</f>
        <v>161.59378294513789</v>
      </c>
      <c r="O9">
        <f>N9+M8*0.66</f>
        <v>181.63051201545645</v>
      </c>
      <c r="P9">
        <f>O9+M8*1</f>
        <v>211.98919242503001</v>
      </c>
      <c r="Q9">
        <f>P9+M8*1.5</f>
        <v>257.5272130393904</v>
      </c>
      <c r="R9">
        <f>IF((L9)&lt;Q8,10,IF(AND(L9&gt;=Q8,L9&lt;P8),7.75,IF(AND(L9&gt;=P8,L9&lt;O8),5.5,IF(AND(L9&gt;=O8,L9&lt;N8),3.25,IF(AND(L9&gt;=N8,L9&lt;=N9),1,IF(AND(L9&gt;N9,L9&lt;=O9),3.25,IF(AND(L9&gt;O9,L9&lt;=P9),5.5,IF(AND(L9&gt;P9,L9&lt;=Q9),7.75,10))))))))</f>
        <v>5.5</v>
      </c>
      <c r="S9" s="22">
        <f>BaseScore!$G$5</f>
        <v>4.542328488599999</v>
      </c>
      <c r="T9" s="22">
        <f>EnvirScore!$G$5</f>
        <v>3.0111953045999993</v>
      </c>
      <c r="U9" s="22">
        <f t="shared" si="0"/>
        <v>13.053523793199998</v>
      </c>
      <c r="V9" s="30">
        <f>((R8+S8)+(R9+S9)+(R10+S10))/3</f>
        <v>7.042328488599999</v>
      </c>
      <c r="W9" s="30">
        <f>((R8+T8)+(R9+T9)+(R10+T10))/3</f>
        <v>5.5111953045999984</v>
      </c>
      <c r="X9" s="30">
        <f>(SUM(V9:W9))/2</f>
        <v>6.2767618965999983</v>
      </c>
      <c r="Y9" s="20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</row>
    <row r="10" spans="1:70" ht="15.75" thickBot="1" x14ac:dyDescent="0.3">
      <c r="B10" t="s">
        <v>33</v>
      </c>
      <c r="C10">
        <v>903751</v>
      </c>
      <c r="D10">
        <v>895933</v>
      </c>
      <c r="E10">
        <v>861739</v>
      </c>
      <c r="F10">
        <v>861111</v>
      </c>
      <c r="G10" s="3"/>
      <c r="H10" s="16">
        <f t="shared" si="3"/>
        <v>22409.995113787954</v>
      </c>
      <c r="I10">
        <f t="shared" si="1"/>
        <v>22409.995113787954</v>
      </c>
      <c r="J10">
        <v>4</v>
      </c>
      <c r="K10" s="16">
        <f t="shared" si="4"/>
        <v>3522534</v>
      </c>
      <c r="L10">
        <f t="shared" si="2"/>
        <v>157.1858441786419</v>
      </c>
      <c r="R10">
        <f>IF((L10)&lt;Q8,10,IF(AND(L10&gt;=Q8,L10&lt;P8),7.75,IF(AND(L10&gt;=P8,L10&lt;O8),5.5,IF(AND(L10&gt;=O8,L10&lt;N8),3.25,IF(AND(L10&gt;=N8,L10&lt;=N9),1,IF(AND(L10&gt;N9,L10&lt;=O9),3.25,IF(AND(L10&gt;O9,L10&lt;=P9),5.5,IF(AND(L10&gt;P9,L10&lt;=Q9),7.75,10))))))))</f>
        <v>1</v>
      </c>
      <c r="S10" s="22">
        <f>BaseScore!$G$5</f>
        <v>4.542328488599999</v>
      </c>
      <c r="T10" s="22">
        <f>EnvirScore!$G$5</f>
        <v>3.0111953045999993</v>
      </c>
      <c r="U10" s="22">
        <f t="shared" si="0"/>
        <v>8.5535237931999983</v>
      </c>
      <c r="V10" s="32"/>
      <c r="W10" s="32"/>
      <c r="X10" s="32"/>
      <c r="Y10" s="20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</row>
    <row r="11" spans="1:70" ht="15.75" thickBot="1" x14ac:dyDescent="0.3">
      <c r="A11" s="13" t="s">
        <v>17</v>
      </c>
      <c r="B11" s="13" t="s">
        <v>31</v>
      </c>
      <c r="C11" s="13">
        <v>934246</v>
      </c>
      <c r="D11" s="13">
        <v>915933</v>
      </c>
      <c r="E11" s="13">
        <v>889199</v>
      </c>
      <c r="F11" s="13">
        <v>884045</v>
      </c>
      <c r="G11" s="13"/>
      <c r="H11" s="13">
        <f t="shared" si="3"/>
        <v>23528.092419842851</v>
      </c>
      <c r="I11" s="13">
        <f t="shared" si="1"/>
        <v>23528.092419842851</v>
      </c>
      <c r="J11" s="13">
        <v>4</v>
      </c>
      <c r="K11" s="13">
        <f>SUM(C11,D11,E11,F11)</f>
        <v>3623423</v>
      </c>
      <c r="L11" s="13">
        <f t="shared" si="2"/>
        <v>154.00411284274449</v>
      </c>
      <c r="M11" s="13">
        <f>_xlfn.STDEV.S(L11:L13)</f>
        <v>30.35868040957358</v>
      </c>
      <c r="N11" s="13">
        <f>M12-M11*0.25</f>
        <v>146.41444274035109</v>
      </c>
      <c r="O11" s="13">
        <f>N11-M11*0.66</f>
        <v>126.37771367003253</v>
      </c>
      <c r="P11" s="13">
        <f>O11-M11*1</f>
        <v>96.019033260458954</v>
      </c>
      <c r="Q11" s="13">
        <f>P11-M11*1.5</f>
        <v>50.481012646098584</v>
      </c>
      <c r="R11" s="13">
        <f>IF((L11)&lt;Q11,10,IF(AND(L11&gt;=Q11,L11&lt;P11),7.75,IF(AND(L11&gt;=P11,L11&lt;O11),5.5,IF(AND(L11&gt;=O11,L11&lt;N11),3.25,IF(AND(L11&gt;=N11,L11&lt;=N12),1,IF(AND(L11&gt;N12,L11&lt;=O12),3.25,IF(AND(L11&gt;O12,L11&lt;=P12),5.5,IF(AND(L11&gt;P12,L11&lt;=Q12),7.75,10))))))))</f>
        <v>1</v>
      </c>
      <c r="S11" s="22">
        <f>BaseScore!$G$6</f>
        <v>4.542328488599999</v>
      </c>
      <c r="T11" s="22">
        <f>EnvirScore!$G$6</f>
        <v>3.0111953045999993</v>
      </c>
      <c r="U11" s="22">
        <f t="shared" si="0"/>
        <v>8.5535237931999983</v>
      </c>
      <c r="V11" s="24">
        <f>IF((V12)&gt;9,1,IF(AND(V12&gt;7,V12&lt;=8.9),2,IF(AND(V12&gt;4,V12&lt;=6.9),3,IF(AND(V12&gt;0,V12&lt;=3.9),4,0))))</f>
        <v>2</v>
      </c>
      <c r="W11" s="25">
        <f>IF((W12)&gt;9,1,IF(AND(W12&gt;7,W12&lt;=8.9),2,IF(AND(W12&gt;4,W12&lt;=6.9),3,IF(AND(W12&gt;0,W12&lt;=3.9),4,0))))</f>
        <v>3</v>
      </c>
      <c r="X11" s="26">
        <f>IF((X12)&gt;9,1,IF(AND(X12&gt;7,X12&lt;=8.9),2,IF(AND(X12&gt;4,X12&lt;=6.9),3,IF(AND(X12&gt;0,X12&lt;=3.9),4,0))))</f>
        <v>3</v>
      </c>
      <c r="Y11" s="20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</row>
    <row r="12" spans="1:70" x14ac:dyDescent="0.25">
      <c r="B12" t="s">
        <v>32</v>
      </c>
      <c r="C12">
        <v>857230</v>
      </c>
      <c r="D12">
        <v>899044</v>
      </c>
      <c r="E12">
        <v>936830</v>
      </c>
      <c r="F12">
        <v>924111</v>
      </c>
      <c r="G12" s="3"/>
      <c r="H12" s="16">
        <f t="shared" si="3"/>
        <v>35089.82283963068</v>
      </c>
      <c r="I12">
        <f t="shared" si="1"/>
        <v>35089.82283963068</v>
      </c>
      <c r="J12">
        <v>4</v>
      </c>
      <c r="K12" s="16">
        <f t="shared" si="4"/>
        <v>3617215</v>
      </c>
      <c r="L12">
        <f t="shared" si="2"/>
        <v>103.08444749155852</v>
      </c>
      <c r="M12">
        <f>MEDIAN(L11:L13)</f>
        <v>154.00411284274449</v>
      </c>
      <c r="N12">
        <f>M12+M11*0.25</f>
        <v>161.59378294513789</v>
      </c>
      <c r="O12">
        <f>N12+M11*0.66</f>
        <v>181.63051201545645</v>
      </c>
      <c r="P12">
        <f>O12+M11*1</f>
        <v>211.98919242503001</v>
      </c>
      <c r="Q12">
        <f>P12+M11*1.5</f>
        <v>257.5272130393904</v>
      </c>
      <c r="R12">
        <f>IF((L12)&lt;Q11,10,IF(AND(L12&gt;=Q11,L12&lt;P11),7.75,IF(AND(L12&gt;=P11,L12&lt;O11),5.5,IF(AND(L12&gt;=O11,L12&lt;N11),3.25,IF(AND(L12&gt;=N11,L12&lt;=N12),1,IF(AND(L12&gt;N12,L12&lt;=O12),3.25,IF(AND(L12&gt;O12,L12&lt;=P12),5.5,IF(AND(L12&gt;P12,L12&lt;=Q12),7.75,10))))))))</f>
        <v>5.5</v>
      </c>
      <c r="S12" s="22">
        <f>BaseScore!$G$6</f>
        <v>4.542328488599999</v>
      </c>
      <c r="T12" s="22">
        <f>EnvirScore!$G$6</f>
        <v>3.0111953045999993</v>
      </c>
      <c r="U12" s="22">
        <f t="shared" si="0"/>
        <v>13.053523793199998</v>
      </c>
      <c r="V12" s="30">
        <f>((R11+S11)+(R12+S12)+(R13+S13))/3</f>
        <v>7.042328488599999</v>
      </c>
      <c r="W12" s="30">
        <f>((R11+T11)+(R12+T12)+(R13+T13))/3</f>
        <v>5.5111953045999984</v>
      </c>
      <c r="X12" s="30">
        <f>(SUM(V12:W12))/2</f>
        <v>6.2767618965999983</v>
      </c>
      <c r="Y12" s="20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</row>
    <row r="13" spans="1:70" ht="15.75" thickBot="1" x14ac:dyDescent="0.3">
      <c r="B13" t="s">
        <v>33</v>
      </c>
      <c r="C13">
        <v>903751</v>
      </c>
      <c r="D13">
        <v>895933</v>
      </c>
      <c r="E13">
        <v>861739</v>
      </c>
      <c r="F13">
        <v>861111</v>
      </c>
      <c r="G13" s="3"/>
      <c r="H13" s="16">
        <f t="shared" si="3"/>
        <v>22409.995113787954</v>
      </c>
      <c r="I13">
        <f t="shared" si="1"/>
        <v>22409.995113787954</v>
      </c>
      <c r="J13">
        <v>4</v>
      </c>
      <c r="K13" s="16">
        <f t="shared" si="4"/>
        <v>3522534</v>
      </c>
      <c r="L13">
        <f t="shared" si="2"/>
        <v>157.1858441786419</v>
      </c>
      <c r="R13">
        <f>IF((L13)&lt;Q11,10,IF(AND(L13&gt;=Q11,L13&lt;P11),7.75,IF(AND(L13&gt;=P11,L13&lt;O11),5.5,IF(AND(L13&gt;=O11,L13&lt;N11),3.25,IF(AND(L13&gt;=N11,L13&lt;=N12),1,IF(AND(L13&gt;N12,L13&lt;=O12),3.25,IF(AND(L13&gt;O12,L13&lt;=P12),5.5,IF(AND(L13&gt;P12,L13&lt;=Q12),7.75,10))))))))</f>
        <v>1</v>
      </c>
      <c r="S13" s="22">
        <f>BaseScore!$G$6</f>
        <v>4.542328488599999</v>
      </c>
      <c r="T13" s="22">
        <f>EnvirScore!$G$6</f>
        <v>3.0111953045999993</v>
      </c>
      <c r="U13" s="22">
        <f t="shared" si="0"/>
        <v>8.5535237931999983</v>
      </c>
      <c r="V13" s="32"/>
      <c r="W13" s="32"/>
      <c r="X13" s="32"/>
      <c r="Y13" s="20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</row>
    <row r="14" spans="1:70" ht="15.75" thickBot="1" x14ac:dyDescent="0.3">
      <c r="A14" s="13" t="s">
        <v>19</v>
      </c>
      <c r="B14" s="13" t="s">
        <v>31</v>
      </c>
      <c r="C14" s="13">
        <f>C8</f>
        <v>934246</v>
      </c>
      <c r="D14" s="13">
        <f>D8+C14</f>
        <v>1850179</v>
      </c>
      <c r="E14" s="13">
        <f>E8+D14</f>
        <v>2739378</v>
      </c>
      <c r="F14" s="13">
        <f>F8+E14</f>
        <v>3623423</v>
      </c>
      <c r="G14" s="13"/>
      <c r="H14" s="13">
        <f t="shared" si="3"/>
        <v>1156348.8675714033</v>
      </c>
      <c r="I14" s="13">
        <f t="shared" si="1"/>
        <v>1156348.8675714033</v>
      </c>
      <c r="J14" s="13">
        <v>4</v>
      </c>
      <c r="K14" s="13">
        <f>SUM(C14,D14,E14,F14)</f>
        <v>9147226</v>
      </c>
      <c r="L14" s="13">
        <f t="shared" si="2"/>
        <v>7.9104379798557369</v>
      </c>
      <c r="M14" s="13">
        <f>_xlfn.STDEV.S(L14:L16)</f>
        <v>0.23320161388569932</v>
      </c>
      <c r="N14" s="13">
        <f>M15-M14*0.25</f>
        <v>7.8377183900336105</v>
      </c>
      <c r="O14" s="13">
        <f>N14-M14*0.66</f>
        <v>7.6838053248690485</v>
      </c>
      <c r="P14" s="13">
        <f>O14-M14*1</f>
        <v>7.4506037109833496</v>
      </c>
      <c r="Q14" s="13">
        <f>P14-M14*1.5</f>
        <v>7.1008012901548003</v>
      </c>
      <c r="R14" s="13">
        <f>IF((L14)&lt;Q14,10,IF(AND(L14&gt;=Q14,L14&lt;P14),7.75,IF(AND(L14&gt;=P14,L14&lt;O14),5.5,IF(AND(L14&gt;=O14,L14&lt;N14),3.25,IF(AND(L14&gt;=N14,L14&lt;=N15),1,IF(AND(L14&gt;N15,L14&lt;=O15),3.25,IF(AND(L14&gt;O15,L14&lt;=P15),5.5,IF(AND(L14&gt;P15,L14&lt;=Q15),7.75,10))))))))</f>
        <v>1</v>
      </c>
      <c r="S14" s="22">
        <f>BaseScore!$G$8</f>
        <v>3.9495021845999996</v>
      </c>
      <c r="T14" s="22">
        <f>EnvirScore!$G$8</f>
        <v>4.542328488599999</v>
      </c>
      <c r="U14" s="22">
        <f t="shared" si="0"/>
        <v>9.4918306731999991</v>
      </c>
      <c r="V14" s="24">
        <f>IF((V15)&gt;9,1,IF(AND(V15&gt;7,V15&lt;=8.9),2,IF(AND(V15&gt;4,V15&lt;=6.9),3,IF(AND(V15&gt;0,V15&lt;=3.9),4,0))))</f>
        <v>3</v>
      </c>
      <c r="W14" s="25">
        <f>IF((W15)&gt;9,1,IF(AND(W15&gt;7,W15&lt;=8.9),2,IF(AND(W15&gt;4,W15&lt;=6.9),3,IF(AND(W15&gt;0,W15&lt;=3.9),4,0))))</f>
        <v>2</v>
      </c>
      <c r="X14" s="26">
        <f>IF((X15)&gt;9,1,IF(AND(X15&gt;7,X15&lt;=8.9),2,IF(AND(X15&gt;4,X15&lt;=6.9),3,IF(AND(X15&gt;0,X15&lt;=3.9),4,0))))</f>
        <v>3</v>
      </c>
      <c r="Y14" s="20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</row>
    <row r="15" spans="1:70" x14ac:dyDescent="0.25">
      <c r="B15" t="s">
        <v>32</v>
      </c>
      <c r="C15" s="16">
        <f t="shared" ref="C15:C16" si="5">C9</f>
        <v>857230</v>
      </c>
      <c r="D15" s="16">
        <f t="shared" ref="D15:F15" si="6">D9+C15</f>
        <v>1756274</v>
      </c>
      <c r="E15" s="16">
        <f t="shared" si="6"/>
        <v>2693104</v>
      </c>
      <c r="F15" s="16">
        <f t="shared" si="6"/>
        <v>3617215</v>
      </c>
      <c r="G15" s="3"/>
      <c r="H15" s="16">
        <f t="shared" si="3"/>
        <v>1189921.6939480724</v>
      </c>
      <c r="I15">
        <f t="shared" si="1"/>
        <v>1189921.6939480724</v>
      </c>
      <c r="J15">
        <v>4</v>
      </c>
      <c r="K15" s="16">
        <f t="shared" si="4"/>
        <v>8923823</v>
      </c>
      <c r="L15">
        <f t="shared" si="2"/>
        <v>7.4995044172960776</v>
      </c>
      <c r="M15">
        <f>MEDIAN(L14:L16)</f>
        <v>7.8960187935050357</v>
      </c>
      <c r="N15">
        <f>M15+M14*0.25</f>
        <v>7.9543191969764608</v>
      </c>
      <c r="O15">
        <f>N15+M14*0.66</f>
        <v>8.1082322621410228</v>
      </c>
      <c r="P15">
        <f>O15+M14*1</f>
        <v>8.3414338760267217</v>
      </c>
      <c r="Q15">
        <f>P15+M14*1.5</f>
        <v>8.691236296855271</v>
      </c>
      <c r="R15">
        <f>IF((L15)&lt;Q14,10,IF(AND(L15&gt;=Q14,L15&lt;P14),7.75,IF(AND(L15&gt;=P14,L15&lt;O14),5.5,IF(AND(L15&gt;=O14,L15&lt;N14),3.25,IF(AND(L15&gt;=N14,L15&lt;=N15),1,IF(AND(L15&gt;N15,L15&lt;=O15),3.25,IF(AND(L15&gt;O15,L15&lt;=P15),5.5,IF(AND(L15&gt;P15,L15&lt;=Q15),7.75,10))))))))</f>
        <v>5.5</v>
      </c>
      <c r="S15" s="22">
        <f>BaseScore!$G$8</f>
        <v>3.9495021845999996</v>
      </c>
      <c r="T15" s="22">
        <f>EnvirScore!$G$8</f>
        <v>4.542328488599999</v>
      </c>
      <c r="U15" s="22">
        <f t="shared" si="0"/>
        <v>13.991830673199999</v>
      </c>
      <c r="V15" s="30">
        <f>((R14+S14)+(R15+S15)+(R16+S16))/3</f>
        <v>6.4495021846</v>
      </c>
      <c r="W15" s="30">
        <f>((R14+T14)+(R15+T15)+(R16+T16))/3</f>
        <v>7.042328488599999</v>
      </c>
      <c r="X15" s="30">
        <f>(SUM(V15:W15))/2</f>
        <v>6.7459153365999995</v>
      </c>
      <c r="Y15" s="20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</row>
    <row r="16" spans="1:70" ht="15.75" thickBot="1" x14ac:dyDescent="0.3">
      <c r="B16" t="s">
        <v>33</v>
      </c>
      <c r="C16" s="16">
        <f t="shared" si="5"/>
        <v>903751</v>
      </c>
      <c r="D16" s="16">
        <f t="shared" ref="D16:F16" si="7">D10+C16</f>
        <v>1799684</v>
      </c>
      <c r="E16" s="16">
        <f t="shared" si="7"/>
        <v>2661423</v>
      </c>
      <c r="F16" s="16">
        <f t="shared" si="7"/>
        <v>3522534</v>
      </c>
      <c r="G16" s="3"/>
      <c r="H16" s="16">
        <f t="shared" si="3"/>
        <v>1125553.5520394696</v>
      </c>
      <c r="I16">
        <f t="shared" si="1"/>
        <v>1125553.5520394696</v>
      </c>
      <c r="J16">
        <v>4</v>
      </c>
      <c r="K16" s="16">
        <f t="shared" si="4"/>
        <v>8887392</v>
      </c>
      <c r="L16">
        <f t="shared" si="2"/>
        <v>7.8960187935050357</v>
      </c>
      <c r="R16">
        <f>IF((L16)&lt;Q14,10,IF(AND(L16&gt;=Q14,L16&lt;P14),7.75,IF(AND(L16&gt;=P14,L16&lt;O14),5.5,IF(AND(L16&gt;=O14,L16&lt;N14),3.25,IF(AND(L16&gt;=N14,L16&lt;=N15),1,IF(AND(L16&gt;N15,L16&lt;=O15),3.25,IF(AND(L16&gt;O15,L16&lt;=P15),5.5,IF(AND(L16&gt;P15,L16&lt;=Q15),7.75,10))))))))</f>
        <v>1</v>
      </c>
      <c r="S16" s="22">
        <f>BaseScore!$G$8</f>
        <v>3.9495021845999996</v>
      </c>
      <c r="T16" s="22">
        <f>EnvirScore!$G$8</f>
        <v>4.542328488599999</v>
      </c>
      <c r="U16" s="22">
        <f t="shared" si="0"/>
        <v>9.4918306731999991</v>
      </c>
      <c r="V16" s="32"/>
      <c r="W16" s="32"/>
      <c r="X16" s="32"/>
      <c r="Y16" s="20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</row>
    <row r="17" spans="1:70" ht="15.75" thickBot="1" x14ac:dyDescent="0.3">
      <c r="A17" s="13" t="s">
        <v>20</v>
      </c>
      <c r="B17" s="13" t="s">
        <v>31</v>
      </c>
      <c r="C17" s="13"/>
      <c r="D17" s="13"/>
      <c r="E17" s="13"/>
      <c r="F17" s="13"/>
      <c r="G17" s="13">
        <f>F14</f>
        <v>3623423</v>
      </c>
      <c r="H17" s="13">
        <f>_xlfn.STDEV.S(G17,G18,G19)</f>
        <v>56541.461698473977</v>
      </c>
      <c r="I17" s="13">
        <f t="shared" si="1"/>
        <v>56541.461698473977</v>
      </c>
      <c r="J17" s="13">
        <v>1</v>
      </c>
      <c r="K17" s="13">
        <f>SUM(G17:G19)</f>
        <v>10763172</v>
      </c>
      <c r="L17" s="13">
        <f t="shared" si="2"/>
        <v>190.35892735490586</v>
      </c>
      <c r="M17" s="13">
        <f>I17</f>
        <v>56541.461698473977</v>
      </c>
      <c r="N17" s="13">
        <f>M18-M17*0.25</f>
        <v>3603079.6345753814</v>
      </c>
      <c r="O17" s="13">
        <f>N17-M17*0.66</f>
        <v>3565762.2698543887</v>
      </c>
      <c r="P17" s="13">
        <f>O17-M17*1</f>
        <v>3509220.8081559148</v>
      </c>
      <c r="Q17" s="13">
        <f>P17-M17*1.5</f>
        <v>3424408.6156082037</v>
      </c>
      <c r="R17" s="13">
        <f>IF((G17)&lt;Q17,1,IF(AND(G17&gt;=Q17,G17&lt;P17),7.75,IF(AND(G17&gt;=P17,G17&lt;O17),5.5,IF(AND(G17&gt;=O17,G17&lt;N17),3.25,IF(AND(G17&gt;=N17,G17&lt;=N18),1,IF(AND(G17&gt;N18,G17&lt;=O18),3.25,IF(AND(G17&gt;O18,G17&lt;=P18),5.5,IF(AND(G17&gt;P18,G17&lt;=Q18),7.75,10))))))))</f>
        <v>1</v>
      </c>
      <c r="S17" s="22">
        <f>BaseScore!$G$9</f>
        <v>3.7647008405999998</v>
      </c>
      <c r="T17" s="22">
        <f>EnvirScore!$G$9</f>
        <v>3.0347153045999997</v>
      </c>
      <c r="U17" s="22">
        <f t="shared" si="0"/>
        <v>7.7994161451999995</v>
      </c>
      <c r="V17" s="24">
        <f>IF((V18)&gt;9,1,IF(AND(V18&gt;7,V18&lt;=8.9),2,IF(AND(V18&gt;4,V18&lt;=6.9),3,IF(AND(V18&gt;0,V18&lt;=3.9),4,0))))</f>
        <v>3</v>
      </c>
      <c r="W17" s="25">
        <f>IF((W18)&gt;9,1,IF(AND(W18&gt;7,W18&lt;=8.9),2,IF(AND(W18&gt;4,W18&lt;=6.9),3,IF(AND(W18&gt;0,W18&lt;=3.9),4,0))))</f>
        <v>3</v>
      </c>
      <c r="X17" s="26">
        <f>IF((X18)&gt;9,1,IF(AND(X18&gt;7,X18&lt;=8.9),2,IF(AND(X18&gt;4,X18&lt;=6.9),3,IF(AND(X18&gt;0,X18&lt;=3.9),4,0))))</f>
        <v>3</v>
      </c>
      <c r="Y17" s="20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</row>
    <row r="18" spans="1:70" x14ac:dyDescent="0.25">
      <c r="B18" t="s">
        <v>32</v>
      </c>
      <c r="C18" s="3"/>
      <c r="D18" s="3"/>
      <c r="E18" s="3"/>
      <c r="F18" s="3"/>
      <c r="G18">
        <f>F15</f>
        <v>3617215</v>
      </c>
      <c r="M18">
        <f>MEDIAN(G17:G19)</f>
        <v>3617215</v>
      </c>
      <c r="N18">
        <f>M18+M17*0.25</f>
        <v>3631350.3654246186</v>
      </c>
      <c r="O18">
        <f>N18+M17*0.66</f>
        <v>3668667.7301456113</v>
      </c>
      <c r="P18">
        <f>O18+M17*1</f>
        <v>3725209.1918440852</v>
      </c>
      <c r="Q18">
        <f>P18+M17*1.5</f>
        <v>3810021.3843917963</v>
      </c>
      <c r="R18">
        <f>IF((G18)&lt;Q17,10,IF(AND(G18&gt;=Q17,G18&lt;P17),7.75,IF(AND(G18&gt;=P17,G18&lt;O17),5.5,IF(AND(G18&gt;=O17,G18&lt;N17),3.25,IF(AND(G18&gt;=N17,G18&lt;=N18),1,IF(AND(G18&gt;N18,G18&lt;=O18),3.25,IF(AND(G18&gt;O18,G18&lt;=P18),5.5,IF(AND(G18&gt;P18,G18&lt;=Q18),7.75,10))))))))</f>
        <v>1</v>
      </c>
      <c r="S18" s="22">
        <f>BaseScore!$G$9</f>
        <v>3.7647008405999998</v>
      </c>
      <c r="T18" s="22">
        <f>EnvirScore!$G$9</f>
        <v>3.0347153045999997</v>
      </c>
      <c r="U18" s="22">
        <f t="shared" si="0"/>
        <v>7.7994161451999995</v>
      </c>
      <c r="V18" s="30">
        <f>((R17+S17)+(R18+S18)+(R19+S19))/3</f>
        <v>6.2647008405999998</v>
      </c>
      <c r="W18" s="30">
        <f>((R17+T17)+(R18+T18)+(R19+T19))/3</f>
        <v>5.5347153045999988</v>
      </c>
      <c r="X18" s="30">
        <f>(SUM(V18:W18))/2</f>
        <v>5.8997080725999993</v>
      </c>
      <c r="Y18" s="20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</row>
    <row r="19" spans="1:70" ht="15.75" thickBot="1" x14ac:dyDescent="0.3">
      <c r="B19" t="s">
        <v>33</v>
      </c>
      <c r="C19" s="3"/>
      <c r="D19" s="3"/>
      <c r="E19" s="3"/>
      <c r="F19" s="3"/>
      <c r="G19">
        <f>F16</f>
        <v>3522534</v>
      </c>
      <c r="R19">
        <f>IF((G19)&lt;Q17,10,IF(AND(G19&gt;=Q17,G19&lt;P17),7.75,IF(AND(G19&gt;=P17,G19&lt;O17),5.5,IF(AND(G19&gt;=O17,G19&lt;N17),3.25,IF(AND(G19&gt;=N17,G19&lt;=N18),1,IF(AND(G19&gt;N18,G19&lt;=O18),3.25,IF(AND(G19&gt;O18,G19&lt;=P18),5.5,IF(AND(G19&gt;P18,G19&lt;=Q18),7.75,10))))))))</f>
        <v>5.5</v>
      </c>
      <c r="S19" s="22">
        <f>BaseScore!$G$9</f>
        <v>3.7647008405999998</v>
      </c>
      <c r="T19" s="22">
        <f>EnvirScore!$G$9</f>
        <v>3.0347153045999997</v>
      </c>
      <c r="U19" s="22">
        <f t="shared" si="0"/>
        <v>12.299416145199999</v>
      </c>
      <c r="V19" s="32"/>
      <c r="W19" s="32"/>
      <c r="X19" s="32"/>
      <c r="Y19" s="20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</row>
    <row r="20" spans="1:70" ht="15.75" thickBot="1" x14ac:dyDescent="0.3">
      <c r="A20" s="13" t="s">
        <v>21</v>
      </c>
      <c r="B20" s="13" t="s">
        <v>31</v>
      </c>
      <c r="C20" s="13"/>
      <c r="D20" s="13"/>
      <c r="E20" s="13"/>
      <c r="F20" s="13"/>
      <c r="G20" s="13">
        <v>4</v>
      </c>
      <c r="H20" s="13">
        <f>_xlfn.STDEV.S(G20,G21,G22)</f>
        <v>0</v>
      </c>
      <c r="I20" s="13">
        <f t="shared" ref="I20" si="8">IF(H20=0,1,H20)</f>
        <v>1</v>
      </c>
      <c r="J20" s="13">
        <v>1</v>
      </c>
      <c r="K20" s="13">
        <f>SUM(H20:J20)</f>
        <v>2</v>
      </c>
      <c r="L20" s="13">
        <f t="shared" ref="L20" si="9">K20/I20</f>
        <v>2</v>
      </c>
      <c r="M20" s="13">
        <f>I20</f>
        <v>1</v>
      </c>
      <c r="N20" s="13">
        <f>M21-M20*0.25</f>
        <v>3.75</v>
      </c>
      <c r="O20" s="13">
        <f>N20-M20*0.66</f>
        <v>3.09</v>
      </c>
      <c r="P20" s="13">
        <f>O20-M20*1</f>
        <v>2.09</v>
      </c>
      <c r="Q20" s="13">
        <f>P20-M20*1.5</f>
        <v>0.58999999999999986</v>
      </c>
      <c r="R20" s="13">
        <f>IF((G20)&lt;Q20,1,IF(AND(G20&gt;=Q20,G20&lt;P20),7.75,IF(AND(G20&gt;=P20,G20&lt;O20),5.5,IF(AND(G20&gt;=O20,G20&lt;N20),3.25,IF(AND(G20&gt;=N20,G20&lt;=N21),1,IF(AND(G20&gt;N21,G20&lt;=O21),3.25,IF(AND(G20&gt;O21,G20&lt;=P21),5.5,IF(AND(G20&gt;P21,G20&lt;=Q21),7.75,10))))))))</f>
        <v>1</v>
      </c>
      <c r="S20" s="22">
        <f>BaseScore!$G$10</f>
        <v>4.8596885525999998</v>
      </c>
      <c r="T20" s="22">
        <f>EnvirScore!$G$10</f>
        <v>3.0582353045999993</v>
      </c>
      <c r="U20" s="22">
        <f t="shared" si="0"/>
        <v>8.9179238571999981</v>
      </c>
      <c r="V20" s="24">
        <f>IF((V21)&gt;9,1,IF(AND(V21&gt;7,V21&lt;=8.9),2,IF(AND(V21&gt;4,V21&lt;=6.9),3,IF(AND(V21&gt;0,V21&lt;=3.9),4,0))))</f>
        <v>3</v>
      </c>
      <c r="W20" s="25">
        <f>IF((W21)&gt;9,1,IF(AND(W21&gt;7,W21&lt;=8.9),2,IF(AND(W21&gt;4,W21&lt;=6.9),3,IF(AND(W21&gt;0,W21&lt;=3.9),4,0))))</f>
        <v>3</v>
      </c>
      <c r="X20" s="26">
        <f>IF((X21)&gt;9,1,IF(AND(X21&gt;7,X21&lt;=8.9),2,IF(AND(X21&gt;4,X21&lt;=6.9),3,IF(AND(X21&gt;0,X21&lt;=3.9),4,0))))</f>
        <v>3</v>
      </c>
      <c r="Y20" s="20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</row>
    <row r="21" spans="1:70" x14ac:dyDescent="0.25">
      <c r="B21" t="s">
        <v>32</v>
      </c>
      <c r="C21" s="3"/>
      <c r="D21" s="3"/>
      <c r="E21" s="3"/>
      <c r="F21" s="3"/>
      <c r="G21">
        <v>4</v>
      </c>
      <c r="M21">
        <f>MEDIAN(G20:G22)</f>
        <v>4</v>
      </c>
      <c r="N21">
        <f>M21+M20*0.25</f>
        <v>4.25</v>
      </c>
      <c r="O21">
        <f>N21+M20*0.66</f>
        <v>4.91</v>
      </c>
      <c r="P21">
        <f>O21+M20*1</f>
        <v>5.91</v>
      </c>
      <c r="Q21">
        <f>P21+M20*1.5</f>
        <v>7.41</v>
      </c>
      <c r="R21">
        <f>IF((G21)&lt;Q20,10,IF(AND(G21&gt;=Q20,G21&lt;P20),7.75,IF(AND(G21&gt;=P20,G21&lt;O20),5.5,IF(AND(G21&gt;=O20,G21&lt;N20),3.25,IF(AND(G21&gt;=N20,G21&lt;=N21),1,IF(AND(G21&gt;N21,G21&lt;=O21),3.25,IF(AND(G21&gt;O21,G21&lt;=P21),5.5,IF(AND(G21&gt;P21,G21&lt;=Q21),7.75,10))))))))</f>
        <v>1</v>
      </c>
      <c r="S21" s="22">
        <f>BaseScore!$G$10</f>
        <v>4.8596885525999998</v>
      </c>
      <c r="T21" s="22">
        <f>EnvirScore!$G$10</f>
        <v>3.0582353045999993</v>
      </c>
      <c r="U21" s="22">
        <f t="shared" si="0"/>
        <v>8.9179238571999981</v>
      </c>
      <c r="V21" s="30">
        <f>((R20+S20)+(R21+S21)+(R22+S22))/3</f>
        <v>5.8596885526000007</v>
      </c>
      <c r="W21" s="30">
        <f>((R20+T20)+(R21+T21)+(R22+T22))/3</f>
        <v>4.0582353045999993</v>
      </c>
      <c r="X21" s="30">
        <f>(SUM(V21:W21))/2</f>
        <v>4.9589619286</v>
      </c>
      <c r="Y21" s="20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</row>
    <row r="22" spans="1:70" ht="15.75" thickBot="1" x14ac:dyDescent="0.3">
      <c r="B22" t="s">
        <v>33</v>
      </c>
      <c r="C22" s="3"/>
      <c r="D22" s="3"/>
      <c r="E22" s="3"/>
      <c r="F22" s="3"/>
      <c r="G22">
        <v>4</v>
      </c>
      <c r="R22">
        <f>IF((G22)&lt;Q20,10,IF(AND(G22&gt;=Q20,G22&lt;P20),7.75,IF(AND(G22&gt;=P20,G22&lt;O20),5.5,IF(AND(G22&gt;=O20,G22&lt;N20),3.25,IF(AND(G22&gt;=N20,G22&lt;=N21),1,IF(AND(G22&gt;N21,G22&lt;=O21),3.25,IF(AND(G22&gt;O21,G22&lt;=P21),5.5,IF(AND(G22&gt;P21,G22&lt;=Q21),7.75,10))))))))</f>
        <v>1</v>
      </c>
      <c r="S22" s="22">
        <f>BaseScore!$G$10</f>
        <v>4.8596885525999998</v>
      </c>
      <c r="T22" s="22">
        <f>EnvirScore!$G$10</f>
        <v>3.0582353045999993</v>
      </c>
      <c r="U22" s="22">
        <f t="shared" si="0"/>
        <v>8.9179238571999981</v>
      </c>
      <c r="V22" s="32"/>
      <c r="W22" s="32"/>
      <c r="X22" s="32"/>
      <c r="Y22" s="20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</row>
    <row r="23" spans="1:70" ht="24" thickBot="1" x14ac:dyDescent="0.3">
      <c r="A23" s="13" t="s">
        <v>22</v>
      </c>
      <c r="B23" s="13" t="s">
        <v>31</v>
      </c>
      <c r="C23" s="14" t="s">
        <v>49</v>
      </c>
      <c r="D23" s="14" t="s">
        <v>49</v>
      </c>
      <c r="E23" s="14" t="s">
        <v>49</v>
      </c>
      <c r="F23" s="14" t="s">
        <v>49</v>
      </c>
      <c r="G23" s="13"/>
      <c r="H23" s="13">
        <v>0</v>
      </c>
      <c r="I23" s="13">
        <f t="shared" ref="I23:I25" si="10">IF(H23=0,1,H23)</f>
        <v>1</v>
      </c>
      <c r="J23" s="13">
        <v>4</v>
      </c>
      <c r="K23" s="13"/>
      <c r="L23" s="13"/>
      <c r="M23" s="13"/>
      <c r="N23" s="13"/>
      <c r="O23" s="13"/>
      <c r="P23" s="13"/>
      <c r="Q23" s="13"/>
      <c r="R23" s="13">
        <f>IF(AND(C23=C24,C23=C25),1,10)</f>
        <v>1</v>
      </c>
      <c r="S23" s="22">
        <f>BaseScore!$G$11</f>
        <v>4.6913512085999995</v>
      </c>
      <c r="T23" s="22">
        <f>EnvirScore!$G$11</f>
        <v>3.0582353045999993</v>
      </c>
      <c r="U23" s="22">
        <f t="shared" si="0"/>
        <v>8.7495865131999988</v>
      </c>
      <c r="V23" s="24">
        <f>IF((V24)&gt;9,1,IF(AND(V24&gt;7,V24&lt;=8.9),2,IF(AND(V24&gt;4,V24&lt;=6.9),3,IF(AND(V24&gt;0,V24&lt;=3.9),4,0))))</f>
        <v>3</v>
      </c>
      <c r="W23" s="25">
        <f>IF((W24)&gt;9,1,IF(AND(W24&gt;7,W24&lt;=8.9),2,IF(AND(W24&gt;4,W24&lt;=6.9),3,IF(AND(W24&gt;0,W24&lt;=3.9),4,0))))</f>
        <v>3</v>
      </c>
      <c r="X23" s="26">
        <f>IF((X24)&gt;9,1,IF(AND(X24&gt;7,X24&lt;=8.9),2,IF(AND(X24&gt;4,X24&lt;=6.9),3,IF(AND(X24&gt;0,X24&lt;=3.9),4,0))))</f>
        <v>3</v>
      </c>
      <c r="Y23" s="20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</row>
    <row r="24" spans="1:70" ht="23.25" x14ac:dyDescent="0.25">
      <c r="B24" t="s">
        <v>32</v>
      </c>
      <c r="C24" s="6" t="s">
        <v>49</v>
      </c>
      <c r="D24" s="6" t="s">
        <v>49</v>
      </c>
      <c r="E24" s="6" t="s">
        <v>49</v>
      </c>
      <c r="F24" s="34" t="s">
        <v>49</v>
      </c>
      <c r="G24" s="3"/>
      <c r="H24">
        <v>0</v>
      </c>
      <c r="I24">
        <f t="shared" si="10"/>
        <v>1</v>
      </c>
      <c r="J24">
        <v>4</v>
      </c>
      <c r="R24" s="16">
        <f>IF(AND(D23=D24,D23=D25),1,10)</f>
        <v>1</v>
      </c>
      <c r="S24" s="22">
        <f>BaseScore!$G$11</f>
        <v>4.6913512085999995</v>
      </c>
      <c r="T24" s="22">
        <f>EnvirScore!$G$11</f>
        <v>3.0582353045999993</v>
      </c>
      <c r="U24" s="22">
        <f t="shared" si="0"/>
        <v>8.7495865131999988</v>
      </c>
      <c r="V24" s="30">
        <f>((R23+S23)+(R24+S24)+(R25+S25))/3</f>
        <v>5.6913512085999995</v>
      </c>
      <c r="W24" s="30">
        <f>((R23+T23)+(R24+T24)+(R25+T25))/3</f>
        <v>4.0582353045999993</v>
      </c>
      <c r="X24" s="30">
        <f>(SUM(V24:W24))/2</f>
        <v>4.8747932565999994</v>
      </c>
      <c r="Y24" s="20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</row>
    <row r="25" spans="1:70" ht="24" thickBot="1" x14ac:dyDescent="0.3">
      <c r="B25" t="s">
        <v>33</v>
      </c>
      <c r="C25" s="6" t="s">
        <v>49</v>
      </c>
      <c r="D25" s="6" t="s">
        <v>49</v>
      </c>
      <c r="E25" s="6" t="s">
        <v>49</v>
      </c>
      <c r="F25" s="34" t="s">
        <v>49</v>
      </c>
      <c r="G25" s="3"/>
      <c r="H25">
        <v>0</v>
      </c>
      <c r="I25">
        <f t="shared" si="10"/>
        <v>1</v>
      </c>
      <c r="J25">
        <v>4</v>
      </c>
      <c r="R25" s="16">
        <f>IF(AND(D23=D24,D23=D25),1,10)</f>
        <v>1</v>
      </c>
      <c r="S25" s="22">
        <f>BaseScore!$G$11</f>
        <v>4.6913512085999995</v>
      </c>
      <c r="T25" s="22">
        <f>EnvirScore!$G$11</f>
        <v>3.0582353045999993</v>
      </c>
      <c r="U25" s="22">
        <f t="shared" si="0"/>
        <v>8.7495865131999988</v>
      </c>
      <c r="V25" s="32"/>
      <c r="W25" s="32"/>
      <c r="X25" s="32"/>
      <c r="Y25" s="20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</row>
    <row r="26" spans="1:70" ht="15.75" thickBot="1" x14ac:dyDescent="0.3">
      <c r="A26" s="13" t="s">
        <v>24</v>
      </c>
      <c r="B26" s="13" t="s">
        <v>31</v>
      </c>
      <c r="C26" s="15" t="s">
        <v>43</v>
      </c>
      <c r="D26" s="15" t="s">
        <v>43</v>
      </c>
      <c r="E26" s="15" t="s">
        <v>43</v>
      </c>
      <c r="F26" s="15" t="s">
        <v>43</v>
      </c>
      <c r="G26" s="13"/>
      <c r="H26" s="13"/>
      <c r="I26" s="13"/>
      <c r="J26" s="13">
        <v>4</v>
      </c>
      <c r="K26" s="13">
        <f>AVERAGE(M26:P26)</f>
        <v>1</v>
      </c>
      <c r="L26" s="13"/>
      <c r="M26" s="13">
        <f>IF(C26="OpenVSwtich",1,IF(C26="HP FlexFabric 12900",3,IF(C26="Cisco Nexus 9000",3,IF(C26="Juniper OCX1100",3,2))))</f>
        <v>1</v>
      </c>
      <c r="N26" s="4">
        <f t="shared" ref="N26:P28" si="11">IF(C26="OpenVSwtich",1,IF(C26="HP FlexFabric 12900",3,IF(C26="Cisco Nexus 9000",3,IF(C26="Juniper OCX1100",3,2))))</f>
        <v>1</v>
      </c>
      <c r="O26" s="4">
        <f t="shared" si="11"/>
        <v>1</v>
      </c>
      <c r="P26" s="4">
        <f t="shared" si="11"/>
        <v>1</v>
      </c>
      <c r="Q26" s="4">
        <f>IF(G26="OpenVSwtich",1,IF(G26="HP FlexFabric 12900",3,IF(G26="Cisco Nexus 9000",3,IF(G26="Juniper OCX1100",3,2))))</f>
        <v>2</v>
      </c>
      <c r="R26" s="13">
        <f>IF((K26)&lt;2,10,IF(AND(K26&gt;=2,K26&lt;3),5,1))</f>
        <v>10</v>
      </c>
      <c r="S26" s="22">
        <f>BaseScore!$G$12</f>
        <v>3.7674103445999991</v>
      </c>
      <c r="T26" s="22">
        <f>EnvirScore!$G$12</f>
        <v>5.0347243925999994</v>
      </c>
      <c r="U26" s="22">
        <f t="shared" si="0"/>
        <v>18.802134737199999</v>
      </c>
      <c r="V26" s="24">
        <f>IF((V27)&gt;9,1,IF(AND(V27&gt;7,V27&lt;=8.9),2,IF(AND(V27&gt;4,V27&lt;=6.9),3,IF(AND(V27&gt;0,V27&lt;=3.9),4,0))))</f>
        <v>2</v>
      </c>
      <c r="W26" s="25">
        <f>IF((W27)&gt;9,1,IF(AND(W27&gt;7,W27&lt;=8.9),2,IF(AND(W27&gt;4,W27&lt;=6.9),3,IF(AND(W27&gt;0,W27&lt;=3.9),4,0))))</f>
        <v>1</v>
      </c>
      <c r="X26" s="26">
        <f>IF((X27)&gt;9,1,IF(AND(X27&gt;7,X27&lt;=8.9),2,IF(AND(X27&gt;4,X27&lt;=6.9),3,IF(AND(X27&gt;0,X27&lt;=3.9),4,0))))</f>
        <v>2</v>
      </c>
      <c r="Y26" s="20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</row>
    <row r="27" spans="1:70" x14ac:dyDescent="0.25">
      <c r="B27" t="s">
        <v>32</v>
      </c>
      <c r="C27" s="9" t="s">
        <v>43</v>
      </c>
      <c r="D27" s="9" t="s">
        <v>43</v>
      </c>
      <c r="E27" s="9" t="s">
        <v>43</v>
      </c>
      <c r="F27" s="35" t="s">
        <v>43</v>
      </c>
      <c r="G27" s="3"/>
      <c r="J27">
        <v>4</v>
      </c>
      <c r="K27">
        <f>AVERAGE(M27:P27)</f>
        <v>1</v>
      </c>
      <c r="M27">
        <f t="shared" ref="M27:M28" si="12">IF(C27="OpenVSwtich",1,IF(C27="HP FlexFabric 12900",3,IF(C27="Cisco Nexus 9000",3,IF(C27="Juniper OCX1100",3,2))))</f>
        <v>1</v>
      </c>
      <c r="N27" s="4">
        <f t="shared" si="11"/>
        <v>1</v>
      </c>
      <c r="O27" s="4">
        <f t="shared" si="11"/>
        <v>1</v>
      </c>
      <c r="P27" s="4">
        <f t="shared" si="11"/>
        <v>1</v>
      </c>
      <c r="Q27" s="4">
        <f t="shared" ref="Q27:Q28" si="13">IF(G27="OpenVSwtich",1,IF(G27="HP FlexFabric 12900",3,IF(G27="Cisco Nexus 9000",3,IF(G27="Juniper OCX1100",3,2))))</f>
        <v>2</v>
      </c>
      <c r="R27">
        <f t="shared" ref="R27:R28" si="14">IF((K27)&lt;2,1,IF(AND(K27&gt;=2,K27&lt;3),2,3))</f>
        <v>1</v>
      </c>
      <c r="S27" s="22">
        <f>BaseScore!$G$12</f>
        <v>3.7674103445999991</v>
      </c>
      <c r="T27" s="22">
        <f>EnvirScore!$G$12</f>
        <v>5.0347243925999994</v>
      </c>
      <c r="U27" s="22">
        <f t="shared" si="0"/>
        <v>9.8021347371999994</v>
      </c>
      <c r="V27" s="30">
        <f>((R26+S26)+(R27+S27)+(R28+S28))/3</f>
        <v>7.7674103445999982</v>
      </c>
      <c r="W27" s="30">
        <f>((R26+T26)+(R27+T27)+(R28+T28))/3</f>
        <v>9.0347243925999994</v>
      </c>
      <c r="X27" s="30">
        <f>(SUM(V27:W27))/2</f>
        <v>8.4010673685999997</v>
      </c>
      <c r="Y27" s="20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</row>
    <row r="28" spans="1:70" ht="15.75" thickBot="1" x14ac:dyDescent="0.3">
      <c r="B28" t="s">
        <v>33</v>
      </c>
      <c r="C28" s="9" t="s">
        <v>43</v>
      </c>
      <c r="D28" s="9" t="s">
        <v>43</v>
      </c>
      <c r="E28" s="9" t="s">
        <v>43</v>
      </c>
      <c r="F28" s="35" t="s">
        <v>43</v>
      </c>
      <c r="G28" s="3"/>
      <c r="J28">
        <v>4</v>
      </c>
      <c r="K28">
        <f>AVERAGE(M28:P28)</f>
        <v>1</v>
      </c>
      <c r="M28">
        <f t="shared" si="12"/>
        <v>1</v>
      </c>
      <c r="N28" s="4">
        <f t="shared" si="11"/>
        <v>1</v>
      </c>
      <c r="O28" s="4">
        <f t="shared" si="11"/>
        <v>1</v>
      </c>
      <c r="P28" s="4">
        <f t="shared" si="11"/>
        <v>1</v>
      </c>
      <c r="Q28" s="4">
        <f t="shared" si="13"/>
        <v>2</v>
      </c>
      <c r="R28">
        <f t="shared" si="14"/>
        <v>1</v>
      </c>
      <c r="S28" s="22">
        <f>BaseScore!$G$12</f>
        <v>3.7674103445999991</v>
      </c>
      <c r="T28" s="22">
        <f>EnvirScore!$G$12</f>
        <v>5.0347243925999994</v>
      </c>
      <c r="U28" s="22">
        <f t="shared" si="0"/>
        <v>9.8021347371999994</v>
      </c>
      <c r="V28" s="32"/>
      <c r="W28" s="32"/>
      <c r="X28" s="32"/>
      <c r="Y28" s="20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</row>
    <row r="29" spans="1:70" ht="15.75" thickBot="1" x14ac:dyDescent="0.3">
      <c r="A29" s="13" t="s">
        <v>26</v>
      </c>
      <c r="B29" s="13" t="s">
        <v>31</v>
      </c>
      <c r="C29" s="13"/>
      <c r="D29" s="13"/>
      <c r="E29" s="13"/>
      <c r="F29" s="13"/>
      <c r="G29" s="13">
        <v>8</v>
      </c>
      <c r="H29" s="13">
        <f>_xlfn.STDEV.S(G29,G30,G31)</f>
        <v>0</v>
      </c>
      <c r="I29" s="13">
        <f t="shared" ref="I29" si="15">IF(H29=0,1,H29)</f>
        <v>1</v>
      </c>
      <c r="J29" s="13">
        <v>1</v>
      </c>
      <c r="K29" s="13">
        <f>SUM(H29:J29)</f>
        <v>2</v>
      </c>
      <c r="L29" s="13">
        <f t="shared" ref="L29" si="16">K29/I29</f>
        <v>2</v>
      </c>
      <c r="M29" s="13">
        <f>I29</f>
        <v>1</v>
      </c>
      <c r="N29" s="13">
        <f>M30-M29*0.25</f>
        <v>7.75</v>
      </c>
      <c r="O29" s="13">
        <f>N29-M29*0.66</f>
        <v>7.09</v>
      </c>
      <c r="P29" s="13">
        <f>O29-M29*1</f>
        <v>6.09</v>
      </c>
      <c r="Q29" s="13">
        <f>P29-M29*1.5</f>
        <v>4.59</v>
      </c>
      <c r="R29" s="13">
        <f>IF((G29)&lt;Q29,1,IF(AND(G29&gt;=Q29,G29&lt;P29),7.75,IF(AND(G29&gt;=P29,G29&lt;O29),5.5,IF(AND(G29&gt;=O29,G29&lt;N29),3.25,IF(AND(G29&gt;=N29,G29&lt;=N30),1,IF(AND(G29&gt;N30,G29&lt;=O30),3.25,IF(AND(G29&gt;O30,G29&lt;=P30),5.5,IF(AND(G29&gt;P30,G29&lt;=Q30),7.75,10))))))))</f>
        <v>1</v>
      </c>
      <c r="S29" s="22">
        <f>BaseScore!$G$13</f>
        <v>3.7647008405999998</v>
      </c>
      <c r="T29" s="22">
        <f>EnvirScore!$G$13</f>
        <v>2.9500433045999999</v>
      </c>
      <c r="U29" s="22">
        <f t="shared" si="0"/>
        <v>7.7147441451999992</v>
      </c>
      <c r="V29" s="24">
        <f>IF((V30)&gt;9,1,IF(AND(V30&gt;7,V30&lt;=8.9),2,IF(AND(V30&gt;4,V30&lt;=6.9),3,IF(AND(V30&gt;0,V30&lt;=3.9),4,0))))</f>
        <v>3</v>
      </c>
      <c r="W29" s="25">
        <f>IF((W30)&gt;9,1,IF(AND(W30&gt;7,W30&lt;=8.9),2,IF(AND(W30&gt;4,W30&lt;=6.9),3,IF(AND(W30&gt;0,W30&lt;=3.9),4,0))))</f>
        <v>0</v>
      </c>
      <c r="X29" s="26">
        <f>IF((X30)&gt;9,1,IF(AND(X30&gt;7,X30&lt;=8.9),2,IF(AND(X30&gt;4,X30&lt;=6.9),3,IF(AND(X30&gt;0,X30&lt;=3.9),4,0))))</f>
        <v>3</v>
      </c>
      <c r="Y29" s="20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</row>
    <row r="30" spans="1:70" x14ac:dyDescent="0.25">
      <c r="B30" t="s">
        <v>32</v>
      </c>
      <c r="C30" s="3"/>
      <c r="D30" s="3"/>
      <c r="E30" s="3"/>
      <c r="F30" s="3"/>
      <c r="G30">
        <v>8</v>
      </c>
      <c r="M30">
        <f>MEDIAN(G29:G31)</f>
        <v>8</v>
      </c>
      <c r="N30">
        <f>M30+M29*0.25</f>
        <v>8.25</v>
      </c>
      <c r="O30">
        <f>N30+M29*0.66</f>
        <v>8.91</v>
      </c>
      <c r="P30">
        <f>O30+M29*1</f>
        <v>9.91</v>
      </c>
      <c r="Q30">
        <f>P30+M29*1.5</f>
        <v>11.41</v>
      </c>
      <c r="R30">
        <f>IF((G30)&lt;Q29,10,IF(AND(G30&gt;=Q29,G30&lt;P29),7.75,IF(AND(G30&gt;=P29,G30&lt;O29),5.5,IF(AND(G30&gt;=O29,G30&lt;N29),3.25,IF(AND(G30&gt;=N29,G30&lt;=N30),1,IF(AND(G30&gt;N30,G30&lt;=O30),3.25,IF(AND(G30&gt;O30,G30&lt;=P30),5.5,IF(AND(G30&gt;P30,G30&lt;=Q30),7.75,10))))))))</f>
        <v>1</v>
      </c>
      <c r="S30" s="22">
        <f>BaseScore!$G$13</f>
        <v>3.7647008405999998</v>
      </c>
      <c r="T30" s="22">
        <f>EnvirScore!$G$13</f>
        <v>2.9500433045999999</v>
      </c>
      <c r="U30" s="22">
        <f t="shared" si="0"/>
        <v>7.7147441451999992</v>
      </c>
      <c r="V30" s="30">
        <f>((R29+S29)+(R30+S30)+(R31+S31))/3</f>
        <v>4.7647008405999998</v>
      </c>
      <c r="W30" s="30">
        <f>((R29+T29)+(R30+T30)+(R31+T31))/3</f>
        <v>3.9500433045999999</v>
      </c>
      <c r="X30" s="30">
        <f>(SUM(V30:W30))/2</f>
        <v>4.3573720725999996</v>
      </c>
      <c r="Y30" s="20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</row>
    <row r="31" spans="1:70" ht="15.75" thickBot="1" x14ac:dyDescent="0.3">
      <c r="B31" t="s">
        <v>33</v>
      </c>
      <c r="C31" s="3"/>
      <c r="D31" s="3"/>
      <c r="E31" s="3"/>
      <c r="F31" s="3"/>
      <c r="G31">
        <v>8</v>
      </c>
      <c r="R31">
        <f>IF((G31)&lt;Q29,10,IF(AND(G31&gt;=Q29,G31&lt;P29),7.75,IF(AND(G31&gt;=P29,G31&lt;O29),5.5,IF(AND(G31&gt;=O29,G31&lt;N29),3.25,IF(AND(G31&gt;=N29,G31&lt;=N30),1,IF(AND(G31&gt;N30,G31&lt;=O30),3.25,IF(AND(G31&gt;O30,G31&lt;=P30),5.5,IF(AND(G31&gt;P30,G31&lt;=Q30),7.75,10))))))))</f>
        <v>1</v>
      </c>
      <c r="S31" s="22">
        <f>BaseScore!$G$13</f>
        <v>3.7647008405999998</v>
      </c>
      <c r="T31" s="22">
        <f>EnvirScore!$G$13</f>
        <v>2.9500433045999999</v>
      </c>
      <c r="U31" s="22">
        <f t="shared" si="0"/>
        <v>7.7147441451999992</v>
      </c>
      <c r="V31" s="32"/>
      <c r="W31" s="32"/>
      <c r="X31" s="32"/>
      <c r="Y31" s="20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</row>
    <row r="32" spans="1:70" ht="15.75" thickBot="1" x14ac:dyDescent="0.3">
      <c r="A32" s="13" t="s">
        <v>34</v>
      </c>
      <c r="B32" s="13" t="s">
        <v>31</v>
      </c>
      <c r="C32" s="13"/>
      <c r="D32" s="13"/>
      <c r="E32" s="13"/>
      <c r="F32" s="13"/>
      <c r="G32" s="13">
        <f>MEDIAN(G5)</f>
        <v>1440</v>
      </c>
      <c r="H32" s="13">
        <f>_xlfn.STDEV.S(G32,G33,G34)</f>
        <v>0</v>
      </c>
      <c r="I32" s="13">
        <f t="shared" ref="I32" si="17">IF(H32=0,1,H32)</f>
        <v>1</v>
      </c>
      <c r="J32" s="13">
        <v>1</v>
      </c>
      <c r="K32" s="13">
        <f>SUM(G32:G34)</f>
        <v>4320</v>
      </c>
      <c r="L32" s="13">
        <f t="shared" ref="L32" si="18">K32/I32</f>
        <v>4320</v>
      </c>
      <c r="M32" s="13">
        <f>I32</f>
        <v>1</v>
      </c>
      <c r="N32" s="13">
        <f>M33-M32*0.25</f>
        <v>1439.75</v>
      </c>
      <c r="O32" s="13">
        <f>N32-M32*0.66</f>
        <v>1439.09</v>
      </c>
      <c r="P32" s="13">
        <f>O32-M32*1</f>
        <v>1438.09</v>
      </c>
      <c r="Q32" s="13">
        <f>P32-M32*1.5</f>
        <v>1436.59</v>
      </c>
      <c r="R32" s="13">
        <f>IF((G32)&lt;Q32,1,IF(AND(G32&gt;=Q32,G32&lt;P32),7.75,IF(AND(G32&gt;=P32,G32&lt;O32),5.5,IF(AND(G32&gt;=O32,G32&lt;N32),3.25,IF(AND(G32&gt;=N32,G32&lt;=N33),1,IF(AND(G32&gt;N33,G32&lt;=O33),3.25,IF(AND(G32&gt;O33,G32&lt;=P33),5.5,IF(AND(G32&gt;P33,G32&lt;=Q33),7.75,10))))))))</f>
        <v>1</v>
      </c>
      <c r="S32" s="22">
        <f>BaseScore!$G$14</f>
        <v>3.7647008405999998</v>
      </c>
      <c r="T32" s="22">
        <f>EnvirScore!$G$14</f>
        <v>2.9500433045999999</v>
      </c>
      <c r="U32" s="22">
        <f t="shared" si="0"/>
        <v>7.7147441451999992</v>
      </c>
      <c r="V32" s="24">
        <f>IF((V33)&gt;9,1,IF(AND(V33&gt;7,V33&lt;=8.9),2,IF(AND(V33&gt;4,V33&lt;=6.9),3,IF(AND(V33&gt;0,V33&lt;=3.9),4,0))))</f>
        <v>3</v>
      </c>
      <c r="W32" s="25">
        <f>IF((W33)&gt;9,1,IF(AND(W33&gt;7,W33&lt;=8.9),2,IF(AND(W33&gt;4,W33&lt;=6.9),3,IF(AND(W33&gt;0,W33&lt;=3.9),4,0))))</f>
        <v>0</v>
      </c>
      <c r="X32" s="26">
        <f>IF((X33)&gt;9,1,IF(AND(X33&gt;7,X33&lt;=8.9),2,IF(AND(X33&gt;4,X33&lt;=6.9),3,IF(AND(X33&gt;0,X33&lt;=3.9),4,0))))</f>
        <v>3</v>
      </c>
      <c r="Y32" s="20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</row>
    <row r="33" spans="1:73" x14ac:dyDescent="0.25">
      <c r="B33" t="s">
        <v>32</v>
      </c>
      <c r="C33" s="3"/>
      <c r="D33" s="3"/>
      <c r="E33" s="3"/>
      <c r="F33" s="3"/>
      <c r="G33">
        <f t="shared" ref="G33:G34" si="19">MEDIAN(G6)</f>
        <v>1440</v>
      </c>
      <c r="M33">
        <f>MEDIAN(G32:G34)</f>
        <v>1440</v>
      </c>
      <c r="N33">
        <f>M33+M32*0.25</f>
        <v>1440.25</v>
      </c>
      <c r="O33">
        <f>N33+M32*0.66</f>
        <v>1440.91</v>
      </c>
      <c r="P33">
        <f>O33+M32*1</f>
        <v>1441.91</v>
      </c>
      <c r="Q33">
        <f>P33+M32*1.5</f>
        <v>1443.41</v>
      </c>
      <c r="R33">
        <f>IF((G33)&lt;Q32,10,IF(AND(G33&gt;=Q32,G33&lt;P32),7.75,IF(AND(G33&gt;=P32,G33&lt;O32),5.5,IF(AND(G33&gt;=O32,G33&lt;N32),3.25,IF(AND(G33&gt;=N32,G33&lt;=N33),1,IF(AND(G33&gt;N33,G33&lt;=O33),3.25,IF(AND(G33&gt;O33,G33&lt;=P33),5.5,IF(AND(G33&gt;P33,G33&lt;=Q33),7.75,10))))))))</f>
        <v>1</v>
      </c>
      <c r="S33" s="22">
        <f>BaseScore!$G$14</f>
        <v>3.7647008405999998</v>
      </c>
      <c r="T33" s="22">
        <f>EnvirScore!$G$14</f>
        <v>2.9500433045999999</v>
      </c>
      <c r="U33" s="22">
        <f t="shared" si="0"/>
        <v>7.7147441451999992</v>
      </c>
      <c r="V33" s="30">
        <f>((R32+S32)+(R33+S33)+(R34+S34))/3</f>
        <v>4.7647008405999998</v>
      </c>
      <c r="W33" s="30">
        <f>((R32+T32)+(R33+T33)+(R34+T34))/3</f>
        <v>3.9500433045999999</v>
      </c>
      <c r="X33" s="30">
        <f>(SUM(V33:W33))/2</f>
        <v>4.3573720725999996</v>
      </c>
      <c r="Y33" s="20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</row>
    <row r="34" spans="1:73" x14ac:dyDescent="0.25">
      <c r="B34" t="s">
        <v>33</v>
      </c>
      <c r="C34" s="3"/>
      <c r="D34" s="3"/>
      <c r="E34" s="3"/>
      <c r="F34" s="3"/>
      <c r="G34">
        <f t="shared" si="19"/>
        <v>1440</v>
      </c>
      <c r="R34">
        <f>IF((G34)&lt;Q32,10,IF(AND(G34&gt;=Q32,G34&lt;P32),7.75,IF(AND(G34&gt;=P32,G34&lt;O32),5.5,IF(AND(G34&gt;=O32,G34&lt;N32),3.25,IF(AND(G34&gt;=N32,G34&lt;=N33),1,IF(AND(G34&gt;N33,G34&lt;=O33),3.25,IF(AND(G34&gt;O33,G34&lt;=P33),5.5,IF(AND(G34&gt;P33,G34&lt;=Q33),7.75,10))))))))</f>
        <v>1</v>
      </c>
      <c r="S34" s="22">
        <f>BaseScore!$G$14</f>
        <v>3.7647008405999998</v>
      </c>
      <c r="T34" s="22">
        <f>EnvirScore!$G$14</f>
        <v>2.9500433045999999</v>
      </c>
      <c r="U34" s="22">
        <f t="shared" si="0"/>
        <v>7.7147441451999992</v>
      </c>
      <c r="V34" s="33"/>
      <c r="W34" s="33"/>
      <c r="X34" s="33"/>
      <c r="Y34" s="20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</row>
    <row r="35" spans="1:73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</row>
    <row r="36" spans="1:73" ht="15.75" thickBot="1" x14ac:dyDescent="0.3">
      <c r="T36" s="2" t="s">
        <v>40</v>
      </c>
      <c r="U36">
        <f>SUM(U2:U35)</f>
        <v>305.36307531959983</v>
      </c>
      <c r="V36" s="21">
        <f t="shared" ref="V36:W36" si="20">(SUM(V3,V6,V9,V12,V15,V18,V24,V27,V30,V33))/11</f>
        <v>5.3038096950909077</v>
      </c>
      <c r="W36" s="21">
        <f t="shared" si="20"/>
        <v>4.8661692063636357</v>
      </c>
      <c r="X36" s="30">
        <f>(SUM(V36:W36))/2</f>
        <v>5.0849894507272717</v>
      </c>
    </row>
    <row r="37" spans="1:73" ht="19.5" thickBot="1" x14ac:dyDescent="0.35">
      <c r="S37" s="8"/>
      <c r="U37" s="10" t="s">
        <v>80</v>
      </c>
      <c r="V37" s="27">
        <f>IF((V36)&gt;9,1,IF(AND(V36&gt;7,V36&lt;=8.9),2,IF(AND(V36&gt;4,V36&lt;=6.9),3,IF(AND(V36&gt;0,V36&lt;=3.9),4,0))))</f>
        <v>3</v>
      </c>
      <c r="W37" s="28">
        <f>IF((W36)&gt;9,1,IF(AND(W36&gt;7,W36&lt;=8.9),2,IF(AND(W36&gt;4,W36&lt;=6.9),3,IF(AND(W36&gt;0,W36&lt;=3.9),4,0))))</f>
        <v>3</v>
      </c>
      <c r="X37" s="29">
        <f>IF((X36)&gt;9,1,IF(AND(X36&gt;7,X36&lt;=8.9),2,IF(AND(X36&gt;4,X36&lt;=6.9),3,IF(AND(X36&gt;0,X36&lt;=3.9),4,0))))</f>
        <v>3</v>
      </c>
    </row>
    <row r="38" spans="1:73" x14ac:dyDescent="0.25">
      <c r="P38" s="7"/>
      <c r="Q38" s="7"/>
    </row>
    <row r="39" spans="1:73" x14ac:dyDescent="0.25">
      <c r="P39" s="7"/>
      <c r="Q39" s="7"/>
      <c r="T39" s="2" t="s">
        <v>55</v>
      </c>
      <c r="U39" s="38" t="s">
        <v>71</v>
      </c>
      <c r="V39" s="38"/>
      <c r="W39" s="38"/>
      <c r="X39" s="38"/>
      <c r="Y39" s="38"/>
    </row>
    <row r="40" spans="1:73" x14ac:dyDescent="0.25">
      <c r="P40" s="7"/>
      <c r="Q40" s="7"/>
      <c r="U40" s="39" t="s">
        <v>72</v>
      </c>
      <c r="V40" s="39"/>
      <c r="W40" s="39"/>
      <c r="X40" s="39"/>
      <c r="Y40" s="39"/>
    </row>
    <row r="41" spans="1:73" x14ac:dyDescent="0.25">
      <c r="U41" s="40" t="s">
        <v>73</v>
      </c>
      <c r="V41" s="40"/>
      <c r="W41" s="40"/>
      <c r="X41" s="40"/>
      <c r="Y41" s="40"/>
    </row>
    <row r="42" spans="1:73" x14ac:dyDescent="0.25">
      <c r="U42" s="41" t="s">
        <v>74</v>
      </c>
      <c r="V42" s="41"/>
      <c r="W42" s="41"/>
      <c r="X42" s="41"/>
      <c r="Y42" s="41"/>
    </row>
  </sheetData>
  <dataConsolidate/>
  <mergeCells count="4">
    <mergeCell ref="U39:Y39"/>
    <mergeCell ref="U40:Y40"/>
    <mergeCell ref="U41:Y41"/>
    <mergeCell ref="U42:Y42"/>
  </mergeCells>
  <conditionalFormatting sqref="X11">
    <cfRule type="cellIs" dxfId="143" priority="129" operator="equal">
      <formula>1</formula>
    </cfRule>
    <cfRule type="cellIs" dxfId="142" priority="130" operator="equal">
      <formula>2</formula>
    </cfRule>
    <cfRule type="cellIs" dxfId="141" priority="131" operator="equal">
      <formula>3</formula>
    </cfRule>
    <cfRule type="cellIs" dxfId="140" priority="132" operator="equal">
      <formula>4</formula>
    </cfRule>
  </conditionalFormatting>
  <conditionalFormatting sqref="X8">
    <cfRule type="cellIs" dxfId="139" priority="141" operator="equal">
      <formula>1</formula>
    </cfRule>
    <cfRule type="cellIs" dxfId="138" priority="142" operator="equal">
      <formula>2</formula>
    </cfRule>
    <cfRule type="cellIs" dxfId="137" priority="143" operator="equal">
      <formula>3</formula>
    </cfRule>
    <cfRule type="cellIs" dxfId="136" priority="144" operator="equal">
      <formula>4</formula>
    </cfRule>
  </conditionalFormatting>
  <conditionalFormatting sqref="V11">
    <cfRule type="cellIs" dxfId="135" priority="85" operator="equal">
      <formula>1</formula>
    </cfRule>
    <cfRule type="cellIs" dxfId="134" priority="86" operator="equal">
      <formula>2</formula>
    </cfRule>
    <cfRule type="cellIs" dxfId="133" priority="87" operator="equal">
      <formula>3</formula>
    </cfRule>
    <cfRule type="cellIs" dxfId="132" priority="88" operator="equal">
      <formula>4</formula>
    </cfRule>
  </conditionalFormatting>
  <conditionalFormatting sqref="X2">
    <cfRule type="cellIs" dxfId="131" priority="137" operator="equal">
      <formula>1</formula>
    </cfRule>
    <cfRule type="cellIs" dxfId="130" priority="138" operator="equal">
      <formula>2</formula>
    </cfRule>
    <cfRule type="cellIs" dxfId="129" priority="139" operator="equal">
      <formula>3</formula>
    </cfRule>
    <cfRule type="cellIs" dxfId="128" priority="140" operator="equal">
      <formula>4</formula>
    </cfRule>
  </conditionalFormatting>
  <conditionalFormatting sqref="X5">
    <cfRule type="cellIs" dxfId="127" priority="133" operator="equal">
      <formula>1</formula>
    </cfRule>
    <cfRule type="cellIs" dxfId="126" priority="134" operator="equal">
      <formula>2</formula>
    </cfRule>
    <cfRule type="cellIs" dxfId="125" priority="135" operator="equal">
      <formula>3</formula>
    </cfRule>
    <cfRule type="cellIs" dxfId="124" priority="136" operator="equal">
      <formula>4</formula>
    </cfRule>
  </conditionalFormatting>
  <conditionalFormatting sqref="X14">
    <cfRule type="cellIs" dxfId="123" priority="125" operator="equal">
      <formula>1</formula>
    </cfRule>
    <cfRule type="cellIs" dxfId="122" priority="126" operator="equal">
      <formula>2</formula>
    </cfRule>
    <cfRule type="cellIs" dxfId="121" priority="127" operator="equal">
      <formula>3</formula>
    </cfRule>
    <cfRule type="cellIs" dxfId="120" priority="128" operator="equal">
      <formula>4</formula>
    </cfRule>
  </conditionalFormatting>
  <conditionalFormatting sqref="X17">
    <cfRule type="cellIs" dxfId="119" priority="121" operator="equal">
      <formula>1</formula>
    </cfRule>
    <cfRule type="cellIs" dxfId="118" priority="122" operator="equal">
      <formula>2</formula>
    </cfRule>
    <cfRule type="cellIs" dxfId="117" priority="123" operator="equal">
      <formula>3</formula>
    </cfRule>
    <cfRule type="cellIs" dxfId="116" priority="124" operator="equal">
      <formula>4</formula>
    </cfRule>
  </conditionalFormatting>
  <conditionalFormatting sqref="X20">
    <cfRule type="cellIs" dxfId="115" priority="117" operator="equal">
      <formula>1</formula>
    </cfRule>
    <cfRule type="cellIs" dxfId="114" priority="118" operator="equal">
      <formula>2</formula>
    </cfRule>
    <cfRule type="cellIs" dxfId="113" priority="119" operator="equal">
      <formula>3</formula>
    </cfRule>
    <cfRule type="cellIs" dxfId="112" priority="120" operator="equal">
      <formula>4</formula>
    </cfRule>
  </conditionalFormatting>
  <conditionalFormatting sqref="X23">
    <cfRule type="cellIs" dxfId="111" priority="113" operator="equal">
      <formula>1</formula>
    </cfRule>
    <cfRule type="cellIs" dxfId="110" priority="114" operator="equal">
      <formula>2</formula>
    </cfRule>
    <cfRule type="cellIs" dxfId="109" priority="115" operator="equal">
      <formula>3</formula>
    </cfRule>
    <cfRule type="cellIs" dxfId="108" priority="116" operator="equal">
      <formula>4</formula>
    </cfRule>
  </conditionalFormatting>
  <conditionalFormatting sqref="X26">
    <cfRule type="cellIs" dxfId="107" priority="109" operator="equal">
      <formula>1</formula>
    </cfRule>
    <cfRule type="cellIs" dxfId="106" priority="110" operator="equal">
      <formula>2</formula>
    </cfRule>
    <cfRule type="cellIs" dxfId="105" priority="111" operator="equal">
      <formula>3</formula>
    </cfRule>
    <cfRule type="cellIs" dxfId="104" priority="112" operator="equal">
      <formula>4</formula>
    </cfRule>
  </conditionalFormatting>
  <conditionalFormatting sqref="X29">
    <cfRule type="cellIs" dxfId="103" priority="105" operator="equal">
      <formula>1</formula>
    </cfRule>
    <cfRule type="cellIs" dxfId="102" priority="106" operator="equal">
      <formula>2</formula>
    </cfRule>
    <cfRule type="cellIs" dxfId="101" priority="107" operator="equal">
      <formula>3</formula>
    </cfRule>
    <cfRule type="cellIs" dxfId="100" priority="108" operator="equal">
      <formula>4</formula>
    </cfRule>
  </conditionalFormatting>
  <conditionalFormatting sqref="X32">
    <cfRule type="cellIs" dxfId="99" priority="101" operator="equal">
      <formula>1</formula>
    </cfRule>
    <cfRule type="cellIs" dxfId="98" priority="102" operator="equal">
      <formula>2</formula>
    </cfRule>
    <cfRule type="cellIs" dxfId="97" priority="103" operator="equal">
      <formula>3</formula>
    </cfRule>
    <cfRule type="cellIs" dxfId="96" priority="104" operator="equal">
      <formula>4</formula>
    </cfRule>
  </conditionalFormatting>
  <conditionalFormatting sqref="V2">
    <cfRule type="cellIs" dxfId="95" priority="97" operator="equal">
      <formula>1</formula>
    </cfRule>
    <cfRule type="cellIs" dxfId="94" priority="98" operator="equal">
      <formula>2</formula>
    </cfRule>
    <cfRule type="cellIs" dxfId="93" priority="99" operator="equal">
      <formula>3</formula>
    </cfRule>
    <cfRule type="cellIs" dxfId="92" priority="100" operator="equal">
      <formula>4</formula>
    </cfRule>
  </conditionalFormatting>
  <conditionalFormatting sqref="V5">
    <cfRule type="cellIs" dxfId="91" priority="93" operator="equal">
      <formula>1</formula>
    </cfRule>
    <cfRule type="cellIs" dxfId="90" priority="94" operator="equal">
      <formula>2</formula>
    </cfRule>
    <cfRule type="cellIs" dxfId="89" priority="95" operator="equal">
      <formula>3</formula>
    </cfRule>
    <cfRule type="cellIs" dxfId="88" priority="96" operator="equal">
      <formula>4</formula>
    </cfRule>
  </conditionalFormatting>
  <conditionalFormatting sqref="V8">
    <cfRule type="cellIs" dxfId="87" priority="89" operator="equal">
      <formula>1</formula>
    </cfRule>
    <cfRule type="cellIs" dxfId="86" priority="90" operator="equal">
      <formula>2</formula>
    </cfRule>
    <cfRule type="cellIs" dxfId="85" priority="91" operator="equal">
      <formula>3</formula>
    </cfRule>
    <cfRule type="cellIs" dxfId="84" priority="92" operator="equal">
      <formula>4</formula>
    </cfRule>
  </conditionalFormatting>
  <conditionalFormatting sqref="V14">
    <cfRule type="cellIs" dxfId="83" priority="81" operator="equal">
      <formula>1</formula>
    </cfRule>
    <cfRule type="cellIs" dxfId="82" priority="82" operator="equal">
      <formula>2</formula>
    </cfRule>
    <cfRule type="cellIs" dxfId="81" priority="83" operator="equal">
      <formula>3</formula>
    </cfRule>
    <cfRule type="cellIs" dxfId="80" priority="84" operator="equal">
      <formula>4</formula>
    </cfRule>
  </conditionalFormatting>
  <conditionalFormatting sqref="V17">
    <cfRule type="cellIs" dxfId="79" priority="77" operator="equal">
      <formula>1</formula>
    </cfRule>
    <cfRule type="cellIs" dxfId="78" priority="78" operator="equal">
      <formula>2</formula>
    </cfRule>
    <cfRule type="cellIs" dxfId="77" priority="79" operator="equal">
      <formula>3</formula>
    </cfRule>
    <cfRule type="cellIs" dxfId="76" priority="80" operator="equal">
      <formula>4</formula>
    </cfRule>
  </conditionalFormatting>
  <conditionalFormatting sqref="V20">
    <cfRule type="cellIs" dxfId="75" priority="73" operator="equal">
      <formula>1</formula>
    </cfRule>
    <cfRule type="cellIs" dxfId="74" priority="74" operator="equal">
      <formula>2</formula>
    </cfRule>
    <cfRule type="cellIs" dxfId="73" priority="75" operator="equal">
      <formula>3</formula>
    </cfRule>
    <cfRule type="cellIs" dxfId="72" priority="76" operator="equal">
      <formula>4</formula>
    </cfRule>
  </conditionalFormatting>
  <conditionalFormatting sqref="V23">
    <cfRule type="cellIs" dxfId="71" priority="69" operator="equal">
      <formula>1</formula>
    </cfRule>
    <cfRule type="cellIs" dxfId="70" priority="70" operator="equal">
      <formula>2</formula>
    </cfRule>
    <cfRule type="cellIs" dxfId="69" priority="71" operator="equal">
      <formula>3</formula>
    </cfRule>
    <cfRule type="cellIs" dxfId="68" priority="72" operator="equal">
      <formula>4</formula>
    </cfRule>
  </conditionalFormatting>
  <conditionalFormatting sqref="V26">
    <cfRule type="cellIs" dxfId="67" priority="65" operator="equal">
      <formula>1</formula>
    </cfRule>
    <cfRule type="cellIs" dxfId="66" priority="66" operator="equal">
      <formula>2</formula>
    </cfRule>
    <cfRule type="cellIs" dxfId="65" priority="67" operator="equal">
      <formula>3</formula>
    </cfRule>
    <cfRule type="cellIs" dxfId="64" priority="68" operator="equal">
      <formula>4</formula>
    </cfRule>
  </conditionalFormatting>
  <conditionalFormatting sqref="V29">
    <cfRule type="cellIs" dxfId="63" priority="61" operator="equal">
      <formula>1</formula>
    </cfRule>
    <cfRule type="cellIs" dxfId="62" priority="62" operator="equal">
      <formula>2</formula>
    </cfRule>
    <cfRule type="cellIs" dxfId="61" priority="63" operator="equal">
      <formula>3</formula>
    </cfRule>
    <cfRule type="cellIs" dxfId="60" priority="64" operator="equal">
      <formula>4</formula>
    </cfRule>
  </conditionalFormatting>
  <conditionalFormatting sqref="V32">
    <cfRule type="cellIs" dxfId="59" priority="57" operator="equal">
      <formula>1</formula>
    </cfRule>
    <cfRule type="cellIs" dxfId="58" priority="58" operator="equal">
      <formula>2</formula>
    </cfRule>
    <cfRule type="cellIs" dxfId="57" priority="59" operator="equal">
      <formula>3</formula>
    </cfRule>
    <cfRule type="cellIs" dxfId="56" priority="60" operator="equal">
      <formula>4</formula>
    </cfRule>
  </conditionalFormatting>
  <conditionalFormatting sqref="W2">
    <cfRule type="cellIs" dxfId="55" priority="53" operator="equal">
      <formula>1</formula>
    </cfRule>
    <cfRule type="cellIs" dxfId="54" priority="54" operator="equal">
      <formula>2</formula>
    </cfRule>
    <cfRule type="cellIs" dxfId="53" priority="55" operator="equal">
      <formula>3</formula>
    </cfRule>
    <cfRule type="cellIs" dxfId="52" priority="56" operator="equal">
      <formula>4</formula>
    </cfRule>
  </conditionalFormatting>
  <conditionalFormatting sqref="W5">
    <cfRule type="cellIs" dxfId="51" priority="49" operator="equal">
      <formula>1</formula>
    </cfRule>
    <cfRule type="cellIs" dxfId="50" priority="50" operator="equal">
      <formula>2</formula>
    </cfRule>
    <cfRule type="cellIs" dxfId="49" priority="51" operator="equal">
      <formula>3</formula>
    </cfRule>
    <cfRule type="cellIs" dxfId="48" priority="52" operator="equal">
      <formula>4</formula>
    </cfRule>
  </conditionalFormatting>
  <conditionalFormatting sqref="W8">
    <cfRule type="cellIs" dxfId="47" priority="45" operator="equal">
      <formula>1</formula>
    </cfRule>
    <cfRule type="cellIs" dxfId="46" priority="46" operator="equal">
      <formula>2</formula>
    </cfRule>
    <cfRule type="cellIs" dxfId="45" priority="47" operator="equal">
      <formula>3</formula>
    </cfRule>
    <cfRule type="cellIs" dxfId="44" priority="48" operator="equal">
      <formula>4</formula>
    </cfRule>
  </conditionalFormatting>
  <conditionalFormatting sqref="W11">
    <cfRule type="cellIs" dxfId="43" priority="41" operator="equal">
      <formula>1</formula>
    </cfRule>
    <cfRule type="cellIs" dxfId="42" priority="42" operator="equal">
      <formula>2</formula>
    </cfRule>
    <cfRule type="cellIs" dxfId="41" priority="43" operator="equal">
      <formula>3</formula>
    </cfRule>
    <cfRule type="cellIs" dxfId="40" priority="44" operator="equal">
      <formula>4</formula>
    </cfRule>
  </conditionalFormatting>
  <conditionalFormatting sqref="W14">
    <cfRule type="cellIs" dxfId="39" priority="37" operator="equal">
      <formula>1</formula>
    </cfRule>
    <cfRule type="cellIs" dxfId="38" priority="38" operator="equal">
      <formula>2</formula>
    </cfRule>
    <cfRule type="cellIs" dxfId="37" priority="39" operator="equal">
      <formula>3</formula>
    </cfRule>
    <cfRule type="cellIs" dxfId="36" priority="40" operator="equal">
      <formula>4</formula>
    </cfRule>
  </conditionalFormatting>
  <conditionalFormatting sqref="W17">
    <cfRule type="cellIs" dxfId="35" priority="33" operator="equal">
      <formula>1</formula>
    </cfRule>
    <cfRule type="cellIs" dxfId="34" priority="34" operator="equal">
      <formula>2</formula>
    </cfRule>
    <cfRule type="cellIs" dxfId="33" priority="35" operator="equal">
      <formula>3</formula>
    </cfRule>
    <cfRule type="cellIs" dxfId="32" priority="36" operator="equal">
      <formula>4</formula>
    </cfRule>
  </conditionalFormatting>
  <conditionalFormatting sqref="W20">
    <cfRule type="cellIs" dxfId="31" priority="29" operator="equal">
      <formula>1</formula>
    </cfRule>
    <cfRule type="cellIs" dxfId="30" priority="30" operator="equal">
      <formula>2</formula>
    </cfRule>
    <cfRule type="cellIs" dxfId="29" priority="31" operator="equal">
      <formula>3</formula>
    </cfRule>
    <cfRule type="cellIs" dxfId="28" priority="32" operator="equal">
      <formula>4</formula>
    </cfRule>
  </conditionalFormatting>
  <conditionalFormatting sqref="W23">
    <cfRule type="cellIs" dxfId="27" priority="25" operator="equal">
      <formula>1</formula>
    </cfRule>
    <cfRule type="cellIs" dxfId="26" priority="26" operator="equal">
      <formula>2</formula>
    </cfRule>
    <cfRule type="cellIs" dxfId="25" priority="27" operator="equal">
      <formula>3</formula>
    </cfRule>
    <cfRule type="cellIs" dxfId="24" priority="28" operator="equal">
      <formula>4</formula>
    </cfRule>
  </conditionalFormatting>
  <conditionalFormatting sqref="W26">
    <cfRule type="cellIs" dxfId="23" priority="21" operator="equal">
      <formula>1</formula>
    </cfRule>
    <cfRule type="cellIs" dxfId="22" priority="22" operator="equal">
      <formula>2</formula>
    </cfRule>
    <cfRule type="cellIs" dxfId="21" priority="23" operator="equal">
      <formula>3</formula>
    </cfRule>
    <cfRule type="cellIs" dxfId="20" priority="24" operator="equal">
      <formula>4</formula>
    </cfRule>
  </conditionalFormatting>
  <conditionalFormatting sqref="W29">
    <cfRule type="cellIs" dxfId="19" priority="17" operator="equal">
      <formula>1</formula>
    </cfRule>
    <cfRule type="cellIs" dxfId="18" priority="18" operator="equal">
      <formula>2</formula>
    </cfRule>
    <cfRule type="cellIs" dxfId="17" priority="19" operator="equal">
      <formula>3</formula>
    </cfRule>
    <cfRule type="cellIs" dxfId="16" priority="20" operator="equal">
      <formula>4</formula>
    </cfRule>
  </conditionalFormatting>
  <conditionalFormatting sqref="W32">
    <cfRule type="cellIs" dxfId="15" priority="13" operator="equal">
      <formula>1</formula>
    </cfRule>
    <cfRule type="cellIs" dxfId="14" priority="14" operator="equal">
      <formula>2</formula>
    </cfRule>
    <cfRule type="cellIs" dxfId="13" priority="15" operator="equal">
      <formula>3</formula>
    </cfRule>
    <cfRule type="cellIs" dxfId="12" priority="16" operator="equal">
      <formula>4</formula>
    </cfRule>
  </conditionalFormatting>
  <conditionalFormatting sqref="X37">
    <cfRule type="cellIs" dxfId="11" priority="9" operator="equal">
      <formula>1</formula>
    </cfRule>
    <cfRule type="cellIs" dxfId="10" priority="10" operator="equal">
      <formula>2</formula>
    </cfRule>
    <cfRule type="cellIs" dxfId="9" priority="11" operator="equal">
      <formula>3</formula>
    </cfRule>
    <cfRule type="cellIs" dxfId="8" priority="12" operator="equal">
      <formula>4</formula>
    </cfRule>
  </conditionalFormatting>
  <conditionalFormatting sqref="V37">
    <cfRule type="cellIs" dxfId="7" priority="5" operator="equal">
      <formula>1</formula>
    </cfRule>
    <cfRule type="cellIs" dxfId="6" priority="6" operator="equal">
      <formula>2</formula>
    </cfRule>
    <cfRule type="cellIs" dxfId="5" priority="7" operator="equal">
      <formula>3</formula>
    </cfRule>
    <cfRule type="cellIs" dxfId="4" priority="8" operator="equal">
      <formula>4</formula>
    </cfRule>
  </conditionalFormatting>
  <conditionalFormatting sqref="W37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equal">
      <formula>4</formula>
    </cfRule>
  </conditionalFormatting>
  <dataValidations count="1">
    <dataValidation type="list" allowBlank="1" showInputMessage="1" showErrorMessage="1" sqref="C26:F28">
      <formula1>Types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workbookViewId="0">
      <selection activeCell="A8" sqref="A8:XFD8"/>
    </sheetView>
  </sheetViews>
  <sheetFormatPr defaultRowHeight="15" x14ac:dyDescent="0.25"/>
  <cols>
    <col min="1" max="1" width="27.85546875" bestFit="1" customWidth="1"/>
    <col min="2" max="2" width="10.7109375" bestFit="1" customWidth="1"/>
    <col min="3" max="3" width="12.42578125" bestFit="1" customWidth="1"/>
    <col min="4" max="4" width="9.42578125" bestFit="1" customWidth="1"/>
    <col min="5" max="5" width="11.7109375" bestFit="1" customWidth="1"/>
    <col min="6" max="6" width="15.7109375" bestFit="1" customWidth="1"/>
    <col min="7" max="7" width="15.7109375" customWidth="1"/>
    <col min="8" max="8" width="19.7109375" bestFit="1" customWidth="1"/>
  </cols>
  <sheetData>
    <row r="1" spans="1:9" x14ac:dyDescent="0.25">
      <c r="A1" s="1" t="s">
        <v>9</v>
      </c>
      <c r="B1" s="1" t="s">
        <v>6</v>
      </c>
      <c r="C1" s="1" t="s">
        <v>7</v>
      </c>
      <c r="D1" s="1" t="s">
        <v>8</v>
      </c>
      <c r="E1" s="1" t="s">
        <v>64</v>
      </c>
      <c r="F1" s="1" t="s">
        <v>56</v>
      </c>
      <c r="G1" s="1" t="s">
        <v>65</v>
      </c>
      <c r="H1" s="1" t="s">
        <v>13</v>
      </c>
      <c r="I1" s="1" t="s">
        <v>15</v>
      </c>
    </row>
    <row r="2" spans="1:9" x14ac:dyDescent="0.25">
      <c r="A2" t="s">
        <v>10</v>
      </c>
      <c r="B2">
        <v>0.35</v>
      </c>
      <c r="C2">
        <v>0.35</v>
      </c>
      <c r="D2">
        <v>0.48</v>
      </c>
      <c r="E2">
        <f>B2*C2*D2*20</f>
        <v>1.1759999999999997</v>
      </c>
      <c r="F2">
        <f>10.41*(1-(1-F20/100)*(1-F21)*(1-F22))</f>
        <v>6.3609003749999999</v>
      </c>
      <c r="G2" s="21">
        <f>(0.6*F2+0.4*E2-1.5)*1.176</f>
        <v>3.2774417045999993</v>
      </c>
      <c r="H2" t="s">
        <v>14</v>
      </c>
      <c r="I2" s="2">
        <v>3</v>
      </c>
    </row>
    <row r="3" spans="1:9" x14ac:dyDescent="0.25">
      <c r="A3" t="s">
        <v>11</v>
      </c>
      <c r="B3">
        <v>0.35</v>
      </c>
      <c r="C3">
        <v>0.35</v>
      </c>
      <c r="D3">
        <v>0.48</v>
      </c>
      <c r="E3">
        <f t="shared" ref="E3:E14" si="0">B3*C3*D3*20</f>
        <v>1.1759999999999997</v>
      </c>
      <c r="F3">
        <f>10.41*(1-(1-F20/100)*(1-F21)*(1-F22))</f>
        <v>6.3609003749999999</v>
      </c>
      <c r="G3" s="21">
        <f t="shared" ref="G3:G14" si="1">(0.6*F3+0.4*E3-1.5)*1.176</f>
        <v>3.2774417045999993</v>
      </c>
      <c r="H3" t="s">
        <v>23</v>
      </c>
      <c r="I3" s="2" t="s">
        <v>16</v>
      </c>
    </row>
    <row r="4" spans="1:9" x14ac:dyDescent="0.25">
      <c r="A4" s="4" t="s">
        <v>12</v>
      </c>
      <c r="B4">
        <v>0.48</v>
      </c>
      <c r="C4">
        <v>0.48</v>
      </c>
      <c r="D4">
        <v>0.48</v>
      </c>
      <c r="E4">
        <f t="shared" si="0"/>
        <v>2.21184</v>
      </c>
      <c r="F4">
        <f>10.41*(1-(1-F20/100)*(1-F21)*(1-F22))</f>
        <v>6.3609003749999999</v>
      </c>
      <c r="G4" s="21">
        <f t="shared" si="1"/>
        <v>3.7647008405999998</v>
      </c>
      <c r="H4" t="s">
        <v>14</v>
      </c>
      <c r="I4" s="2">
        <v>3</v>
      </c>
    </row>
    <row r="5" spans="1:9" x14ac:dyDescent="0.25">
      <c r="A5" t="s">
        <v>25</v>
      </c>
      <c r="B5">
        <v>0.48</v>
      </c>
      <c r="C5">
        <v>0.61</v>
      </c>
      <c r="D5">
        <v>0.66</v>
      </c>
      <c r="E5">
        <f t="shared" si="0"/>
        <v>3.86496</v>
      </c>
      <c r="F5">
        <f>10.41*(1-(1-F20/100)*(1-F21)*(1-F22))</f>
        <v>6.3609003749999999</v>
      </c>
      <c r="G5" s="21">
        <f t="shared" si="1"/>
        <v>4.542328488599999</v>
      </c>
      <c r="H5" t="s">
        <v>23</v>
      </c>
      <c r="I5" s="2" t="s">
        <v>16</v>
      </c>
    </row>
    <row r="6" spans="1:9" x14ac:dyDescent="0.25">
      <c r="A6" t="s">
        <v>17</v>
      </c>
      <c r="B6">
        <v>0.48</v>
      </c>
      <c r="C6">
        <v>0.61</v>
      </c>
      <c r="D6">
        <v>0.66</v>
      </c>
      <c r="E6">
        <f t="shared" si="0"/>
        <v>3.86496</v>
      </c>
      <c r="F6">
        <f>10.41*(1-(1-F20/100)*(1-F21)*(1-F22))</f>
        <v>6.3609003749999999</v>
      </c>
      <c r="G6" s="21">
        <f t="shared" si="1"/>
        <v>4.542328488599999</v>
      </c>
      <c r="H6" t="s">
        <v>23</v>
      </c>
      <c r="I6" s="2" t="s">
        <v>16</v>
      </c>
    </row>
    <row r="7" spans="1:9" x14ac:dyDescent="0.25">
      <c r="A7" t="s">
        <v>18</v>
      </c>
      <c r="B7">
        <v>0.48</v>
      </c>
      <c r="C7">
        <v>0.61</v>
      </c>
      <c r="D7">
        <v>0.66</v>
      </c>
      <c r="E7">
        <f t="shared" si="0"/>
        <v>3.86496</v>
      </c>
      <c r="F7">
        <f>10.41*(1-(1-F20/100)*(1-F21)*(1-F22))</f>
        <v>6.3609003749999999</v>
      </c>
      <c r="G7" s="21">
        <f t="shared" si="1"/>
        <v>4.542328488599999</v>
      </c>
      <c r="H7" t="s">
        <v>14</v>
      </c>
      <c r="I7" s="2">
        <v>3</v>
      </c>
    </row>
    <row r="8" spans="1:9" x14ac:dyDescent="0.25">
      <c r="A8" s="4" t="s">
        <v>19</v>
      </c>
      <c r="B8">
        <v>0.61</v>
      </c>
      <c r="C8">
        <v>0.35</v>
      </c>
      <c r="D8">
        <v>0.61</v>
      </c>
      <c r="E8">
        <f t="shared" si="0"/>
        <v>2.6046999999999998</v>
      </c>
      <c r="F8">
        <f>10.41*(1-(1-F20/100)*(1-F21)*(1-F22))</f>
        <v>6.3609003749999999</v>
      </c>
      <c r="G8" s="21">
        <f t="shared" si="1"/>
        <v>3.9495021845999996</v>
      </c>
      <c r="H8" t="s">
        <v>23</v>
      </c>
      <c r="I8" s="2" t="s">
        <v>16</v>
      </c>
    </row>
    <row r="9" spans="1:9" x14ac:dyDescent="0.25">
      <c r="A9" t="s">
        <v>20</v>
      </c>
      <c r="B9">
        <v>0.48</v>
      </c>
      <c r="C9">
        <v>0.48</v>
      </c>
      <c r="D9">
        <v>0.48</v>
      </c>
      <c r="E9">
        <f t="shared" si="0"/>
        <v>2.21184</v>
      </c>
      <c r="F9">
        <f>10.41*(1-(1-F20/100)*(1-F21)*(1-F22))</f>
        <v>6.3609003749999999</v>
      </c>
      <c r="G9" s="21">
        <f t="shared" si="1"/>
        <v>3.7647008405999998</v>
      </c>
      <c r="H9" t="s">
        <v>14</v>
      </c>
      <c r="I9" s="2">
        <v>3</v>
      </c>
    </row>
    <row r="10" spans="1:9" x14ac:dyDescent="0.25">
      <c r="A10" t="s">
        <v>21</v>
      </c>
      <c r="B10">
        <v>0.61</v>
      </c>
      <c r="C10">
        <v>0.61</v>
      </c>
      <c r="D10">
        <v>0.61</v>
      </c>
      <c r="E10">
        <f t="shared" si="0"/>
        <v>4.5396199999999993</v>
      </c>
      <c r="F10">
        <f>10.41*(1-(1-F20/100)*(1-F21)*(1-F22))</f>
        <v>6.3609003749999999</v>
      </c>
      <c r="G10" s="21">
        <f t="shared" si="1"/>
        <v>4.8596885525999998</v>
      </c>
      <c r="H10" t="s">
        <v>14</v>
      </c>
      <c r="I10" s="2">
        <v>3</v>
      </c>
    </row>
    <row r="11" spans="1:9" x14ac:dyDescent="0.25">
      <c r="A11" t="s">
        <v>22</v>
      </c>
      <c r="B11">
        <v>0.66</v>
      </c>
      <c r="C11">
        <v>0.66</v>
      </c>
      <c r="D11">
        <v>0.48</v>
      </c>
      <c r="E11">
        <f t="shared" si="0"/>
        <v>4.1817600000000006</v>
      </c>
      <c r="F11">
        <f>10.41*(1-(1-F20/100)*(1-F21)*(1-F22))</f>
        <v>6.3609003749999999</v>
      </c>
      <c r="G11" s="21">
        <f t="shared" si="1"/>
        <v>4.6913512085999995</v>
      </c>
      <c r="H11" t="s">
        <v>23</v>
      </c>
      <c r="I11" s="2" t="s">
        <v>16</v>
      </c>
    </row>
    <row r="12" spans="1:9" x14ac:dyDescent="0.25">
      <c r="A12" s="4" t="s">
        <v>24</v>
      </c>
      <c r="B12">
        <v>0.35</v>
      </c>
      <c r="C12">
        <v>0.66</v>
      </c>
      <c r="D12">
        <v>0.48</v>
      </c>
      <c r="E12">
        <f t="shared" si="0"/>
        <v>2.2176</v>
      </c>
      <c r="F12">
        <f>10.41*(1-(1-F20/100)*(1-F21)*(1-F22))</f>
        <v>6.3609003749999999</v>
      </c>
      <c r="G12" s="21">
        <f t="shared" si="1"/>
        <v>3.7674103445999991</v>
      </c>
      <c r="H12" t="s">
        <v>23</v>
      </c>
      <c r="I12" s="2" t="s">
        <v>16</v>
      </c>
    </row>
    <row r="13" spans="1:9" x14ac:dyDescent="0.25">
      <c r="A13" t="s">
        <v>26</v>
      </c>
      <c r="B13">
        <v>0.48</v>
      </c>
      <c r="C13">
        <v>0.48</v>
      </c>
      <c r="D13">
        <v>0.48</v>
      </c>
      <c r="E13">
        <f t="shared" si="0"/>
        <v>2.21184</v>
      </c>
      <c r="F13">
        <f>10.41*(1-(1-F20/100)*(1-F21)*(1-F22))</f>
        <v>6.3609003749999999</v>
      </c>
      <c r="G13" s="21">
        <f t="shared" si="1"/>
        <v>3.7647008405999998</v>
      </c>
      <c r="H13" t="s">
        <v>14</v>
      </c>
      <c r="I13" s="2">
        <v>3</v>
      </c>
    </row>
    <row r="14" spans="1:9" x14ac:dyDescent="0.25">
      <c r="A14" t="s">
        <v>34</v>
      </c>
      <c r="B14">
        <v>0.48</v>
      </c>
      <c r="C14">
        <v>0.48</v>
      </c>
      <c r="D14">
        <v>0.48</v>
      </c>
      <c r="E14">
        <f t="shared" si="0"/>
        <v>2.21184</v>
      </c>
      <c r="F14">
        <f>10.41*(1-(1-F20/100)*(1-F21)*(1-F22))</f>
        <v>6.3609003749999999</v>
      </c>
      <c r="G14" s="21">
        <f t="shared" si="1"/>
        <v>3.7647008405999998</v>
      </c>
      <c r="H14" t="s">
        <v>14</v>
      </c>
      <c r="I14" s="2">
        <v>3</v>
      </c>
    </row>
    <row r="15" spans="1:9" x14ac:dyDescent="0.25">
      <c r="A15" t="s">
        <v>27</v>
      </c>
      <c r="E15">
        <v>0.48</v>
      </c>
      <c r="F15">
        <f>10.41*(1-(1-F20/100)*(1-F21)*(1-F22))</f>
        <v>6.3609003749999999</v>
      </c>
      <c r="G15" s="21">
        <f t="shared" ref="G15" si="2">(0.6*F15+0.4*E15-1.5)*1.176</f>
        <v>2.9500433045999999</v>
      </c>
      <c r="H15" t="s">
        <v>14</v>
      </c>
      <c r="I15" s="2">
        <v>3</v>
      </c>
    </row>
    <row r="16" spans="1:9" x14ac:dyDescent="0.25">
      <c r="A16" t="s">
        <v>28</v>
      </c>
      <c r="H16" t="s">
        <v>23</v>
      </c>
      <c r="I16" s="2" t="s">
        <v>16</v>
      </c>
    </row>
    <row r="17" spans="1:9" x14ac:dyDescent="0.25">
      <c r="I17" s="2"/>
    </row>
    <row r="18" spans="1:9" x14ac:dyDescent="0.25">
      <c r="I18" s="2"/>
    </row>
    <row r="19" spans="1:9" x14ac:dyDescent="0.25">
      <c r="B19" t="s">
        <v>60</v>
      </c>
      <c r="C19" t="s">
        <v>61</v>
      </c>
      <c r="D19" t="s">
        <v>62</v>
      </c>
      <c r="F19" t="s">
        <v>63</v>
      </c>
      <c r="I19" s="2"/>
    </row>
    <row r="20" spans="1:9" x14ac:dyDescent="0.25">
      <c r="A20" t="s">
        <v>57</v>
      </c>
      <c r="B20">
        <v>0</v>
      </c>
      <c r="C20">
        <v>0.27500000000000002</v>
      </c>
      <c r="D20">
        <v>0.66</v>
      </c>
      <c r="F20">
        <v>26</v>
      </c>
      <c r="I20" s="2"/>
    </row>
    <row r="21" spans="1:9" x14ac:dyDescent="0.25">
      <c r="A21" t="s">
        <v>58</v>
      </c>
      <c r="B21">
        <v>0</v>
      </c>
      <c r="C21">
        <v>0.27500000000000002</v>
      </c>
      <c r="D21">
        <v>0.66</v>
      </c>
      <c r="F21">
        <v>0.27500000000000002</v>
      </c>
      <c r="I21" s="2"/>
    </row>
    <row r="22" spans="1:9" x14ac:dyDescent="0.25">
      <c r="A22" t="s">
        <v>59</v>
      </c>
      <c r="B22">
        <v>0</v>
      </c>
      <c r="C22">
        <v>0.27500000000000002</v>
      </c>
      <c r="D22">
        <v>0.66</v>
      </c>
      <c r="F22">
        <v>0.27500000000000002</v>
      </c>
      <c r="I22" s="2"/>
    </row>
    <row r="23" spans="1:9" x14ac:dyDescent="0.25">
      <c r="I23" s="2"/>
    </row>
    <row r="24" spans="1:9" x14ac:dyDescent="0.25">
      <c r="I24" s="2"/>
    </row>
    <row r="25" spans="1:9" x14ac:dyDescent="0.25">
      <c r="I25" s="2"/>
    </row>
    <row r="26" spans="1:9" x14ac:dyDescent="0.25">
      <c r="I26" s="2"/>
    </row>
    <row r="27" spans="1:9" x14ac:dyDescent="0.25">
      <c r="I27" s="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autoPict="0">
                <anchor moveWithCells="1">
                  <from>
                    <xdr:col>6</xdr:col>
                    <xdr:colOff>95250</xdr:colOff>
                    <xdr:row>18</xdr:row>
                    <xdr:rowOff>171450</xdr:rowOff>
                  </from>
                  <to>
                    <xdr:col>7</xdr:col>
                    <xdr:colOff>190500</xdr:colOff>
                    <xdr:row>19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H17" sqref="H17"/>
    </sheetView>
  </sheetViews>
  <sheetFormatPr defaultRowHeight="15" x14ac:dyDescent="0.25"/>
  <cols>
    <col min="1" max="1" width="27.85546875" bestFit="1" customWidth="1"/>
    <col min="2" max="2" width="10.7109375" bestFit="1" customWidth="1"/>
    <col min="3" max="3" width="12.42578125" bestFit="1" customWidth="1"/>
    <col min="4" max="4" width="9.42578125" bestFit="1" customWidth="1"/>
    <col min="5" max="5" width="11.7109375" bestFit="1" customWidth="1"/>
    <col min="6" max="6" width="15.7109375" bestFit="1" customWidth="1"/>
    <col min="7" max="8" width="15.7109375" customWidth="1"/>
    <col min="9" max="9" width="19.7109375" bestFit="1" customWidth="1"/>
  </cols>
  <sheetData>
    <row r="1" spans="1:10" x14ac:dyDescent="0.25">
      <c r="A1" s="1" t="s">
        <v>9</v>
      </c>
      <c r="B1" s="1" t="s">
        <v>6</v>
      </c>
      <c r="C1" s="1" t="s">
        <v>7</v>
      </c>
      <c r="D1" s="1" t="s">
        <v>8</v>
      </c>
      <c r="E1" s="1" t="s">
        <v>98</v>
      </c>
      <c r="F1" s="1" t="s">
        <v>56</v>
      </c>
      <c r="G1" s="1" t="s">
        <v>97</v>
      </c>
      <c r="H1" s="1" t="s">
        <v>66</v>
      </c>
      <c r="I1" s="1" t="s">
        <v>13</v>
      </c>
      <c r="J1" s="1" t="s">
        <v>15</v>
      </c>
    </row>
    <row r="2" spans="1:10" x14ac:dyDescent="0.25">
      <c r="A2" t="s">
        <v>10</v>
      </c>
      <c r="E2">
        <v>0.35</v>
      </c>
      <c r="F2">
        <f>10.41*(1-(1-F20/100)*(1-F21)*(1-F22))</f>
        <v>6.3609003749999999</v>
      </c>
      <c r="G2" s="21">
        <f>(0.6*F2+0.4*E2-1.5)*1.176</f>
        <v>2.8888913045999995</v>
      </c>
      <c r="H2" s="21">
        <f>G2+(10-G2)*G27</f>
        <v>3.4222244567549995</v>
      </c>
      <c r="I2" t="s">
        <v>14</v>
      </c>
      <c r="J2" s="2">
        <v>3</v>
      </c>
    </row>
    <row r="3" spans="1:10" x14ac:dyDescent="0.25">
      <c r="A3" t="s">
        <v>11</v>
      </c>
      <c r="B3">
        <v>0.48</v>
      </c>
      <c r="C3">
        <v>0.48</v>
      </c>
      <c r="D3">
        <v>0.61</v>
      </c>
      <c r="E3">
        <f t="shared" ref="E3" si="0">B3*C3*D3*20</f>
        <v>2.81088</v>
      </c>
      <c r="F3">
        <f>10.41*(1-(1-F20/100)*(1-F21)*(1-F22))</f>
        <v>6.3609003749999999</v>
      </c>
      <c r="G3" s="21">
        <f t="shared" ref="G3:G14" si="1">(0.6*F3+0.4*E3-1.5)*1.176</f>
        <v>4.0464892565999993</v>
      </c>
      <c r="H3" s="21">
        <f>G3+(10-G3)*G27</f>
        <v>4.4930025623549996</v>
      </c>
      <c r="I3" t="s">
        <v>23</v>
      </c>
      <c r="J3" s="2" t="s">
        <v>16</v>
      </c>
    </row>
    <row r="4" spans="1:10" x14ac:dyDescent="0.25">
      <c r="A4" s="4" t="s">
        <v>12</v>
      </c>
      <c r="B4">
        <v>0.48</v>
      </c>
      <c r="C4">
        <v>0.48</v>
      </c>
      <c r="D4">
        <v>0.61</v>
      </c>
      <c r="E4">
        <f t="shared" ref="E4" si="2">B4*C4*D4*20</f>
        <v>2.81088</v>
      </c>
      <c r="F4">
        <f>10.41*(1-(1-F20/100)*(1-F21)*(1-F22))</f>
        <v>6.3609003749999999</v>
      </c>
      <c r="G4" s="21">
        <f t="shared" si="1"/>
        <v>4.0464892565999993</v>
      </c>
      <c r="H4" s="21">
        <f>G4+(10-G4)*G27</f>
        <v>4.4930025623549996</v>
      </c>
      <c r="I4" t="s">
        <v>14</v>
      </c>
      <c r="J4" s="2">
        <v>3</v>
      </c>
    </row>
    <row r="5" spans="1:10" x14ac:dyDescent="0.25">
      <c r="A5" t="s">
        <v>25</v>
      </c>
      <c r="E5">
        <v>0.61</v>
      </c>
      <c r="F5">
        <f>10.41*(1-(1-F20/100)*(1-F21)*(1-F22))</f>
        <v>6.3609003749999999</v>
      </c>
      <c r="G5" s="21">
        <f t="shared" si="1"/>
        <v>3.0111953045999993</v>
      </c>
      <c r="H5" s="21">
        <f>G5+(10-G5)*G27</f>
        <v>3.5353556567549993</v>
      </c>
      <c r="I5" t="s">
        <v>23</v>
      </c>
      <c r="J5" s="2" t="s">
        <v>16</v>
      </c>
    </row>
    <row r="6" spans="1:10" x14ac:dyDescent="0.25">
      <c r="A6" t="s">
        <v>17</v>
      </c>
      <c r="E6">
        <v>0.61</v>
      </c>
      <c r="F6">
        <f>10.41*(1-(1-F20/100)*(1-F21)*(1-F22))</f>
        <v>6.3609003749999999</v>
      </c>
      <c r="G6" s="21">
        <f t="shared" si="1"/>
        <v>3.0111953045999993</v>
      </c>
      <c r="H6" s="21">
        <f>G6+(10-G6)*G27</f>
        <v>3.5353556567549993</v>
      </c>
      <c r="I6" t="s">
        <v>23</v>
      </c>
      <c r="J6" s="2" t="s">
        <v>16</v>
      </c>
    </row>
    <row r="7" spans="1:10" x14ac:dyDescent="0.25">
      <c r="A7" t="s">
        <v>18</v>
      </c>
      <c r="E7">
        <v>0.66</v>
      </c>
      <c r="F7">
        <f>10.41*(1-(1-F20/100)*(1-F21)*(1-F22))</f>
        <v>6.3609003749999999</v>
      </c>
      <c r="G7" s="21">
        <f t="shared" si="1"/>
        <v>3.0347153045999997</v>
      </c>
      <c r="H7" s="21">
        <f>G7+(10-G7)*G27</f>
        <v>3.5571116567549996</v>
      </c>
      <c r="I7" t="s">
        <v>14</v>
      </c>
      <c r="J7" s="2">
        <v>3</v>
      </c>
    </row>
    <row r="8" spans="1:10" x14ac:dyDescent="0.25">
      <c r="A8" s="4" t="s">
        <v>19</v>
      </c>
      <c r="B8">
        <v>0.48</v>
      </c>
      <c r="C8">
        <v>0.61</v>
      </c>
      <c r="D8">
        <v>0.66</v>
      </c>
      <c r="E8">
        <f t="shared" ref="E8" si="3">B8*C8*D8*20</f>
        <v>3.86496</v>
      </c>
      <c r="F8">
        <f>10.41*(1-(1-F20/100)*(1-F21)*(1-F22))</f>
        <v>6.3609003749999999</v>
      </c>
      <c r="G8" s="21">
        <f t="shared" si="1"/>
        <v>4.542328488599999</v>
      </c>
      <c r="H8" s="21">
        <f>G8+(10-G8)*G27</f>
        <v>4.9516538519549993</v>
      </c>
      <c r="I8" t="s">
        <v>23</v>
      </c>
      <c r="J8" s="2" t="s">
        <v>16</v>
      </c>
    </row>
    <row r="9" spans="1:10" x14ac:dyDescent="0.25">
      <c r="A9" t="s">
        <v>20</v>
      </c>
      <c r="E9">
        <v>0.66</v>
      </c>
      <c r="F9">
        <f>10.41*(1-(1-F20/100)*(1-F21)*(1-F22))</f>
        <v>6.3609003749999999</v>
      </c>
      <c r="G9" s="21">
        <f t="shared" si="1"/>
        <v>3.0347153045999997</v>
      </c>
      <c r="H9" s="21">
        <f>G9+(10-G9)*G27</f>
        <v>3.5571116567549996</v>
      </c>
      <c r="I9" t="s">
        <v>14</v>
      </c>
      <c r="J9" s="2">
        <v>3</v>
      </c>
    </row>
    <row r="10" spans="1:10" x14ac:dyDescent="0.25">
      <c r="A10" t="s">
        <v>21</v>
      </c>
      <c r="E10">
        <v>0.71</v>
      </c>
      <c r="F10">
        <f>10.41*(1-(1-F20/100)*(1-F21)*(1-F22))</f>
        <v>6.3609003749999999</v>
      </c>
      <c r="G10" s="21">
        <f t="shared" si="1"/>
        <v>3.0582353045999993</v>
      </c>
      <c r="H10" s="21">
        <f>G10+(10-G10)*G27</f>
        <v>3.5788676567549995</v>
      </c>
      <c r="I10" t="s">
        <v>14</v>
      </c>
      <c r="J10" s="2">
        <v>3</v>
      </c>
    </row>
    <row r="11" spans="1:10" x14ac:dyDescent="0.25">
      <c r="A11" t="s">
        <v>22</v>
      </c>
      <c r="E11">
        <v>0.71</v>
      </c>
      <c r="F11">
        <f>10.41*(1-(1-F20/100)*(1-F21)*(1-F22))</f>
        <v>6.3609003749999999</v>
      </c>
      <c r="G11" s="21">
        <f t="shared" si="1"/>
        <v>3.0582353045999993</v>
      </c>
      <c r="H11" s="21">
        <f>G11+(10-G11)*G27</f>
        <v>3.5788676567549995</v>
      </c>
      <c r="I11" t="s">
        <v>23</v>
      </c>
      <c r="J11" s="2" t="s">
        <v>16</v>
      </c>
    </row>
    <row r="12" spans="1:10" x14ac:dyDescent="0.25">
      <c r="A12" s="4" t="s">
        <v>24</v>
      </c>
      <c r="B12">
        <v>0.66</v>
      </c>
      <c r="C12">
        <v>0.61</v>
      </c>
      <c r="D12">
        <v>0.61</v>
      </c>
      <c r="E12">
        <f t="shared" ref="E12" si="4">B12*C12*D12*20</f>
        <v>4.9117199999999999</v>
      </c>
      <c r="F12">
        <f>10.41*(1-(1-F20/100)*(1-F21)*(1-F22))</f>
        <v>6.3609003749999999</v>
      </c>
      <c r="G12" s="21">
        <f t="shared" si="1"/>
        <v>5.0347243925999994</v>
      </c>
      <c r="H12" s="21">
        <f>G12+(10-G12)*G27</f>
        <v>5.4071200631549994</v>
      </c>
      <c r="I12" t="s">
        <v>23</v>
      </c>
      <c r="J12" s="2" t="s">
        <v>16</v>
      </c>
    </row>
    <row r="13" spans="1:10" x14ac:dyDescent="0.25">
      <c r="A13" t="s">
        <v>26</v>
      </c>
      <c r="E13">
        <v>0.48</v>
      </c>
      <c r="F13">
        <f>10.41*(1-(1-F20/100)*(1-F21)*(1-F22))</f>
        <v>6.3609003749999999</v>
      </c>
      <c r="G13" s="21">
        <f t="shared" si="1"/>
        <v>2.9500433045999999</v>
      </c>
      <c r="H13" s="21">
        <f>G13+(10-G13)*G27</f>
        <v>3.4787900567549999</v>
      </c>
      <c r="I13" t="s">
        <v>14</v>
      </c>
      <c r="J13" s="2">
        <v>3</v>
      </c>
    </row>
    <row r="14" spans="1:10" x14ac:dyDescent="0.25">
      <c r="A14" t="s">
        <v>34</v>
      </c>
      <c r="E14">
        <v>0.48</v>
      </c>
      <c r="F14">
        <f>10.41*(1-(1-F20/100)*(1-F21)*(1-F22))</f>
        <v>6.3609003749999999</v>
      </c>
      <c r="G14" s="21">
        <f t="shared" si="1"/>
        <v>2.9500433045999999</v>
      </c>
      <c r="H14" s="21">
        <f>G14+(10-G14)*G27</f>
        <v>3.4787900567549999</v>
      </c>
      <c r="I14" t="s">
        <v>14</v>
      </c>
      <c r="J14" s="2">
        <v>3</v>
      </c>
    </row>
    <row r="15" spans="1:10" x14ac:dyDescent="0.25">
      <c r="A15" t="s">
        <v>27</v>
      </c>
      <c r="G15" s="21"/>
      <c r="H15" s="21">
        <f>G15+(10-G15)*G27</f>
        <v>0.75</v>
      </c>
      <c r="I15" t="s">
        <v>14</v>
      </c>
      <c r="J15" s="2">
        <v>3</v>
      </c>
    </row>
    <row r="16" spans="1:10" x14ac:dyDescent="0.25">
      <c r="A16" t="s">
        <v>28</v>
      </c>
      <c r="G16" s="21"/>
      <c r="H16" s="21">
        <f>G16+(10-G16)*G27</f>
        <v>0.75</v>
      </c>
      <c r="I16" t="s">
        <v>23</v>
      </c>
      <c r="J16" s="2" t="s">
        <v>16</v>
      </c>
    </row>
    <row r="17" spans="1:10" x14ac:dyDescent="0.25">
      <c r="J17" s="2"/>
    </row>
    <row r="18" spans="1:10" x14ac:dyDescent="0.25">
      <c r="J18" s="2"/>
    </row>
    <row r="19" spans="1:10" x14ac:dyDescent="0.25">
      <c r="B19" t="s">
        <v>60</v>
      </c>
      <c r="C19" t="s">
        <v>61</v>
      </c>
      <c r="D19" t="s">
        <v>62</v>
      </c>
      <c r="F19" t="s">
        <v>63</v>
      </c>
      <c r="J19" s="2"/>
    </row>
    <row r="20" spans="1:10" x14ac:dyDescent="0.25">
      <c r="A20" t="s">
        <v>57</v>
      </c>
      <c r="B20">
        <v>0</v>
      </c>
      <c r="C20">
        <v>0.27500000000000002</v>
      </c>
      <c r="D20">
        <v>0.66</v>
      </c>
      <c r="F20">
        <v>26</v>
      </c>
      <c r="J20" s="2"/>
    </row>
    <row r="21" spans="1:10" x14ac:dyDescent="0.25">
      <c r="A21" t="s">
        <v>58</v>
      </c>
      <c r="B21">
        <v>0</v>
      </c>
      <c r="C21">
        <v>0.27500000000000002</v>
      </c>
      <c r="D21">
        <v>0.66</v>
      </c>
      <c r="F21">
        <v>0.27500000000000002</v>
      </c>
      <c r="J21" s="2"/>
    </row>
    <row r="22" spans="1:10" x14ac:dyDescent="0.25">
      <c r="A22" t="s">
        <v>59</v>
      </c>
      <c r="B22">
        <v>0</v>
      </c>
      <c r="C22">
        <v>0.27500000000000002</v>
      </c>
      <c r="D22">
        <v>0.66</v>
      </c>
      <c r="F22">
        <v>0.27500000000000002</v>
      </c>
      <c r="J22" s="2"/>
    </row>
    <row r="23" spans="1:10" x14ac:dyDescent="0.25">
      <c r="J23" s="2"/>
    </row>
    <row r="24" spans="1:10" x14ac:dyDescent="0.25">
      <c r="J24" s="2"/>
    </row>
    <row r="25" spans="1:10" x14ac:dyDescent="0.25">
      <c r="J25" s="2"/>
    </row>
    <row r="26" spans="1:10" x14ac:dyDescent="0.25">
      <c r="J26" s="2"/>
    </row>
    <row r="27" spans="1:10" x14ac:dyDescent="0.25">
      <c r="A27" t="s">
        <v>99</v>
      </c>
      <c r="E27" s="4">
        <v>0.3</v>
      </c>
      <c r="G27">
        <f>E27*E35</f>
        <v>7.4999999999999997E-2</v>
      </c>
      <c r="J27" s="2"/>
    </row>
    <row r="28" spans="1:10" x14ac:dyDescent="0.25">
      <c r="B28" t="s">
        <v>60</v>
      </c>
      <c r="C28">
        <v>0</v>
      </c>
    </row>
    <row r="29" spans="1:10" x14ac:dyDescent="0.25">
      <c r="B29" t="s">
        <v>100</v>
      </c>
      <c r="C29">
        <v>0.1</v>
      </c>
    </row>
    <row r="30" spans="1:10" x14ac:dyDescent="0.25">
      <c r="B30" t="s">
        <v>101</v>
      </c>
      <c r="C30">
        <v>0.3</v>
      </c>
    </row>
    <row r="31" spans="1:10" x14ac:dyDescent="0.25">
      <c r="B31" t="s">
        <v>102</v>
      </c>
      <c r="C31">
        <v>0.4</v>
      </c>
    </row>
    <row r="32" spans="1:10" x14ac:dyDescent="0.25">
      <c r="B32" t="s">
        <v>103</v>
      </c>
      <c r="C32">
        <v>0.5</v>
      </c>
    </row>
    <row r="33" spans="1:5" x14ac:dyDescent="0.25">
      <c r="B33" t="s">
        <v>104</v>
      </c>
      <c r="C33">
        <v>0</v>
      </c>
    </row>
    <row r="35" spans="1:5" x14ac:dyDescent="0.25">
      <c r="A35" t="s">
        <v>105</v>
      </c>
      <c r="E35" s="4">
        <v>0.25</v>
      </c>
    </row>
    <row r="36" spans="1:5" x14ac:dyDescent="0.25">
      <c r="B36" t="s">
        <v>60</v>
      </c>
      <c r="C36">
        <v>0</v>
      </c>
    </row>
    <row r="37" spans="1:5" x14ac:dyDescent="0.25">
      <c r="B37" t="s">
        <v>100</v>
      </c>
      <c r="C37">
        <v>0.25</v>
      </c>
    </row>
    <row r="38" spans="1:5" x14ac:dyDescent="0.25">
      <c r="B38" t="s">
        <v>102</v>
      </c>
      <c r="C38">
        <v>0.75</v>
      </c>
    </row>
    <row r="39" spans="1:5" x14ac:dyDescent="0.25">
      <c r="B39" t="s">
        <v>103</v>
      </c>
      <c r="C39">
        <v>1</v>
      </c>
    </row>
    <row r="40" spans="1:5" x14ac:dyDescent="0.25">
      <c r="B40" t="s">
        <v>104</v>
      </c>
      <c r="C40">
        <v>1</v>
      </c>
    </row>
  </sheetData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croll Bar 1">
              <controlPr defaultSize="0" autoPict="0">
                <anchor moveWithCells="1">
                  <from>
                    <xdr:col>5</xdr:col>
                    <xdr:colOff>57150</xdr:colOff>
                    <xdr:row>23</xdr:row>
                    <xdr:rowOff>9525</xdr:rowOff>
                  </from>
                  <to>
                    <xdr:col>6</xdr:col>
                    <xdr:colOff>152400</xdr:colOff>
                    <xdr:row>24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40" sqref="F40"/>
    </sheetView>
  </sheetViews>
  <sheetFormatPr defaultRowHeight="15" x14ac:dyDescent="0.25"/>
  <cols>
    <col min="1" max="1" width="18.7109375" bestFit="1" customWidth="1"/>
  </cols>
  <sheetData>
    <row r="1" spans="1:2" x14ac:dyDescent="0.25">
      <c r="A1" s="5"/>
    </row>
    <row r="2" spans="1:2" x14ac:dyDescent="0.25">
      <c r="A2" s="1"/>
      <c r="B2" s="1"/>
    </row>
    <row r="3" spans="1:2" x14ac:dyDescent="0.25">
      <c r="A3" t="s">
        <v>42</v>
      </c>
      <c r="B3">
        <v>2</v>
      </c>
    </row>
    <row r="4" spans="1:2" x14ac:dyDescent="0.25">
      <c r="A4" t="s">
        <v>43</v>
      </c>
      <c r="B4">
        <v>1</v>
      </c>
    </row>
    <row r="5" spans="1:2" x14ac:dyDescent="0.25">
      <c r="A5" t="s">
        <v>44</v>
      </c>
      <c r="B5">
        <v>3</v>
      </c>
    </row>
    <row r="6" spans="1:2" x14ac:dyDescent="0.25">
      <c r="A6" t="s">
        <v>47</v>
      </c>
      <c r="B6">
        <v>2</v>
      </c>
    </row>
    <row r="7" spans="1:2" x14ac:dyDescent="0.25">
      <c r="A7" t="s">
        <v>48</v>
      </c>
      <c r="B7">
        <v>2</v>
      </c>
    </row>
    <row r="8" spans="1:2" x14ac:dyDescent="0.25">
      <c r="A8" t="s">
        <v>50</v>
      </c>
      <c r="B8">
        <v>3</v>
      </c>
    </row>
    <row r="9" spans="1:2" x14ac:dyDescent="0.25">
      <c r="A9" t="s">
        <v>51</v>
      </c>
      <c r="B9">
        <v>3</v>
      </c>
    </row>
    <row r="10" spans="1:2" x14ac:dyDescent="0.25">
      <c r="A10" t="s">
        <v>52</v>
      </c>
      <c r="B10">
        <v>3</v>
      </c>
    </row>
    <row r="11" spans="1:2" x14ac:dyDescent="0.25">
      <c r="A11" t="s">
        <v>45</v>
      </c>
      <c r="B11" t="s">
        <v>53</v>
      </c>
    </row>
    <row r="12" spans="1:2" x14ac:dyDescent="0.25">
      <c r="A12" t="s">
        <v>46</v>
      </c>
      <c r="B1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5mb Flow Duration</vt:lpstr>
      <vt:lpstr>5mb Transfer Rate</vt:lpstr>
      <vt:lpstr>5mb delay Transfer Rate </vt:lpstr>
      <vt:lpstr>Confidence 3-Swtich</vt:lpstr>
      <vt:lpstr>Sheet1</vt:lpstr>
      <vt:lpstr>Confidence 4-Swtich</vt:lpstr>
      <vt:lpstr>BaseScore</vt:lpstr>
      <vt:lpstr>EnvirScore</vt:lpstr>
      <vt:lpstr>Switches</vt:lpstr>
      <vt:lpstr>Type</vt:lpstr>
      <vt:lpstr>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A</dc:creator>
  <cp:lastModifiedBy>Josh</cp:lastModifiedBy>
  <dcterms:created xsi:type="dcterms:W3CDTF">2015-05-28T02:01:26Z</dcterms:created>
  <dcterms:modified xsi:type="dcterms:W3CDTF">2016-03-03T06:18:07Z</dcterms:modified>
</cp:coreProperties>
</file>

<file path=userCustomization/customUI.xml><?xml version="1.0" encoding="utf-8"?>
<mso:customUI xmlns:mso="http://schemas.microsoft.com/office/2006/01/customui">
  <mso:ribbon>
    <mso:qat>
      <mso:documentControls>
        <mso:control idQ="mso:FormControlScrollBar" visible="true"/>
      </mso:documentControls>
    </mso:qat>
  </mso:ribbon>
</mso:customUI>
</file>