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h\OneDrive\Documents\SOUPS16\"/>
    </mc:Choice>
  </mc:AlternateContent>
  <bookViews>
    <workbookView xWindow="0" yWindow="0" windowWidth="23040" windowHeight="9975" firstSheet="11" activeTab="15"/>
  </bookViews>
  <sheets>
    <sheet name="5mb Flow Duration" sheetId="14" r:id="rId1"/>
    <sheet name="5mb Transfer Rate" sheetId="11" r:id="rId2"/>
    <sheet name="5mb delay Transfer Rate " sheetId="12" r:id="rId3"/>
    <sheet name="3-Total Calc" sheetId="16" r:id="rId4"/>
    <sheet name="Confidence 3-Swtich" sheetId="5" r:id="rId5"/>
    <sheet name="Confidence 4-Swtich" sheetId="10" r:id="rId6"/>
    <sheet name="BaseScore" sheetId="1" r:id="rId7"/>
    <sheet name="EnvirScore" sheetId="9" r:id="rId8"/>
    <sheet name="Switches" sheetId="6" r:id="rId9"/>
    <sheet name="RawData" sheetId="17" r:id="rId10"/>
    <sheet name="5mb Flow Dur Gr" sheetId="18" r:id="rId11"/>
    <sheet name="10mb Flow Dur Gr" sheetId="19" r:id="rId12"/>
    <sheet name="20mb Flow Dur Gr" sheetId="20" r:id="rId13"/>
    <sheet name="50mb Flow Dur Gr" sheetId="21" r:id="rId14"/>
    <sheet name="Sheet7" sheetId="23" r:id="rId15"/>
    <sheet name="Graph Data" sheetId="22" r:id="rId16"/>
  </sheets>
  <definedNames>
    <definedName name="Type">Switches!$A$3:$B$10</definedName>
    <definedName name="Types">Switches!$A$3:$A$10</definedName>
  </definedNames>
  <calcPr calcId="152511"/>
  <pivotCaches>
    <pivotCache cacheId="6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2" l="1"/>
  <c r="C16" i="22"/>
  <c r="C15" i="22"/>
  <c r="C14" i="22"/>
  <c r="B17" i="22"/>
  <c r="B16" i="22"/>
  <c r="B15" i="22"/>
  <c r="B14" i="22"/>
  <c r="C13" i="22"/>
  <c r="C12" i="22"/>
  <c r="C11" i="22"/>
  <c r="C10" i="22"/>
  <c r="B13" i="22"/>
  <c r="B12" i="22"/>
  <c r="B11" i="22"/>
  <c r="B10" i="22"/>
  <c r="C6" i="22"/>
  <c r="C7" i="22"/>
  <c r="C8" i="22"/>
  <c r="C9" i="22"/>
  <c r="B9" i="22"/>
  <c r="B8" i="22"/>
  <c r="B7" i="22"/>
  <c r="B6" i="22"/>
  <c r="C5" i="22"/>
  <c r="C4" i="22"/>
  <c r="C3" i="22"/>
  <c r="B5" i="22"/>
  <c r="B4" i="22"/>
  <c r="B3" i="22"/>
  <c r="C2" i="22"/>
  <c r="B2" i="22"/>
  <c r="C26" i="18"/>
  <c r="C25" i="18"/>
  <c r="C24" i="18"/>
  <c r="C21" i="18"/>
  <c r="C20" i="18"/>
  <c r="C19" i="18"/>
  <c r="C16" i="18"/>
  <c r="G14" i="18" s="1"/>
  <c r="C15" i="18"/>
  <c r="C14" i="18"/>
  <c r="C11" i="18"/>
  <c r="C10" i="18"/>
  <c r="C9" i="18"/>
  <c r="C6" i="18"/>
  <c r="C5" i="18"/>
  <c r="C4" i="18"/>
  <c r="Q26" i="18"/>
  <c r="P26" i="18"/>
  <c r="Q25" i="18"/>
  <c r="P25" i="18"/>
  <c r="I25" i="18"/>
  <c r="Q24" i="18"/>
  <c r="P24" i="18"/>
  <c r="G24" i="18"/>
  <c r="Q21" i="18"/>
  <c r="P21" i="18"/>
  <c r="Q20" i="18"/>
  <c r="P20" i="18"/>
  <c r="Q19" i="18"/>
  <c r="P19" i="18"/>
  <c r="G19" i="18"/>
  <c r="Q16" i="18"/>
  <c r="P16" i="18"/>
  <c r="I15" i="18"/>
  <c r="Q15" i="18"/>
  <c r="P15" i="18"/>
  <c r="Q14" i="18"/>
  <c r="P14" i="18"/>
  <c r="Q11" i="18"/>
  <c r="P11" i="18"/>
  <c r="Q10" i="18"/>
  <c r="P10" i="18"/>
  <c r="I10" i="18"/>
  <c r="G9" i="18"/>
  <c r="Q9" i="18"/>
  <c r="P9" i="18"/>
  <c r="Q6" i="18"/>
  <c r="P6" i="18"/>
  <c r="Q5" i="18"/>
  <c r="P5" i="18"/>
  <c r="Q4" i="18"/>
  <c r="P4" i="18"/>
  <c r="G4" i="18"/>
  <c r="C26" i="19"/>
  <c r="C25" i="19"/>
  <c r="C24" i="19"/>
  <c r="C21" i="19"/>
  <c r="C20" i="19"/>
  <c r="C19" i="19"/>
  <c r="C16" i="19"/>
  <c r="G14" i="19" s="1"/>
  <c r="C15" i="19"/>
  <c r="C14" i="19"/>
  <c r="C11" i="19"/>
  <c r="C10" i="19"/>
  <c r="C9" i="19"/>
  <c r="C6" i="19"/>
  <c r="C5" i="19"/>
  <c r="C4" i="19"/>
  <c r="Q26" i="19"/>
  <c r="P26" i="19"/>
  <c r="Q25" i="19"/>
  <c r="P25" i="19"/>
  <c r="I25" i="19"/>
  <c r="Q24" i="19"/>
  <c r="P24" i="19"/>
  <c r="G24" i="19"/>
  <c r="Q21" i="19"/>
  <c r="P21" i="19"/>
  <c r="Q20" i="19"/>
  <c r="P20" i="19"/>
  <c r="Q19" i="19"/>
  <c r="P19" i="19"/>
  <c r="G19" i="19"/>
  <c r="Q16" i="19"/>
  <c r="P16" i="19"/>
  <c r="I15" i="19"/>
  <c r="Q15" i="19"/>
  <c r="P15" i="19"/>
  <c r="Q14" i="19"/>
  <c r="P14" i="19"/>
  <c r="Q11" i="19"/>
  <c r="P11" i="19"/>
  <c r="Q10" i="19"/>
  <c r="P10" i="19"/>
  <c r="G9" i="19"/>
  <c r="Q9" i="19"/>
  <c r="P9" i="19"/>
  <c r="Q6" i="19"/>
  <c r="P6" i="19"/>
  <c r="Q5" i="19"/>
  <c r="P5" i="19"/>
  <c r="Q4" i="19"/>
  <c r="P4" i="19"/>
  <c r="C26" i="20"/>
  <c r="C25" i="20"/>
  <c r="C24" i="20"/>
  <c r="C21" i="20"/>
  <c r="C20" i="20"/>
  <c r="C19" i="20"/>
  <c r="C16" i="20"/>
  <c r="G14" i="20" s="1"/>
  <c r="C15" i="20"/>
  <c r="C14" i="20"/>
  <c r="C11" i="20"/>
  <c r="C10" i="20"/>
  <c r="C9" i="20"/>
  <c r="C6" i="20"/>
  <c r="C5" i="20"/>
  <c r="C4" i="20"/>
  <c r="Q26" i="20"/>
  <c r="P26" i="20"/>
  <c r="Q25" i="20"/>
  <c r="P25" i="20"/>
  <c r="I25" i="20"/>
  <c r="Q24" i="20"/>
  <c r="P24" i="20"/>
  <c r="G24" i="20"/>
  <c r="Q21" i="20"/>
  <c r="P21" i="20"/>
  <c r="Q20" i="20"/>
  <c r="P20" i="20"/>
  <c r="Q19" i="20"/>
  <c r="P19" i="20"/>
  <c r="G19" i="20"/>
  <c r="Q16" i="20"/>
  <c r="P16" i="20"/>
  <c r="I15" i="20"/>
  <c r="Q15" i="20"/>
  <c r="P15" i="20"/>
  <c r="Q14" i="20"/>
  <c r="P14" i="20"/>
  <c r="Q11" i="20"/>
  <c r="P11" i="20"/>
  <c r="Q10" i="20"/>
  <c r="P10" i="20"/>
  <c r="I10" i="20"/>
  <c r="G9" i="20"/>
  <c r="Q9" i="20"/>
  <c r="P9" i="20"/>
  <c r="Q6" i="20"/>
  <c r="P6" i="20"/>
  <c r="Q5" i="20"/>
  <c r="P5" i="20"/>
  <c r="Q4" i="20"/>
  <c r="P4" i="20"/>
  <c r="N25" i="21"/>
  <c r="L4" i="21"/>
  <c r="M4" i="21" s="1"/>
  <c r="N4" i="21" s="1"/>
  <c r="L5" i="21"/>
  <c r="M5" i="21" s="1"/>
  <c r="N5" i="21" s="1"/>
  <c r="N9" i="21"/>
  <c r="N10" i="21"/>
  <c r="M10" i="21"/>
  <c r="M9" i="21"/>
  <c r="L10" i="21"/>
  <c r="L9" i="21"/>
  <c r="L20" i="21"/>
  <c r="L19" i="21"/>
  <c r="M19" i="21" s="1"/>
  <c r="N19" i="21" s="1"/>
  <c r="M20" i="21"/>
  <c r="N20" i="21" s="1"/>
  <c r="N15" i="21"/>
  <c r="N14" i="21"/>
  <c r="M15" i="21"/>
  <c r="M14" i="21"/>
  <c r="O14" i="21" s="1"/>
  <c r="L15" i="21"/>
  <c r="L14" i="21"/>
  <c r="O16" i="21"/>
  <c r="J20" i="21"/>
  <c r="K20" i="21" s="1"/>
  <c r="J19" i="21"/>
  <c r="K19" i="21" s="1"/>
  <c r="J15" i="21"/>
  <c r="K15" i="21" s="1"/>
  <c r="J14" i="21"/>
  <c r="K14" i="21" s="1"/>
  <c r="O15" i="21" s="1"/>
  <c r="J10" i="21"/>
  <c r="K10" i="21" s="1"/>
  <c r="J9" i="21"/>
  <c r="K9" i="21" s="1"/>
  <c r="K5" i="21"/>
  <c r="K4" i="21"/>
  <c r="J5" i="21"/>
  <c r="J4" i="21"/>
  <c r="C25" i="21"/>
  <c r="C24" i="21"/>
  <c r="C21" i="21"/>
  <c r="C20" i="21"/>
  <c r="C19" i="21"/>
  <c r="C16" i="21"/>
  <c r="C15" i="21"/>
  <c r="C14" i="21"/>
  <c r="C11" i="21"/>
  <c r="C10" i="21"/>
  <c r="C9" i="21"/>
  <c r="G9" i="21" s="1"/>
  <c r="C6" i="21"/>
  <c r="C5" i="21"/>
  <c r="C4" i="21"/>
  <c r="Q26" i="21"/>
  <c r="P26" i="21"/>
  <c r="Q25" i="21"/>
  <c r="P25" i="21"/>
  <c r="Q24" i="21"/>
  <c r="P24" i="21"/>
  <c r="Q21" i="21"/>
  <c r="P21" i="21"/>
  <c r="Q20" i="21"/>
  <c r="P20" i="21"/>
  <c r="Q19" i="21"/>
  <c r="P19" i="21"/>
  <c r="I20" i="21"/>
  <c r="Q16" i="21"/>
  <c r="P16" i="21"/>
  <c r="Q15" i="21"/>
  <c r="P15" i="21"/>
  <c r="Q14" i="21"/>
  <c r="P14" i="21"/>
  <c r="I15" i="21"/>
  <c r="Q11" i="21"/>
  <c r="P11" i="21"/>
  <c r="Q10" i="21"/>
  <c r="P10" i="21"/>
  <c r="Q9" i="21"/>
  <c r="P9" i="21"/>
  <c r="Q6" i="21"/>
  <c r="P6" i="21"/>
  <c r="Q5" i="21"/>
  <c r="P5" i="21"/>
  <c r="Q4" i="21"/>
  <c r="P4" i="21"/>
  <c r="G4" i="21"/>
  <c r="D4" i="21"/>
  <c r="E4" i="21" s="1"/>
  <c r="I4" i="21" s="1"/>
  <c r="I5" i="21"/>
  <c r="J32" i="17"/>
  <c r="K32" i="17" s="1"/>
  <c r="J31" i="17"/>
  <c r="K31" i="17" s="1"/>
  <c r="J30" i="17"/>
  <c r="K30" i="17" s="1"/>
  <c r="J29" i="17"/>
  <c r="J27" i="17"/>
  <c r="K27" i="17" s="1"/>
  <c r="J26" i="17"/>
  <c r="K26" i="17" s="1"/>
  <c r="K25" i="17"/>
  <c r="J25" i="17"/>
  <c r="J24" i="17"/>
  <c r="J22" i="17"/>
  <c r="K22" i="17" s="1"/>
  <c r="J21" i="17"/>
  <c r="K21" i="17" s="1"/>
  <c r="J20" i="17"/>
  <c r="K20" i="17" s="1"/>
  <c r="J19" i="17"/>
  <c r="J17" i="17"/>
  <c r="K17" i="17" s="1"/>
  <c r="K16" i="17"/>
  <c r="J16" i="17"/>
  <c r="J15" i="17"/>
  <c r="J14" i="17"/>
  <c r="K15" i="17" s="1"/>
  <c r="I5" i="18" l="1"/>
  <c r="I20" i="18"/>
  <c r="D4" i="18"/>
  <c r="G4" i="19"/>
  <c r="I5" i="19"/>
  <c r="I10" i="19"/>
  <c r="I20" i="19"/>
  <c r="D4" i="19"/>
  <c r="G4" i="20"/>
  <c r="I5" i="20"/>
  <c r="I20" i="20"/>
  <c r="D4" i="20"/>
  <c r="C26" i="21"/>
  <c r="O6" i="21"/>
  <c r="O5" i="21"/>
  <c r="O4" i="21"/>
  <c r="O11" i="21"/>
  <c r="O20" i="21"/>
  <c r="O19" i="21"/>
  <c r="O21" i="21"/>
  <c r="I10" i="21"/>
  <c r="H4" i="21"/>
  <c r="G24" i="21"/>
  <c r="D9" i="21"/>
  <c r="G19" i="21"/>
  <c r="G14" i="21"/>
  <c r="I25" i="21"/>
  <c r="AA16" i="16"/>
  <c r="AA15" i="16"/>
  <c r="AA14" i="16"/>
  <c r="AA12" i="16"/>
  <c r="AA13" i="16"/>
  <c r="X16" i="16"/>
  <c r="Y16" i="16"/>
  <c r="W16" i="16"/>
  <c r="X15" i="16"/>
  <c r="Y15" i="16"/>
  <c r="W15" i="16"/>
  <c r="X14" i="16"/>
  <c r="Y14" i="16"/>
  <c r="W14" i="16"/>
  <c r="X13" i="16"/>
  <c r="Y13" i="16"/>
  <c r="W13" i="16"/>
  <c r="X12" i="16"/>
  <c r="Y12" i="16"/>
  <c r="W12" i="16"/>
  <c r="Y7" i="16"/>
  <c r="X7" i="16"/>
  <c r="W7" i="16"/>
  <c r="N40" i="16"/>
  <c r="N38" i="16"/>
  <c r="N33" i="16"/>
  <c r="N3" i="16"/>
  <c r="N8" i="16"/>
  <c r="N13" i="16"/>
  <c r="N18" i="16"/>
  <c r="N23" i="16"/>
  <c r="N28" i="16"/>
  <c r="D38" i="16"/>
  <c r="E38" i="16" s="1"/>
  <c r="I38" i="16" s="1"/>
  <c r="D33" i="16"/>
  <c r="E33" i="16" s="1"/>
  <c r="I33" i="16" s="1"/>
  <c r="D28" i="16"/>
  <c r="E28" i="16" s="1"/>
  <c r="I28" i="16" s="1"/>
  <c r="B43" i="16"/>
  <c r="P40" i="16"/>
  <c r="O40" i="16"/>
  <c r="P39" i="16"/>
  <c r="O39" i="16"/>
  <c r="I39" i="16"/>
  <c r="P38" i="16"/>
  <c r="O38" i="16"/>
  <c r="G38" i="16"/>
  <c r="P35" i="16"/>
  <c r="O35" i="16"/>
  <c r="P34" i="16"/>
  <c r="O34" i="16"/>
  <c r="I34" i="16"/>
  <c r="P33" i="16"/>
  <c r="O33" i="16"/>
  <c r="G33" i="16"/>
  <c r="P30" i="16"/>
  <c r="O30" i="16"/>
  <c r="P29" i="16"/>
  <c r="O29" i="16"/>
  <c r="I29" i="16"/>
  <c r="P28" i="16"/>
  <c r="O28" i="16"/>
  <c r="G28" i="16"/>
  <c r="P25" i="16"/>
  <c r="O25" i="16"/>
  <c r="P24" i="16"/>
  <c r="O24" i="16"/>
  <c r="I24" i="16"/>
  <c r="P23" i="16"/>
  <c r="O23" i="16"/>
  <c r="G23" i="16"/>
  <c r="P20" i="16"/>
  <c r="O20" i="16"/>
  <c r="P19" i="16"/>
  <c r="O19" i="16"/>
  <c r="I19" i="16"/>
  <c r="P18" i="16"/>
  <c r="O18" i="16"/>
  <c r="G18" i="16"/>
  <c r="P15" i="16"/>
  <c r="O15" i="16"/>
  <c r="P14" i="16"/>
  <c r="O14" i="16"/>
  <c r="I14" i="16"/>
  <c r="P13" i="16"/>
  <c r="O13" i="16"/>
  <c r="G13" i="16"/>
  <c r="P10" i="16"/>
  <c r="O10" i="16"/>
  <c r="P9" i="16"/>
  <c r="O9" i="16"/>
  <c r="I9" i="16"/>
  <c r="P8" i="16"/>
  <c r="O8" i="16"/>
  <c r="G8" i="16"/>
  <c r="P5" i="16"/>
  <c r="O5" i="16"/>
  <c r="P4" i="16"/>
  <c r="O4" i="16"/>
  <c r="I4" i="16"/>
  <c r="P3" i="16"/>
  <c r="O3" i="16"/>
  <c r="G3" i="16"/>
  <c r="D3" i="16"/>
  <c r="E3" i="16" s="1"/>
  <c r="D9" i="18" l="1"/>
  <c r="E4" i="18"/>
  <c r="D9" i="19"/>
  <c r="E4" i="19"/>
  <c r="D9" i="20"/>
  <c r="D19" i="20" s="1"/>
  <c r="E19" i="20" s="1"/>
  <c r="E4" i="20"/>
  <c r="O10" i="21"/>
  <c r="O9" i="21"/>
  <c r="R5" i="21"/>
  <c r="E9" i="21"/>
  <c r="D14" i="21"/>
  <c r="E14" i="21" s="1"/>
  <c r="I14" i="21" s="1"/>
  <c r="D19" i="21"/>
  <c r="E19" i="21" s="1"/>
  <c r="I19" i="21" s="1"/>
  <c r="R6" i="21"/>
  <c r="H28" i="16"/>
  <c r="H38" i="16"/>
  <c r="J29" i="16"/>
  <c r="K29" i="16" s="1"/>
  <c r="L29" i="16" s="1"/>
  <c r="M29" i="16" s="1"/>
  <c r="J34" i="16"/>
  <c r="K34" i="16" s="1"/>
  <c r="L34" i="16" s="1"/>
  <c r="M34" i="16" s="1"/>
  <c r="H33" i="16"/>
  <c r="J39" i="16"/>
  <c r="K39" i="16" s="1"/>
  <c r="L39" i="16" s="1"/>
  <c r="M39" i="16" s="1"/>
  <c r="J28" i="16"/>
  <c r="K28" i="16" s="1"/>
  <c r="L28" i="16" s="1"/>
  <c r="M28" i="16" s="1"/>
  <c r="J33" i="16"/>
  <c r="K33" i="16" s="1"/>
  <c r="L33" i="16" s="1"/>
  <c r="M33" i="16" s="1"/>
  <c r="J38" i="16"/>
  <c r="K38" i="16" s="1"/>
  <c r="L38" i="16" s="1"/>
  <c r="M38" i="16" s="1"/>
  <c r="J4" i="16"/>
  <c r="K4" i="16" s="1"/>
  <c r="L4" i="16" s="1"/>
  <c r="M4" i="16" s="1"/>
  <c r="H3" i="16"/>
  <c r="I3" i="16"/>
  <c r="D8" i="16"/>
  <c r="E8" i="16" s="1"/>
  <c r="J3" i="16"/>
  <c r="K3" i="16" s="1"/>
  <c r="L3" i="16" s="1"/>
  <c r="M3" i="16" s="1"/>
  <c r="E3" i="9"/>
  <c r="G27" i="9"/>
  <c r="H15" i="9" s="1"/>
  <c r="E12" i="9"/>
  <c r="E8" i="9"/>
  <c r="E4" i="9"/>
  <c r="I4" i="18" l="1"/>
  <c r="H4" i="18"/>
  <c r="E9" i="18"/>
  <c r="D14" i="18"/>
  <c r="E14" i="18" s="1"/>
  <c r="D19" i="18"/>
  <c r="E19" i="18" s="1"/>
  <c r="E9" i="19"/>
  <c r="I4" i="19"/>
  <c r="H4" i="19"/>
  <c r="D14" i="19"/>
  <c r="E14" i="19" s="1"/>
  <c r="D19" i="19"/>
  <c r="E19" i="19" s="1"/>
  <c r="I19" i="20"/>
  <c r="H19" i="20"/>
  <c r="D14" i="20"/>
  <c r="E14" i="20" s="1"/>
  <c r="I4" i="20"/>
  <c r="H4" i="20"/>
  <c r="E9" i="20"/>
  <c r="H14" i="21"/>
  <c r="D24" i="21"/>
  <c r="E24" i="21" s="1"/>
  <c r="T5" i="21"/>
  <c r="T4" i="21" s="1"/>
  <c r="S5" i="21"/>
  <c r="R4" i="21"/>
  <c r="I9" i="21"/>
  <c r="H9" i="21"/>
  <c r="H19" i="21"/>
  <c r="N39" i="16"/>
  <c r="Q39" i="16" s="1"/>
  <c r="Q40" i="16"/>
  <c r="N35" i="16"/>
  <c r="Q35" i="16" s="1"/>
  <c r="N34" i="16"/>
  <c r="Q34" i="16" s="1"/>
  <c r="N29" i="16"/>
  <c r="Q29" i="16" s="1"/>
  <c r="N30" i="16"/>
  <c r="Q30" i="16" s="1"/>
  <c r="N4" i="16"/>
  <c r="Q4" i="16" s="1"/>
  <c r="N5" i="16"/>
  <c r="Q5" i="16" s="1"/>
  <c r="I8" i="16"/>
  <c r="H8" i="16"/>
  <c r="D13" i="16"/>
  <c r="E13" i="16" s="1"/>
  <c r="H16" i="9"/>
  <c r="I9" i="18" l="1"/>
  <c r="H9" i="18"/>
  <c r="I14" i="18"/>
  <c r="H14" i="18"/>
  <c r="I19" i="18"/>
  <c r="H19" i="18"/>
  <c r="D24" i="18"/>
  <c r="E24" i="18" s="1"/>
  <c r="J5" i="18"/>
  <c r="K5" i="18" s="1"/>
  <c r="L5" i="18" s="1"/>
  <c r="M5" i="18" s="1"/>
  <c r="N5" i="18" s="1"/>
  <c r="J4" i="18"/>
  <c r="K4" i="18" s="1"/>
  <c r="L4" i="18" s="1"/>
  <c r="M4" i="18" s="1"/>
  <c r="J5" i="19"/>
  <c r="K5" i="19" s="1"/>
  <c r="L5" i="19" s="1"/>
  <c r="M5" i="19" s="1"/>
  <c r="N5" i="19" s="1"/>
  <c r="J4" i="19"/>
  <c r="K4" i="19" s="1"/>
  <c r="L4" i="19" s="1"/>
  <c r="M4" i="19" s="1"/>
  <c r="I19" i="19"/>
  <c r="H19" i="19"/>
  <c r="D24" i="19"/>
  <c r="E24" i="19" s="1"/>
  <c r="I14" i="19"/>
  <c r="H14" i="19"/>
  <c r="I9" i="19"/>
  <c r="H9" i="19"/>
  <c r="I14" i="20"/>
  <c r="H14" i="20"/>
  <c r="D24" i="20"/>
  <c r="E24" i="20" s="1"/>
  <c r="I9" i="20"/>
  <c r="H9" i="20"/>
  <c r="J5" i="20"/>
  <c r="K5" i="20" s="1"/>
  <c r="L5" i="20" s="1"/>
  <c r="M5" i="20" s="1"/>
  <c r="N5" i="20" s="1"/>
  <c r="J4" i="20"/>
  <c r="K4" i="20" s="1"/>
  <c r="L4" i="20" s="1"/>
  <c r="M4" i="20" s="1"/>
  <c r="J20" i="20"/>
  <c r="K20" i="20" s="1"/>
  <c r="L20" i="20" s="1"/>
  <c r="M20" i="20" s="1"/>
  <c r="N20" i="20" s="1"/>
  <c r="J19" i="20"/>
  <c r="K19" i="20" s="1"/>
  <c r="L19" i="20" s="1"/>
  <c r="M19" i="20" s="1"/>
  <c r="I24" i="21"/>
  <c r="H24" i="21"/>
  <c r="R20" i="21"/>
  <c r="R21" i="21"/>
  <c r="R15" i="21"/>
  <c r="R16" i="21"/>
  <c r="U5" i="21"/>
  <c r="U4" i="21" s="1"/>
  <c r="S4" i="21"/>
  <c r="S29" i="16"/>
  <c r="R29" i="16"/>
  <c r="W8" i="16" s="1"/>
  <c r="Q28" i="16"/>
  <c r="S34" i="16"/>
  <c r="Q33" i="16"/>
  <c r="R34" i="16"/>
  <c r="W9" i="16" s="1"/>
  <c r="S39" i="16"/>
  <c r="R39" i="16"/>
  <c r="W10" i="16" s="1"/>
  <c r="Q38" i="16"/>
  <c r="J9" i="16"/>
  <c r="K9" i="16" s="1"/>
  <c r="L9" i="16" s="1"/>
  <c r="M9" i="16" s="1"/>
  <c r="J8" i="16"/>
  <c r="K8" i="16" s="1"/>
  <c r="L8" i="16" s="1"/>
  <c r="M8" i="16" s="1"/>
  <c r="H13" i="16"/>
  <c r="I13" i="16"/>
  <c r="D18" i="16"/>
  <c r="E18" i="16" s="1"/>
  <c r="S4" i="16"/>
  <c r="R4" i="16"/>
  <c r="W2" i="16" s="1"/>
  <c r="Q3" i="16"/>
  <c r="F15" i="1"/>
  <c r="G15" i="1" s="1"/>
  <c r="F9" i="1"/>
  <c r="J15" i="18" l="1"/>
  <c r="K15" i="18" s="1"/>
  <c r="L15" i="18" s="1"/>
  <c r="M15" i="18" s="1"/>
  <c r="N15" i="18" s="1"/>
  <c r="J14" i="18"/>
  <c r="K14" i="18" s="1"/>
  <c r="L14" i="18" s="1"/>
  <c r="M14" i="18" s="1"/>
  <c r="I24" i="18"/>
  <c r="H24" i="18"/>
  <c r="J20" i="18"/>
  <c r="K20" i="18" s="1"/>
  <c r="L20" i="18" s="1"/>
  <c r="M20" i="18" s="1"/>
  <c r="N20" i="18" s="1"/>
  <c r="J19" i="18"/>
  <c r="K19" i="18" s="1"/>
  <c r="L19" i="18" s="1"/>
  <c r="M19" i="18" s="1"/>
  <c r="N4" i="18"/>
  <c r="O4" i="18" s="1"/>
  <c r="O6" i="18"/>
  <c r="R6" i="18" s="1"/>
  <c r="O5" i="18"/>
  <c r="R5" i="18" s="1"/>
  <c r="J10" i="18"/>
  <c r="K10" i="18" s="1"/>
  <c r="L10" i="18" s="1"/>
  <c r="M10" i="18" s="1"/>
  <c r="N10" i="18" s="1"/>
  <c r="J9" i="18"/>
  <c r="K9" i="18" s="1"/>
  <c r="L9" i="18" s="1"/>
  <c r="M9" i="18" s="1"/>
  <c r="I24" i="19"/>
  <c r="H24" i="19"/>
  <c r="J9" i="19"/>
  <c r="K9" i="19" s="1"/>
  <c r="L9" i="19" s="1"/>
  <c r="M9" i="19" s="1"/>
  <c r="J10" i="19"/>
  <c r="K10" i="19" s="1"/>
  <c r="L10" i="19" s="1"/>
  <c r="M10" i="19" s="1"/>
  <c r="N10" i="19" s="1"/>
  <c r="J15" i="19"/>
  <c r="K15" i="19" s="1"/>
  <c r="L15" i="19" s="1"/>
  <c r="M15" i="19" s="1"/>
  <c r="N15" i="19" s="1"/>
  <c r="J14" i="19"/>
  <c r="K14" i="19" s="1"/>
  <c r="L14" i="19" s="1"/>
  <c r="M14" i="19" s="1"/>
  <c r="J20" i="19"/>
  <c r="K20" i="19" s="1"/>
  <c r="L20" i="19" s="1"/>
  <c r="M20" i="19" s="1"/>
  <c r="N20" i="19" s="1"/>
  <c r="J19" i="19"/>
  <c r="K19" i="19" s="1"/>
  <c r="L19" i="19" s="1"/>
  <c r="M19" i="19" s="1"/>
  <c r="O4" i="19"/>
  <c r="N4" i="19"/>
  <c r="O6" i="19"/>
  <c r="R6" i="19" s="1"/>
  <c r="O5" i="19"/>
  <c r="R5" i="19" s="1"/>
  <c r="N4" i="20"/>
  <c r="O4" i="20" s="1"/>
  <c r="O6" i="20"/>
  <c r="R6" i="20" s="1"/>
  <c r="O5" i="20"/>
  <c r="R5" i="20" s="1"/>
  <c r="N19" i="20"/>
  <c r="O20" i="20"/>
  <c r="R20" i="20" s="1"/>
  <c r="O19" i="20"/>
  <c r="O21" i="20"/>
  <c r="R21" i="20" s="1"/>
  <c r="J10" i="20"/>
  <c r="K10" i="20" s="1"/>
  <c r="L10" i="20" s="1"/>
  <c r="M10" i="20" s="1"/>
  <c r="N10" i="20" s="1"/>
  <c r="J9" i="20"/>
  <c r="K9" i="20" s="1"/>
  <c r="L9" i="20" s="1"/>
  <c r="M9" i="20" s="1"/>
  <c r="I24" i="20"/>
  <c r="H24" i="20"/>
  <c r="J15" i="20"/>
  <c r="K15" i="20" s="1"/>
  <c r="L15" i="20" s="1"/>
  <c r="M15" i="20" s="1"/>
  <c r="N15" i="20" s="1"/>
  <c r="J14" i="20"/>
  <c r="K14" i="20" s="1"/>
  <c r="L14" i="20" s="1"/>
  <c r="M14" i="20" s="1"/>
  <c r="J25" i="21"/>
  <c r="K25" i="21" s="1"/>
  <c r="L25" i="21" s="1"/>
  <c r="M25" i="21" s="1"/>
  <c r="J24" i="21"/>
  <c r="K24" i="21" s="1"/>
  <c r="L24" i="21" s="1"/>
  <c r="M24" i="21" s="1"/>
  <c r="T20" i="21"/>
  <c r="T19" i="21" s="1"/>
  <c r="S20" i="21"/>
  <c r="R19" i="21"/>
  <c r="T15" i="21"/>
  <c r="T14" i="21" s="1"/>
  <c r="S15" i="21"/>
  <c r="R14" i="21"/>
  <c r="R11" i="21"/>
  <c r="R10" i="21"/>
  <c r="S3" i="16"/>
  <c r="X2" i="16"/>
  <c r="S28" i="16"/>
  <c r="X8" i="16"/>
  <c r="S38" i="16"/>
  <c r="X10" i="16"/>
  <c r="S33" i="16"/>
  <c r="X9" i="16"/>
  <c r="T39" i="16"/>
  <c r="R38" i="16"/>
  <c r="T34" i="16"/>
  <c r="R33" i="16"/>
  <c r="T29" i="16"/>
  <c r="R28" i="16"/>
  <c r="R3" i="16"/>
  <c r="T4" i="16"/>
  <c r="J14" i="16"/>
  <c r="K14" i="16" s="1"/>
  <c r="L14" i="16" s="1"/>
  <c r="M14" i="16" s="1"/>
  <c r="J13" i="16"/>
  <c r="K13" i="16" s="1"/>
  <c r="L13" i="16" s="1"/>
  <c r="M13" i="16" s="1"/>
  <c r="H18" i="16"/>
  <c r="I18" i="16"/>
  <c r="N10" i="16"/>
  <c r="Q10" i="16" s="1"/>
  <c r="N9" i="16"/>
  <c r="Q9" i="16" s="1"/>
  <c r="D23" i="16"/>
  <c r="E23" i="16" s="1"/>
  <c r="I20" i="14"/>
  <c r="G19" i="14"/>
  <c r="I15" i="14"/>
  <c r="G14" i="14"/>
  <c r="I10" i="14"/>
  <c r="G9" i="14"/>
  <c r="I5" i="14"/>
  <c r="G4" i="14"/>
  <c r="D4" i="14"/>
  <c r="I25" i="12"/>
  <c r="G24" i="12"/>
  <c r="I20" i="12"/>
  <c r="G19" i="12"/>
  <c r="I15" i="12"/>
  <c r="G14" i="12"/>
  <c r="I10" i="12"/>
  <c r="G9" i="12"/>
  <c r="I5" i="12"/>
  <c r="G4" i="12"/>
  <c r="I25" i="11"/>
  <c r="G24" i="11"/>
  <c r="I20" i="11"/>
  <c r="G19" i="11"/>
  <c r="I15" i="11"/>
  <c r="G14" i="11"/>
  <c r="I5" i="11"/>
  <c r="G4" i="11"/>
  <c r="D4" i="11"/>
  <c r="I10" i="11"/>
  <c r="G9" i="11"/>
  <c r="R4" i="18" l="1"/>
  <c r="S5" i="18"/>
  <c r="T5" i="18"/>
  <c r="T4" i="18" s="1"/>
  <c r="N19" i="18"/>
  <c r="O19" i="18"/>
  <c r="O21" i="18"/>
  <c r="R21" i="18" s="1"/>
  <c r="O20" i="18"/>
  <c r="R20" i="18" s="1"/>
  <c r="J25" i="18"/>
  <c r="K25" i="18" s="1"/>
  <c r="L25" i="18" s="1"/>
  <c r="M25" i="18" s="1"/>
  <c r="N25" i="18" s="1"/>
  <c r="J24" i="18"/>
  <c r="K24" i="18" s="1"/>
  <c r="L24" i="18" s="1"/>
  <c r="M24" i="18" s="1"/>
  <c r="N14" i="18"/>
  <c r="O14" i="18" s="1"/>
  <c r="O16" i="18"/>
  <c r="R16" i="18" s="1"/>
  <c r="O15" i="18"/>
  <c r="R15" i="18" s="1"/>
  <c r="N9" i="18"/>
  <c r="O9" i="18" s="1"/>
  <c r="O10" i="18"/>
  <c r="R10" i="18" s="1"/>
  <c r="R4" i="19"/>
  <c r="S5" i="19"/>
  <c r="T5" i="19"/>
  <c r="T4" i="19" s="1"/>
  <c r="N19" i="19"/>
  <c r="O19" i="19"/>
  <c r="O21" i="19"/>
  <c r="R21" i="19" s="1"/>
  <c r="O20" i="19"/>
  <c r="R20" i="19" s="1"/>
  <c r="N14" i="19"/>
  <c r="O16" i="19"/>
  <c r="R16" i="19" s="1"/>
  <c r="O14" i="19"/>
  <c r="O15" i="19"/>
  <c r="R15" i="19" s="1"/>
  <c r="O9" i="19"/>
  <c r="N9" i="19"/>
  <c r="O11" i="19"/>
  <c r="R11" i="19" s="1"/>
  <c r="O10" i="19"/>
  <c r="R10" i="19" s="1"/>
  <c r="J25" i="19"/>
  <c r="K25" i="19" s="1"/>
  <c r="L25" i="19" s="1"/>
  <c r="M25" i="19" s="1"/>
  <c r="N25" i="19" s="1"/>
  <c r="J24" i="19"/>
  <c r="K24" i="19" s="1"/>
  <c r="L24" i="19" s="1"/>
  <c r="M24" i="19" s="1"/>
  <c r="N9" i="20"/>
  <c r="O9" i="20" s="1"/>
  <c r="O10" i="20"/>
  <c r="R10" i="20" s="1"/>
  <c r="O11" i="20"/>
  <c r="R11" i="20" s="1"/>
  <c r="R19" i="20"/>
  <c r="T20" i="20"/>
  <c r="T19" i="20" s="1"/>
  <c r="S20" i="20"/>
  <c r="N14" i="20"/>
  <c r="O16" i="20"/>
  <c r="R16" i="20" s="1"/>
  <c r="O15" i="20"/>
  <c r="R15" i="20" s="1"/>
  <c r="O14" i="20"/>
  <c r="J24" i="20"/>
  <c r="K24" i="20" s="1"/>
  <c r="L24" i="20" s="1"/>
  <c r="M24" i="20" s="1"/>
  <c r="J25" i="20"/>
  <c r="K25" i="20" s="1"/>
  <c r="L25" i="20" s="1"/>
  <c r="M25" i="20" s="1"/>
  <c r="N25" i="20" s="1"/>
  <c r="R4" i="20"/>
  <c r="S5" i="20"/>
  <c r="T5" i="20"/>
  <c r="T4" i="20" s="1"/>
  <c r="N24" i="21"/>
  <c r="O24" i="21"/>
  <c r="O26" i="21"/>
  <c r="R26" i="21" s="1"/>
  <c r="O25" i="21"/>
  <c r="R25" i="21" s="1"/>
  <c r="T10" i="21"/>
  <c r="T9" i="21" s="1"/>
  <c r="S10" i="21"/>
  <c r="R9" i="21"/>
  <c r="U15" i="21"/>
  <c r="U14" i="21" s="1"/>
  <c r="S14" i="21"/>
  <c r="U20" i="21"/>
  <c r="U19" i="21" s="1"/>
  <c r="S19" i="21"/>
  <c r="T3" i="16"/>
  <c r="Y2" i="16"/>
  <c r="T28" i="16"/>
  <c r="Y8" i="16"/>
  <c r="T38" i="16"/>
  <c r="Y10" i="16"/>
  <c r="T33" i="16"/>
  <c r="Y9" i="16"/>
  <c r="N14" i="16"/>
  <c r="Q14" i="16" s="1"/>
  <c r="N15" i="16"/>
  <c r="Q15" i="16" s="1"/>
  <c r="I23" i="16"/>
  <c r="H23" i="16"/>
  <c r="J19" i="16"/>
  <c r="K19" i="16" s="1"/>
  <c r="L19" i="16" s="1"/>
  <c r="M19" i="16" s="1"/>
  <c r="J18" i="16"/>
  <c r="K18" i="16" s="1"/>
  <c r="L18" i="16" s="1"/>
  <c r="M18" i="16" s="1"/>
  <c r="S9" i="16"/>
  <c r="R9" i="16"/>
  <c r="W3" i="16" s="1"/>
  <c r="Q8" i="16"/>
  <c r="E4" i="11"/>
  <c r="I4" i="11" s="1"/>
  <c r="D9" i="11"/>
  <c r="E9" i="11" s="1"/>
  <c r="I9" i="11" s="1"/>
  <c r="E4" i="14"/>
  <c r="I4" i="14" s="1"/>
  <c r="D14" i="14"/>
  <c r="E14" i="14" s="1"/>
  <c r="I14" i="14" s="1"/>
  <c r="D19" i="14"/>
  <c r="E19" i="14" s="1"/>
  <c r="I19" i="14" s="1"/>
  <c r="J20" i="14" s="1"/>
  <c r="K20" i="14" s="1"/>
  <c r="L20" i="14" s="1"/>
  <c r="M20" i="14" s="1"/>
  <c r="D9" i="14"/>
  <c r="E9" i="14" s="1"/>
  <c r="I9" i="14" s="1"/>
  <c r="H14" i="14"/>
  <c r="H4" i="14"/>
  <c r="J10" i="14"/>
  <c r="K10" i="14" s="1"/>
  <c r="L10" i="14" s="1"/>
  <c r="M10" i="14" s="1"/>
  <c r="J15" i="14"/>
  <c r="K15" i="14" s="1"/>
  <c r="L15" i="14" s="1"/>
  <c r="M15" i="14" s="1"/>
  <c r="J5" i="14"/>
  <c r="K5" i="14" s="1"/>
  <c r="L5" i="14" s="1"/>
  <c r="M5" i="14" s="1"/>
  <c r="J4" i="14"/>
  <c r="K4" i="14" s="1"/>
  <c r="L4" i="14" s="1"/>
  <c r="M4" i="14" s="1"/>
  <c r="J9" i="14"/>
  <c r="K9" i="14" s="1"/>
  <c r="L9" i="14" s="1"/>
  <c r="M9" i="14" s="1"/>
  <c r="J14" i="14"/>
  <c r="K14" i="14" s="1"/>
  <c r="L14" i="14" s="1"/>
  <c r="M14" i="14" s="1"/>
  <c r="H4" i="11"/>
  <c r="J5" i="11"/>
  <c r="K5" i="11" s="1"/>
  <c r="L5" i="11" s="1"/>
  <c r="M5" i="11" s="1"/>
  <c r="J4" i="11"/>
  <c r="K4" i="11" s="1"/>
  <c r="L4" i="11" s="1"/>
  <c r="M4" i="11" s="1"/>
  <c r="J10" i="11"/>
  <c r="K10" i="11" s="1"/>
  <c r="L10" i="11" s="1"/>
  <c r="M10" i="11" s="1"/>
  <c r="J9" i="11"/>
  <c r="K9" i="11" s="1"/>
  <c r="L9" i="11" s="1"/>
  <c r="M9" i="11" s="1"/>
  <c r="K13" i="10"/>
  <c r="K12" i="10"/>
  <c r="K11" i="10"/>
  <c r="K9" i="10"/>
  <c r="K10" i="10"/>
  <c r="K8" i="10"/>
  <c r="C15" i="10"/>
  <c r="D15" i="10" s="1"/>
  <c r="E15" i="10" s="1"/>
  <c r="F15" i="10" s="1"/>
  <c r="G18" i="10" s="1"/>
  <c r="C16" i="10"/>
  <c r="D16" i="10" s="1"/>
  <c r="E16" i="10" s="1"/>
  <c r="F16" i="10" s="1"/>
  <c r="G19" i="10" s="1"/>
  <c r="C14" i="10"/>
  <c r="D14" i="10" s="1"/>
  <c r="H9" i="10"/>
  <c r="I9" i="10" s="1"/>
  <c r="H10" i="10"/>
  <c r="I10" i="10" s="1"/>
  <c r="H11" i="10"/>
  <c r="I11" i="10" s="1"/>
  <c r="H12" i="10"/>
  <c r="I12" i="10" s="1"/>
  <c r="H13" i="10"/>
  <c r="I13" i="10" s="1"/>
  <c r="H8" i="10"/>
  <c r="I8" i="10" s="1"/>
  <c r="G7" i="10"/>
  <c r="G34" i="10" s="1"/>
  <c r="G6" i="10"/>
  <c r="G5" i="10"/>
  <c r="M30" i="10"/>
  <c r="H29" i="10"/>
  <c r="I29" i="10" s="1"/>
  <c r="K29" i="10" s="1"/>
  <c r="L29" i="10" s="1"/>
  <c r="Q28" i="10"/>
  <c r="P28" i="10"/>
  <c r="O28" i="10"/>
  <c r="N28" i="10"/>
  <c r="M28" i="10"/>
  <c r="Q27" i="10"/>
  <c r="P27" i="10"/>
  <c r="O27" i="10"/>
  <c r="N27" i="10"/>
  <c r="M27" i="10"/>
  <c r="K27" i="10" s="1"/>
  <c r="R27" i="10" s="1"/>
  <c r="Q26" i="10"/>
  <c r="P26" i="10"/>
  <c r="O26" i="10"/>
  <c r="N26" i="10"/>
  <c r="M26" i="10"/>
  <c r="R25" i="10"/>
  <c r="I25" i="10"/>
  <c r="R24" i="10"/>
  <c r="I24" i="10"/>
  <c r="R23" i="10"/>
  <c r="I23" i="10"/>
  <c r="M21" i="10"/>
  <c r="H20" i="10"/>
  <c r="I20" i="10" s="1"/>
  <c r="R4" i="10"/>
  <c r="R3" i="10"/>
  <c r="R2" i="10"/>
  <c r="R14" i="18" l="1"/>
  <c r="T15" i="18"/>
  <c r="T14" i="18" s="1"/>
  <c r="S15" i="18"/>
  <c r="R9" i="18"/>
  <c r="N24" i="18"/>
  <c r="O25" i="18"/>
  <c r="R25" i="18" s="1"/>
  <c r="O26" i="18"/>
  <c r="R26" i="18" s="1"/>
  <c r="O24" i="18"/>
  <c r="R19" i="18"/>
  <c r="T20" i="18"/>
  <c r="T19" i="18" s="1"/>
  <c r="S20" i="18"/>
  <c r="O11" i="18"/>
  <c r="R11" i="18" s="1"/>
  <c r="S4" i="18"/>
  <c r="U5" i="18"/>
  <c r="U4" i="18" s="1"/>
  <c r="R14" i="19"/>
  <c r="T15" i="19"/>
  <c r="T14" i="19" s="1"/>
  <c r="S15" i="19"/>
  <c r="R19" i="19"/>
  <c r="T20" i="19"/>
  <c r="T19" i="19" s="1"/>
  <c r="S20" i="19"/>
  <c r="N24" i="19"/>
  <c r="O25" i="19"/>
  <c r="R25" i="19" s="1"/>
  <c r="O24" i="19"/>
  <c r="O26" i="19"/>
  <c r="R26" i="19" s="1"/>
  <c r="R9" i="19"/>
  <c r="S10" i="19"/>
  <c r="T10" i="19"/>
  <c r="T9" i="19" s="1"/>
  <c r="S4" i="19"/>
  <c r="U5" i="19"/>
  <c r="U4" i="19" s="1"/>
  <c r="R9" i="20"/>
  <c r="T10" i="20"/>
  <c r="T9" i="20" s="1"/>
  <c r="S10" i="20"/>
  <c r="U20" i="20"/>
  <c r="U19" i="20" s="1"/>
  <c r="S19" i="20"/>
  <c r="R14" i="20"/>
  <c r="T15" i="20"/>
  <c r="T14" i="20" s="1"/>
  <c r="S15" i="20"/>
  <c r="N24" i="20"/>
  <c r="O25" i="20"/>
  <c r="R25" i="20" s="1"/>
  <c r="O26" i="20"/>
  <c r="R26" i="20" s="1"/>
  <c r="O24" i="20"/>
  <c r="S4" i="20"/>
  <c r="U5" i="20"/>
  <c r="U4" i="20" s="1"/>
  <c r="U10" i="21"/>
  <c r="U9" i="21" s="1"/>
  <c r="S9" i="21"/>
  <c r="T25" i="21"/>
  <c r="T24" i="21" s="1"/>
  <c r="S25" i="21"/>
  <c r="R24" i="21"/>
  <c r="X3" i="16"/>
  <c r="S8" i="16"/>
  <c r="J23" i="16"/>
  <c r="K23" i="16" s="1"/>
  <c r="L23" i="16" s="1"/>
  <c r="M23" i="16" s="1"/>
  <c r="J24" i="16"/>
  <c r="K24" i="16" s="1"/>
  <c r="L24" i="16" s="1"/>
  <c r="M24" i="16" s="1"/>
  <c r="N20" i="16"/>
  <c r="Q20" i="16" s="1"/>
  <c r="N19" i="16"/>
  <c r="Q19" i="16" s="1"/>
  <c r="S14" i="16"/>
  <c r="Q13" i="16"/>
  <c r="R14" i="16"/>
  <c r="W4" i="16" s="1"/>
  <c r="R8" i="16"/>
  <c r="T9" i="16"/>
  <c r="J19" i="14"/>
  <c r="K19" i="14" s="1"/>
  <c r="L19" i="14" s="1"/>
  <c r="M19" i="14" s="1"/>
  <c r="H19" i="14"/>
  <c r="H9" i="14"/>
  <c r="H9" i="11"/>
  <c r="D14" i="11"/>
  <c r="N20" i="14"/>
  <c r="N19" i="14"/>
  <c r="N21" i="14"/>
  <c r="N15" i="14"/>
  <c r="N14" i="14"/>
  <c r="N16" i="14"/>
  <c r="N5" i="14"/>
  <c r="N4" i="14"/>
  <c r="N6" i="14"/>
  <c r="N10" i="14"/>
  <c r="N9" i="14"/>
  <c r="N11" i="14"/>
  <c r="N5" i="11"/>
  <c r="N4" i="11"/>
  <c r="N6" i="11"/>
  <c r="N11" i="11"/>
  <c r="N10" i="11"/>
  <c r="N9" i="11"/>
  <c r="K16" i="10"/>
  <c r="K26" i="10"/>
  <c r="R26" i="10" s="1"/>
  <c r="K15" i="10"/>
  <c r="L11" i="10"/>
  <c r="K5" i="10"/>
  <c r="L13" i="10"/>
  <c r="L10" i="10"/>
  <c r="L8" i="10"/>
  <c r="H16" i="10"/>
  <c r="I16" i="10" s="1"/>
  <c r="H15" i="10"/>
  <c r="I15" i="10" s="1"/>
  <c r="E14" i="10"/>
  <c r="F14" i="10" s="1"/>
  <c r="G17" i="10" s="1"/>
  <c r="H17" i="10" s="1"/>
  <c r="K28" i="10"/>
  <c r="R28" i="10" s="1"/>
  <c r="N20" i="10"/>
  <c r="O20" i="10" s="1"/>
  <c r="P20" i="10" s="1"/>
  <c r="Q20" i="10" s="1"/>
  <c r="L9" i="10"/>
  <c r="L12" i="10"/>
  <c r="M20" i="10"/>
  <c r="N21" i="10" s="1"/>
  <c r="O21" i="10" s="1"/>
  <c r="P21" i="10" s="1"/>
  <c r="Q21" i="10" s="1"/>
  <c r="K20" i="10"/>
  <c r="L20" i="10" s="1"/>
  <c r="M6" i="10"/>
  <c r="G32" i="10"/>
  <c r="H5" i="10"/>
  <c r="I5" i="10" s="1"/>
  <c r="M5" i="10" s="1"/>
  <c r="M29" i="10"/>
  <c r="N30" i="10" s="1"/>
  <c r="O30" i="10" s="1"/>
  <c r="P30" i="10" s="1"/>
  <c r="Q30" i="10" s="1"/>
  <c r="G33" i="10"/>
  <c r="S10" i="18" l="1"/>
  <c r="T10" i="18"/>
  <c r="T9" i="18" s="1"/>
  <c r="S14" i="18"/>
  <c r="U15" i="18"/>
  <c r="U14" i="18" s="1"/>
  <c r="T25" i="18"/>
  <c r="T24" i="18" s="1"/>
  <c r="S25" i="18"/>
  <c r="R24" i="18"/>
  <c r="U20" i="18"/>
  <c r="U19" i="18" s="1"/>
  <c r="S19" i="18"/>
  <c r="T25" i="19"/>
  <c r="T24" i="19" s="1"/>
  <c r="S25" i="19"/>
  <c r="R24" i="19"/>
  <c r="S9" i="19"/>
  <c r="U10" i="19"/>
  <c r="U9" i="19" s="1"/>
  <c r="S19" i="19"/>
  <c r="U20" i="19"/>
  <c r="U19" i="19" s="1"/>
  <c r="S14" i="19"/>
  <c r="U15" i="19"/>
  <c r="U14" i="19" s="1"/>
  <c r="T25" i="20"/>
  <c r="T24" i="20" s="1"/>
  <c r="S25" i="20"/>
  <c r="R24" i="20"/>
  <c r="S14" i="20"/>
  <c r="U15" i="20"/>
  <c r="U14" i="20" s="1"/>
  <c r="S9" i="20"/>
  <c r="U10" i="20"/>
  <c r="U9" i="20" s="1"/>
  <c r="U25" i="21"/>
  <c r="U24" i="21" s="1"/>
  <c r="S24" i="21"/>
  <c r="T8" i="16"/>
  <c r="Y3" i="16"/>
  <c r="S13" i="16"/>
  <c r="X4" i="16"/>
  <c r="R13" i="16"/>
  <c r="T14" i="16"/>
  <c r="S19" i="16"/>
  <c r="R19" i="16"/>
  <c r="W5" i="16" s="1"/>
  <c r="Q18" i="16"/>
  <c r="N24" i="16"/>
  <c r="Q24" i="16" s="1"/>
  <c r="N25" i="16"/>
  <c r="Q25" i="16" s="1"/>
  <c r="E14" i="11"/>
  <c r="D19" i="11"/>
  <c r="E19" i="11" s="1"/>
  <c r="M11" i="10"/>
  <c r="H14" i="10"/>
  <c r="I14" i="10" s="1"/>
  <c r="K14" i="10"/>
  <c r="M9" i="10"/>
  <c r="L16" i="10"/>
  <c r="M8" i="10"/>
  <c r="M33" i="10"/>
  <c r="K32" i="10"/>
  <c r="H32" i="10"/>
  <c r="I32" i="10" s="1"/>
  <c r="M32" i="10" s="1"/>
  <c r="L15" i="10"/>
  <c r="N6" i="10"/>
  <c r="O6" i="10" s="1"/>
  <c r="P6" i="10" s="1"/>
  <c r="Q6" i="10" s="1"/>
  <c r="N5" i="10"/>
  <c r="O5" i="10" s="1"/>
  <c r="P5" i="10" s="1"/>
  <c r="Q5" i="10" s="1"/>
  <c r="R22" i="10"/>
  <c r="R20" i="10"/>
  <c r="R21" i="10"/>
  <c r="N29" i="10"/>
  <c r="O29" i="10" s="1"/>
  <c r="P29" i="10" s="1"/>
  <c r="Q29" i="10" s="1"/>
  <c r="M12" i="10"/>
  <c r="L5" i="10"/>
  <c r="U25" i="18" l="1"/>
  <c r="U24" i="18" s="1"/>
  <c r="S24" i="18"/>
  <c r="S9" i="18"/>
  <c r="U10" i="18"/>
  <c r="U9" i="18" s="1"/>
  <c r="U25" i="19"/>
  <c r="U24" i="19" s="1"/>
  <c r="S24" i="19"/>
  <c r="U25" i="20"/>
  <c r="U24" i="20" s="1"/>
  <c r="S24" i="20"/>
  <c r="T13" i="16"/>
  <c r="Y4" i="16"/>
  <c r="S18" i="16"/>
  <c r="X5" i="16"/>
  <c r="R18" i="16"/>
  <c r="T19" i="16"/>
  <c r="S24" i="16"/>
  <c r="R24" i="16"/>
  <c r="W6" i="16" s="1"/>
  <c r="Q23" i="16"/>
  <c r="D24" i="11"/>
  <c r="I19" i="11"/>
  <c r="H19" i="11"/>
  <c r="I14" i="11"/>
  <c r="H14" i="11"/>
  <c r="L14" i="10"/>
  <c r="N9" i="10"/>
  <c r="O9" i="10" s="1"/>
  <c r="P9" i="10" s="1"/>
  <c r="Q9" i="10" s="1"/>
  <c r="N8" i="10"/>
  <c r="O8" i="10" s="1"/>
  <c r="P8" i="10" s="1"/>
  <c r="Q8" i="10" s="1"/>
  <c r="R9" i="10" s="1"/>
  <c r="N12" i="10"/>
  <c r="O12" i="10" s="1"/>
  <c r="P12" i="10" s="1"/>
  <c r="Q12" i="10" s="1"/>
  <c r="N11" i="10"/>
  <c r="O11" i="10" s="1"/>
  <c r="P11" i="10" s="1"/>
  <c r="Q11" i="10" s="1"/>
  <c r="R5" i="10"/>
  <c r="R7" i="10"/>
  <c r="R6" i="10"/>
  <c r="M15" i="10"/>
  <c r="M14" i="10"/>
  <c r="K17" i="10"/>
  <c r="M18" i="10"/>
  <c r="I17" i="10"/>
  <c r="M17" i="10" s="1"/>
  <c r="L32" i="10"/>
  <c r="R31" i="10"/>
  <c r="R29" i="10"/>
  <c r="R30" i="10"/>
  <c r="N33" i="10"/>
  <c r="O33" i="10" s="1"/>
  <c r="P33" i="10" s="1"/>
  <c r="Q33" i="10" s="1"/>
  <c r="N32" i="10"/>
  <c r="O32" i="10" s="1"/>
  <c r="P32" i="10" s="1"/>
  <c r="Q32" i="10" s="1"/>
  <c r="T18" i="16" l="1"/>
  <c r="Y5" i="16"/>
  <c r="S23" i="16"/>
  <c r="X6" i="16"/>
  <c r="T24" i="16"/>
  <c r="R23" i="16"/>
  <c r="J14" i="11"/>
  <c r="K14" i="11" s="1"/>
  <c r="L14" i="11" s="1"/>
  <c r="M14" i="11" s="1"/>
  <c r="J15" i="11"/>
  <c r="K15" i="11" s="1"/>
  <c r="L15" i="11" s="1"/>
  <c r="M15" i="11" s="1"/>
  <c r="R8" i="10"/>
  <c r="J20" i="11"/>
  <c r="K20" i="11" s="1"/>
  <c r="L20" i="11" s="1"/>
  <c r="M20" i="11" s="1"/>
  <c r="J19" i="11"/>
  <c r="K19" i="11" s="1"/>
  <c r="L19" i="11" s="1"/>
  <c r="M19" i="11" s="1"/>
  <c r="B30" i="12"/>
  <c r="E24" i="11"/>
  <c r="R10" i="10"/>
  <c r="N17" i="10"/>
  <c r="O17" i="10" s="1"/>
  <c r="P17" i="10" s="1"/>
  <c r="Q17" i="10" s="1"/>
  <c r="N18" i="10"/>
  <c r="O18" i="10" s="1"/>
  <c r="P18" i="10" s="1"/>
  <c r="Q18" i="10" s="1"/>
  <c r="R34" i="10"/>
  <c r="R32" i="10"/>
  <c r="R33" i="10"/>
  <c r="L17" i="10"/>
  <c r="N14" i="10"/>
  <c r="O14" i="10" s="1"/>
  <c r="P14" i="10" s="1"/>
  <c r="Q14" i="10" s="1"/>
  <c r="N15" i="10"/>
  <c r="O15" i="10" s="1"/>
  <c r="P15" i="10" s="1"/>
  <c r="Q15" i="10" s="1"/>
  <c r="R11" i="10"/>
  <c r="R13" i="10"/>
  <c r="R12" i="10"/>
  <c r="T23" i="16" l="1"/>
  <c r="Y6" i="16"/>
  <c r="I24" i="11"/>
  <c r="H24" i="11"/>
  <c r="D14" i="12"/>
  <c r="E14" i="12" s="1"/>
  <c r="D9" i="12"/>
  <c r="E9" i="12" s="1"/>
  <c r="D24" i="12"/>
  <c r="E24" i="12" s="1"/>
  <c r="D4" i="12"/>
  <c r="E4" i="12" s="1"/>
  <c r="D19" i="12"/>
  <c r="E19" i="12" s="1"/>
  <c r="N19" i="11"/>
  <c r="N20" i="11"/>
  <c r="N21" i="11"/>
  <c r="N16" i="11"/>
  <c r="N14" i="11"/>
  <c r="N15" i="11"/>
  <c r="R14" i="10"/>
  <c r="R16" i="10"/>
  <c r="R15" i="10"/>
  <c r="R17" i="10"/>
  <c r="R19" i="10"/>
  <c r="R18" i="10"/>
  <c r="I9" i="12" l="1"/>
  <c r="H9" i="12"/>
  <c r="I19" i="12"/>
  <c r="H19" i="12"/>
  <c r="H14" i="12"/>
  <c r="I14" i="12"/>
  <c r="H4" i="12"/>
  <c r="I4" i="12"/>
  <c r="I24" i="12"/>
  <c r="H24" i="12"/>
  <c r="J25" i="11"/>
  <c r="K25" i="11" s="1"/>
  <c r="L25" i="11" s="1"/>
  <c r="M25" i="11" s="1"/>
  <c r="J24" i="11"/>
  <c r="K24" i="11" s="1"/>
  <c r="L24" i="11" s="1"/>
  <c r="M24" i="11" s="1"/>
  <c r="P4" i="5"/>
  <c r="P3" i="5"/>
  <c r="P2" i="5"/>
  <c r="M4" i="5"/>
  <c r="M3" i="5"/>
  <c r="M2" i="5"/>
  <c r="F14" i="9"/>
  <c r="G14" i="9" s="1"/>
  <c r="H14" i="9" s="1"/>
  <c r="F13" i="9"/>
  <c r="G13" i="9" s="1"/>
  <c r="H13" i="9" s="1"/>
  <c r="F12" i="9"/>
  <c r="G12" i="9" s="1"/>
  <c r="H12" i="9" s="1"/>
  <c r="F11" i="9"/>
  <c r="G11" i="9" s="1"/>
  <c r="H11" i="9" s="1"/>
  <c r="F10" i="9"/>
  <c r="G10" i="9" s="1"/>
  <c r="H10" i="9" s="1"/>
  <c r="F9" i="9"/>
  <c r="G9" i="9" s="1"/>
  <c r="H9" i="9" s="1"/>
  <c r="F8" i="9"/>
  <c r="G8" i="9" s="1"/>
  <c r="H8" i="9" s="1"/>
  <c r="F7" i="9"/>
  <c r="G7" i="9" s="1"/>
  <c r="H7" i="9" s="1"/>
  <c r="F6" i="9"/>
  <c r="G6" i="9" s="1"/>
  <c r="H6" i="9" s="1"/>
  <c r="F5" i="9"/>
  <c r="G5" i="9" s="1"/>
  <c r="H5" i="9" s="1"/>
  <c r="F4" i="9"/>
  <c r="G4" i="9" s="1"/>
  <c r="H4" i="9" s="1"/>
  <c r="F3" i="9"/>
  <c r="G3" i="9" s="1"/>
  <c r="H3" i="9" s="1"/>
  <c r="F2" i="9"/>
  <c r="G2" i="9" s="1"/>
  <c r="H2" i="9" s="1"/>
  <c r="F10" i="1"/>
  <c r="F11" i="1"/>
  <c r="F12" i="1"/>
  <c r="F13" i="1"/>
  <c r="F14" i="1"/>
  <c r="F8" i="1"/>
  <c r="F7" i="1"/>
  <c r="F6" i="1"/>
  <c r="F5" i="1"/>
  <c r="F4" i="1"/>
  <c r="F3" i="1"/>
  <c r="F2" i="1"/>
  <c r="S7" i="5" l="1"/>
  <c r="S6" i="5"/>
  <c r="S5" i="5"/>
  <c r="P6" i="12"/>
  <c r="P14" i="12"/>
  <c r="P20" i="12"/>
  <c r="P26" i="12"/>
  <c r="P9" i="11"/>
  <c r="P15" i="11"/>
  <c r="P21" i="11"/>
  <c r="P4" i="11"/>
  <c r="P11" i="12"/>
  <c r="P6" i="11"/>
  <c r="P9" i="12"/>
  <c r="P15" i="12"/>
  <c r="P21" i="12"/>
  <c r="P4" i="12"/>
  <c r="P10" i="11"/>
  <c r="P16" i="11"/>
  <c r="P24" i="11"/>
  <c r="P19" i="12"/>
  <c r="P14" i="11"/>
  <c r="P26" i="11"/>
  <c r="P10" i="12"/>
  <c r="P16" i="12"/>
  <c r="P24" i="12"/>
  <c r="P5" i="11"/>
  <c r="P11" i="11"/>
  <c r="P19" i="11"/>
  <c r="P25" i="11"/>
  <c r="P5" i="12"/>
  <c r="P25" i="12"/>
  <c r="P20" i="11"/>
  <c r="S9" i="5"/>
  <c r="S10" i="5"/>
  <c r="S8" i="5"/>
  <c r="J19" i="12"/>
  <c r="K19" i="12" s="1"/>
  <c r="L19" i="12" s="1"/>
  <c r="M19" i="12" s="1"/>
  <c r="J20" i="12"/>
  <c r="K20" i="12" s="1"/>
  <c r="L20" i="12" s="1"/>
  <c r="M20" i="12" s="1"/>
  <c r="P6" i="14"/>
  <c r="P14" i="14"/>
  <c r="P20" i="14"/>
  <c r="P11" i="14"/>
  <c r="P9" i="14"/>
  <c r="P15" i="14"/>
  <c r="P21" i="14"/>
  <c r="P19" i="14"/>
  <c r="P10" i="14"/>
  <c r="P16" i="14"/>
  <c r="P4" i="14"/>
  <c r="P5" i="14"/>
  <c r="J5" i="12"/>
  <c r="K5" i="12" s="1"/>
  <c r="L5" i="12" s="1"/>
  <c r="M5" i="12" s="1"/>
  <c r="J4" i="12"/>
  <c r="K4" i="12" s="1"/>
  <c r="L4" i="12" s="1"/>
  <c r="M4" i="12" s="1"/>
  <c r="J15" i="12"/>
  <c r="K15" i="12" s="1"/>
  <c r="L15" i="12" s="1"/>
  <c r="M15" i="12" s="1"/>
  <c r="J14" i="12"/>
  <c r="K14" i="12" s="1"/>
  <c r="L14" i="12" s="1"/>
  <c r="M14" i="12" s="1"/>
  <c r="N25" i="11"/>
  <c r="N24" i="11"/>
  <c r="N26" i="11"/>
  <c r="S3" i="5"/>
  <c r="S4" i="5"/>
  <c r="S2" i="5"/>
  <c r="J25" i="12"/>
  <c r="K25" i="12" s="1"/>
  <c r="L25" i="12" s="1"/>
  <c r="M25" i="12" s="1"/>
  <c r="J24" i="12"/>
  <c r="K24" i="12" s="1"/>
  <c r="L24" i="12" s="1"/>
  <c r="M24" i="12" s="1"/>
  <c r="J10" i="12"/>
  <c r="K10" i="12" s="1"/>
  <c r="L10" i="12" s="1"/>
  <c r="M10" i="12" s="1"/>
  <c r="J9" i="12"/>
  <c r="K9" i="12" s="1"/>
  <c r="L9" i="12" s="1"/>
  <c r="M9" i="12" s="1"/>
  <c r="T32" i="10"/>
  <c r="T34" i="10"/>
  <c r="T33" i="10"/>
  <c r="T13" i="10"/>
  <c r="T12" i="10"/>
  <c r="T11" i="10"/>
  <c r="T18" i="10"/>
  <c r="T19" i="10"/>
  <c r="T17" i="10"/>
  <c r="T21" i="10"/>
  <c r="T20" i="10"/>
  <c r="T22" i="10"/>
  <c r="T29" i="10"/>
  <c r="T31" i="10"/>
  <c r="T30" i="10"/>
  <c r="T5" i="10"/>
  <c r="T6" i="10"/>
  <c r="T7" i="10"/>
  <c r="T25" i="10"/>
  <c r="T24" i="10"/>
  <c r="T23" i="10"/>
  <c r="T10" i="10"/>
  <c r="T9" i="10"/>
  <c r="T8" i="10"/>
  <c r="T15" i="10"/>
  <c r="T14" i="10"/>
  <c r="T16" i="10"/>
  <c r="T2" i="10"/>
  <c r="T4" i="10"/>
  <c r="T3" i="10"/>
  <c r="T26" i="10"/>
  <c r="T27" i="10"/>
  <c r="T28" i="10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2" i="1"/>
  <c r="G2" i="1" s="1"/>
  <c r="O21" i="14" l="1"/>
  <c r="Q21" i="14" s="1"/>
  <c r="O11" i="14"/>
  <c r="Q11" i="14" s="1"/>
  <c r="O20" i="14"/>
  <c r="Q20" i="14" s="1"/>
  <c r="O14" i="14"/>
  <c r="R15" i="14" s="1"/>
  <c r="R14" i="14" s="1"/>
  <c r="O10" i="14"/>
  <c r="Q10" i="14" s="1"/>
  <c r="O4" i="14"/>
  <c r="O19" i="14"/>
  <c r="R20" i="14" s="1"/>
  <c r="R19" i="14" s="1"/>
  <c r="O15" i="14"/>
  <c r="Q15" i="14" s="1"/>
  <c r="O9" i="14"/>
  <c r="R10" i="14" s="1"/>
  <c r="R9" i="14" s="1"/>
  <c r="O5" i="14"/>
  <c r="Q5" i="14" s="1"/>
  <c r="O16" i="14"/>
  <c r="Q16" i="14" s="1"/>
  <c r="O6" i="14"/>
  <c r="Q6" i="14" s="1"/>
  <c r="N4" i="12"/>
  <c r="N6" i="12"/>
  <c r="N5" i="12"/>
  <c r="N25" i="12"/>
  <c r="S25" i="12" s="1"/>
  <c r="S24" i="12" s="1"/>
  <c r="N26" i="12"/>
  <c r="N24" i="12"/>
  <c r="N15" i="12"/>
  <c r="N16" i="12"/>
  <c r="N14" i="12"/>
  <c r="N10" i="12"/>
  <c r="N9" i="12"/>
  <c r="N11" i="12"/>
  <c r="S10" i="12" s="1"/>
  <c r="S9" i="12" s="1"/>
  <c r="N19" i="12"/>
  <c r="N20" i="12"/>
  <c r="N21" i="12"/>
  <c r="S20" i="12" s="1"/>
  <c r="S19" i="12" s="1"/>
  <c r="Q19" i="14"/>
  <c r="S20" i="14"/>
  <c r="S10" i="14"/>
  <c r="Q9" i="14"/>
  <c r="Q4" i="14"/>
  <c r="S5" i="14"/>
  <c r="S4" i="14" s="1"/>
  <c r="S15" i="14"/>
  <c r="S14" i="14" s="1"/>
  <c r="S25" i="11"/>
  <c r="S24" i="11" s="1"/>
  <c r="S5" i="12"/>
  <c r="S4" i="12" s="1"/>
  <c r="S15" i="12"/>
  <c r="S14" i="12" s="1"/>
  <c r="S10" i="11"/>
  <c r="S9" i="11" s="1"/>
  <c r="S20" i="11"/>
  <c r="S19" i="11" s="1"/>
  <c r="S15" i="11"/>
  <c r="S14" i="11" s="1"/>
  <c r="S5" i="11"/>
  <c r="S4" i="11" s="1"/>
  <c r="O20" i="12"/>
  <c r="Q20" i="12" s="1"/>
  <c r="O14" i="12"/>
  <c r="O11" i="12"/>
  <c r="Q11" i="12" s="1"/>
  <c r="O25" i="11"/>
  <c r="Q25" i="11" s="1"/>
  <c r="O19" i="11"/>
  <c r="O16" i="11"/>
  <c r="Q16" i="11" s="1"/>
  <c r="O10" i="11"/>
  <c r="Q10" i="11" s="1"/>
  <c r="O24" i="12"/>
  <c r="O10" i="12"/>
  <c r="Q10" i="12" s="1"/>
  <c r="O26" i="11"/>
  <c r="Q26" i="11" s="1"/>
  <c r="O15" i="11"/>
  <c r="Q15" i="11" s="1"/>
  <c r="O11" i="11"/>
  <c r="Q11" i="11" s="1"/>
  <c r="O19" i="12"/>
  <c r="O24" i="11"/>
  <c r="O9" i="11"/>
  <c r="O26" i="12"/>
  <c r="Q26" i="12" s="1"/>
  <c r="O15" i="12"/>
  <c r="Q15" i="12" s="1"/>
  <c r="O9" i="12"/>
  <c r="O6" i="12"/>
  <c r="Q6" i="12" s="1"/>
  <c r="O20" i="11"/>
  <c r="Q20" i="11" s="1"/>
  <c r="O14" i="11"/>
  <c r="O6" i="11"/>
  <c r="Q6" i="11" s="1"/>
  <c r="O21" i="12"/>
  <c r="Q21" i="12" s="1"/>
  <c r="O4" i="12"/>
  <c r="O4" i="11"/>
  <c r="O25" i="12"/>
  <c r="O16" i="12"/>
  <c r="Q16" i="12" s="1"/>
  <c r="O5" i="12"/>
  <c r="Q5" i="12" s="1"/>
  <c r="O21" i="11"/>
  <c r="Q21" i="11" s="1"/>
  <c r="O5" i="11"/>
  <c r="Q5" i="11" s="1"/>
  <c r="S19" i="10"/>
  <c r="U19" i="10" s="1"/>
  <c r="S18" i="10"/>
  <c r="U18" i="10" s="1"/>
  <c r="S17" i="10"/>
  <c r="S31" i="10"/>
  <c r="U31" i="10" s="1"/>
  <c r="S30" i="10"/>
  <c r="U30" i="10" s="1"/>
  <c r="S29" i="10"/>
  <c r="U29" i="10" s="1"/>
  <c r="S8" i="10"/>
  <c r="S10" i="10"/>
  <c r="U10" i="10" s="1"/>
  <c r="S9" i="10"/>
  <c r="U9" i="10" s="1"/>
  <c r="S4" i="10"/>
  <c r="U4" i="10" s="1"/>
  <c r="S2" i="10"/>
  <c r="S3" i="10"/>
  <c r="U3" i="10" s="1"/>
  <c r="S23" i="10"/>
  <c r="U23" i="10" s="1"/>
  <c r="S24" i="10"/>
  <c r="U24" i="10" s="1"/>
  <c r="S25" i="10"/>
  <c r="U25" i="10" s="1"/>
  <c r="S7" i="10"/>
  <c r="U7" i="10" s="1"/>
  <c r="S6" i="10"/>
  <c r="U6" i="10" s="1"/>
  <c r="S5" i="10"/>
  <c r="U5" i="10" s="1"/>
  <c r="S34" i="10"/>
  <c r="U34" i="10" s="1"/>
  <c r="S33" i="10"/>
  <c r="U33" i="10" s="1"/>
  <c r="S32" i="10"/>
  <c r="U32" i="10" s="1"/>
  <c r="S22" i="10"/>
  <c r="U22" i="10" s="1"/>
  <c r="S21" i="10"/>
  <c r="U21" i="10" s="1"/>
  <c r="S20" i="10"/>
  <c r="U20" i="10" s="1"/>
  <c r="S16" i="10"/>
  <c r="U16" i="10" s="1"/>
  <c r="S15" i="10"/>
  <c r="U15" i="10" s="1"/>
  <c r="S14" i="10"/>
  <c r="U13" i="10"/>
  <c r="S12" i="10"/>
  <c r="U12" i="10" s="1"/>
  <c r="S11" i="10"/>
  <c r="U11" i="10" s="1"/>
  <c r="S13" i="10"/>
  <c r="S28" i="10"/>
  <c r="U28" i="10" s="1"/>
  <c r="S26" i="10"/>
  <c r="S27" i="10"/>
  <c r="U27" i="10" s="1"/>
  <c r="W12" i="10"/>
  <c r="W9" i="10"/>
  <c r="W21" i="10"/>
  <c r="W27" i="10"/>
  <c r="W24" i="10"/>
  <c r="W6" i="10"/>
  <c r="W15" i="10"/>
  <c r="W33" i="10"/>
  <c r="U2" i="10"/>
  <c r="W3" i="10"/>
  <c r="U17" i="10"/>
  <c r="W18" i="10"/>
  <c r="W30" i="10"/>
  <c r="R4" i="5"/>
  <c r="R3" i="5"/>
  <c r="R2" i="5"/>
  <c r="R9" i="5"/>
  <c r="R8" i="5"/>
  <c r="R10" i="5"/>
  <c r="R6" i="5"/>
  <c r="R7" i="5"/>
  <c r="R5" i="5"/>
  <c r="Q25" i="12" l="1"/>
  <c r="Q14" i="14"/>
  <c r="R5" i="14"/>
  <c r="R4" i="14" s="1"/>
  <c r="T15" i="14"/>
  <c r="T14" i="14" s="1"/>
  <c r="S9" i="14"/>
  <c r="T10" i="14"/>
  <c r="T9" i="14" s="1"/>
  <c r="S19" i="14"/>
  <c r="T20" i="14"/>
  <c r="T19" i="14" s="1"/>
  <c r="V27" i="10"/>
  <c r="V26" i="10" s="1"/>
  <c r="Q4" i="12"/>
  <c r="R5" i="12"/>
  <c r="Q9" i="11"/>
  <c r="R10" i="11"/>
  <c r="V21" i="10"/>
  <c r="V20" i="10" s="1"/>
  <c r="Q9" i="12"/>
  <c r="R10" i="12"/>
  <c r="R25" i="11"/>
  <c r="Q24" i="11"/>
  <c r="Q14" i="12"/>
  <c r="R15" i="12"/>
  <c r="Q24" i="12"/>
  <c r="R25" i="12"/>
  <c r="V15" i="10"/>
  <c r="V14" i="10" s="1"/>
  <c r="V18" i="10"/>
  <c r="V17" i="10" s="1"/>
  <c r="Q4" i="11"/>
  <c r="R5" i="11"/>
  <c r="Q14" i="11"/>
  <c r="R15" i="11"/>
  <c r="Q19" i="12"/>
  <c r="R20" i="12"/>
  <c r="Q19" i="11"/>
  <c r="R20" i="11"/>
  <c r="V3" i="10"/>
  <c r="X3" i="10" s="1"/>
  <c r="X2" i="10" s="1"/>
  <c r="V9" i="10"/>
  <c r="V8" i="10" s="1"/>
  <c r="U14" i="10"/>
  <c r="U26" i="10"/>
  <c r="U8" i="10"/>
  <c r="V6" i="10"/>
  <c r="V5" i="10" s="1"/>
  <c r="V30" i="10"/>
  <c r="V29" i="10" s="1"/>
  <c r="V12" i="10"/>
  <c r="V11" i="10" s="1"/>
  <c r="V33" i="10"/>
  <c r="V32" i="10" s="1"/>
  <c r="V24" i="10"/>
  <c r="V23" i="10" s="1"/>
  <c r="X27" i="10"/>
  <c r="X26" i="10" s="1"/>
  <c r="W26" i="10"/>
  <c r="W14" i="10"/>
  <c r="W20" i="10"/>
  <c r="X21" i="10"/>
  <c r="X20" i="10" s="1"/>
  <c r="W36" i="10"/>
  <c r="W2" i="10"/>
  <c r="W32" i="10"/>
  <c r="W29" i="10"/>
  <c r="W17" i="10"/>
  <c r="W5" i="10"/>
  <c r="W8" i="10"/>
  <c r="W11" i="10"/>
  <c r="W23" i="10"/>
  <c r="L3" i="5"/>
  <c r="N3" i="5"/>
  <c r="O3" i="5"/>
  <c r="L4" i="5"/>
  <c r="N4" i="5"/>
  <c r="O4" i="5"/>
  <c r="N2" i="5"/>
  <c r="O2" i="5"/>
  <c r="L2" i="5"/>
  <c r="T5" i="14" l="1"/>
  <c r="T4" i="14" s="1"/>
  <c r="X24" i="10"/>
  <c r="X23" i="10" s="1"/>
  <c r="X6" i="10"/>
  <c r="X5" i="10" s="1"/>
  <c r="X9" i="10"/>
  <c r="X8" i="10" s="1"/>
  <c r="X18" i="10"/>
  <c r="X17" i="10" s="1"/>
  <c r="X33" i="10"/>
  <c r="X32" i="10" s="1"/>
  <c r="X12" i="10"/>
  <c r="X11" i="10" s="1"/>
  <c r="X30" i="10"/>
  <c r="X29" i="10" s="1"/>
  <c r="X15" i="10"/>
  <c r="X14" i="10" s="1"/>
  <c r="T25" i="11"/>
  <c r="T24" i="11" s="1"/>
  <c r="R24" i="11"/>
  <c r="T10" i="11"/>
  <c r="T9" i="11" s="1"/>
  <c r="R9" i="11"/>
  <c r="U36" i="10"/>
  <c r="R19" i="11"/>
  <c r="T20" i="11"/>
  <c r="T19" i="11" s="1"/>
  <c r="T15" i="11"/>
  <c r="T14" i="11" s="1"/>
  <c r="R14" i="11"/>
  <c r="T15" i="12"/>
  <c r="T14" i="12" s="1"/>
  <c r="R14" i="12"/>
  <c r="T10" i="12"/>
  <c r="T9" i="12" s="1"/>
  <c r="R9" i="12"/>
  <c r="R4" i="12"/>
  <c r="T5" i="12"/>
  <c r="T4" i="12" s="1"/>
  <c r="T20" i="12"/>
  <c r="T19" i="12" s="1"/>
  <c r="R19" i="12"/>
  <c r="T5" i="11"/>
  <c r="T4" i="11" s="1"/>
  <c r="R4" i="11"/>
  <c r="R24" i="12"/>
  <c r="T25" i="12"/>
  <c r="T24" i="12" s="1"/>
  <c r="V36" i="10"/>
  <c r="V37" i="10" s="1"/>
  <c r="V2" i="10"/>
  <c r="W37" i="10"/>
  <c r="J4" i="5"/>
  <c r="J3" i="5"/>
  <c r="J2" i="5"/>
  <c r="Q2" i="5" s="1"/>
  <c r="X36" i="10" l="1"/>
  <c r="X37" i="10" s="1"/>
  <c r="Q3" i="5"/>
  <c r="T3" i="5" s="1"/>
  <c r="Q4" i="5"/>
  <c r="T4" i="5" s="1"/>
  <c r="L6" i="5"/>
  <c r="H5" i="5"/>
  <c r="L5" i="5" s="1"/>
  <c r="T2" i="5" l="1"/>
  <c r="V3" i="5"/>
  <c r="U3" i="5"/>
  <c r="M6" i="5"/>
  <c r="N6" i="5" s="1"/>
  <c r="O6" i="5" s="1"/>
  <c r="P6" i="5" s="1"/>
  <c r="M5" i="5"/>
  <c r="N5" i="5" s="1"/>
  <c r="J8" i="5"/>
  <c r="L9" i="5"/>
  <c r="J5" i="5"/>
  <c r="K5" i="5" s="1"/>
  <c r="W3" i="5" l="1"/>
  <c r="W2" i="5" s="1"/>
  <c r="U2" i="5"/>
  <c r="V2" i="5"/>
  <c r="O5" i="5"/>
  <c r="P5" i="5" s="1"/>
  <c r="H8" i="5"/>
  <c r="Q7" i="5" l="1"/>
  <c r="T7" i="5" s="1"/>
  <c r="Q6" i="5"/>
  <c r="T6" i="5" s="1"/>
  <c r="Q5" i="5"/>
  <c r="L8" i="5"/>
  <c r="K8" i="5"/>
  <c r="T5" i="5" l="1"/>
  <c r="V6" i="5"/>
  <c r="U6" i="5"/>
  <c r="M9" i="5"/>
  <c r="M8" i="5"/>
  <c r="U5" i="5" l="1"/>
  <c r="V5" i="5"/>
  <c r="N8" i="5"/>
  <c r="N9" i="5"/>
  <c r="W6" i="5"/>
  <c r="W5" i="5" s="1"/>
  <c r="O8" i="5"/>
  <c r="O9" i="5" l="1"/>
  <c r="P8" i="5"/>
  <c r="Q10" i="5" s="1"/>
  <c r="Q9" i="5" l="1"/>
  <c r="T9" i="5" s="1"/>
  <c r="Q8" i="5"/>
  <c r="V9" i="5" s="1"/>
  <c r="V12" i="5" s="1"/>
  <c r="T10" i="5"/>
  <c r="P9" i="5"/>
  <c r="T8" i="5" l="1"/>
  <c r="U9" i="5"/>
  <c r="U12" i="5" s="1"/>
  <c r="U13" i="5" s="1"/>
  <c r="V8" i="5"/>
  <c r="W9" i="5"/>
  <c r="U8" i="5" l="1"/>
  <c r="W8" i="5"/>
  <c r="V13" i="5" l="1"/>
  <c r="W12" i="5"/>
  <c r="W13" i="5" s="1"/>
</calcChain>
</file>

<file path=xl/sharedStrings.xml><?xml version="1.0" encoding="utf-8"?>
<sst xmlns="http://schemas.openxmlformats.org/spreadsheetml/2006/main" count="761" uniqueCount="163">
  <si>
    <t>Sum</t>
  </si>
  <si>
    <t>Confidence Rating</t>
  </si>
  <si>
    <t>Final Weighted Measure</t>
  </si>
  <si>
    <t>Switch (4,B)</t>
  </si>
  <si>
    <t>Switch (2,4)</t>
  </si>
  <si>
    <t>Switch (1,2)</t>
  </si>
  <si>
    <t>Spoofability</t>
  </si>
  <si>
    <t>Measurability</t>
  </si>
  <si>
    <t>Variablitiy</t>
  </si>
  <si>
    <t>Metric</t>
  </si>
  <si>
    <t>Route Verification</t>
  </si>
  <si>
    <t>Packet Size</t>
  </si>
  <si>
    <t>Flow Size</t>
  </si>
  <si>
    <t>when measured</t>
  </si>
  <si>
    <t xml:space="preserve">per flow / per run </t>
  </si>
  <si>
    <t>Total Values</t>
  </si>
  <si>
    <t>x*3</t>
  </si>
  <si>
    <t>Packet Lapse Time</t>
  </si>
  <si>
    <t>Flow Lapse Time</t>
  </si>
  <si>
    <t>Packet Duration</t>
  </si>
  <si>
    <t>Flow Duration</t>
  </si>
  <si>
    <t>Hop Count</t>
  </si>
  <si>
    <t>Device Location</t>
  </si>
  <si>
    <t>per device / per run</t>
  </si>
  <si>
    <t>Device Characteristics</t>
  </si>
  <si>
    <t>Packet Arrival Time to Device</t>
  </si>
  <si>
    <t>Average of Packets per Flow</t>
  </si>
  <si>
    <t>Growth of Single Flows</t>
  </si>
  <si>
    <t>Packet Timestamp Comparison</t>
  </si>
  <si>
    <t>Raw Score</t>
  </si>
  <si>
    <t>Run</t>
  </si>
  <si>
    <t>Pre</t>
  </si>
  <si>
    <t>Actual</t>
  </si>
  <si>
    <t>Post</t>
  </si>
  <si>
    <t>Median Bytes per Flow</t>
  </si>
  <si>
    <t xml:space="preserve">Standard Deviation / Average / Median </t>
  </si>
  <si>
    <t>Number of Measurements</t>
  </si>
  <si>
    <t>Flow</t>
  </si>
  <si>
    <t>Ratio of Deviation</t>
  </si>
  <si>
    <t>Raw Score Factors</t>
  </si>
  <si>
    <t>Scoring Sum</t>
  </si>
  <si>
    <t>Standard Deviation (in case of zero)</t>
  </si>
  <si>
    <t>Vmware NSX</t>
  </si>
  <si>
    <t>OpenVSwtich</t>
  </si>
  <si>
    <t>Cisco Nexus 9000</t>
  </si>
  <si>
    <t>Cisco Nexus 9516</t>
  </si>
  <si>
    <t>Cisco Nexus 9508</t>
  </si>
  <si>
    <t>Cisco Nexus 7000</t>
  </si>
  <si>
    <t>HP ProCurve 5400</t>
  </si>
  <si>
    <t>38.891686° -104.801946°</t>
  </si>
  <si>
    <t>HP FlexFabric 12900</t>
  </si>
  <si>
    <t>HP 8200 zl</t>
  </si>
  <si>
    <t>Juniper OCX1100</t>
  </si>
  <si>
    <t>x</t>
  </si>
  <si>
    <t>Total Confidence Rating</t>
  </si>
  <si>
    <t xml:space="preserve">Legend </t>
  </si>
  <si>
    <t>Impact</t>
  </si>
  <si>
    <t>ConfImpact</t>
  </si>
  <si>
    <t>IntegImpact</t>
  </si>
  <si>
    <t>AvailImpact</t>
  </si>
  <si>
    <t>none</t>
  </si>
  <si>
    <t>partial</t>
  </si>
  <si>
    <t>complete</t>
  </si>
  <si>
    <t>assessed</t>
  </si>
  <si>
    <t>SMV</t>
  </si>
  <si>
    <t>BaseScore</t>
  </si>
  <si>
    <t>EnvirScore</t>
  </si>
  <si>
    <t>Range - Lowest Dev.</t>
  </si>
  <si>
    <t>Range - Low Dev.</t>
  </si>
  <si>
    <t>Range - Partial Dev.</t>
  </si>
  <si>
    <t>Range - High Dev.</t>
  </si>
  <si>
    <t>0.1 - 3.9 = Highest Confidence</t>
  </si>
  <si>
    <t>4.0 - 6.9 = High Confidence</t>
  </si>
  <si>
    <t>7.0 - 8.9 = Moderate Confidence</t>
  </si>
  <si>
    <t>9.0 - 10.0 = Low Confidence</t>
  </si>
  <si>
    <t>BaseScore Confidence Rating</t>
  </si>
  <si>
    <t>EnvirScore Confidence Rating</t>
  </si>
  <si>
    <t>Switch (2,3)</t>
  </si>
  <si>
    <t>Switch (3,4)</t>
  </si>
  <si>
    <t>Weighted Confidence Rating</t>
  </si>
  <si>
    <t>Overall Confidence Rating</t>
  </si>
  <si>
    <t>5mb file</t>
  </si>
  <si>
    <t>Transfer Rate</t>
  </si>
  <si>
    <t>test 1</t>
  </si>
  <si>
    <t>test 2</t>
  </si>
  <si>
    <t>test 3</t>
  </si>
  <si>
    <t>test 4</t>
  </si>
  <si>
    <t>test 5</t>
  </si>
  <si>
    <t>test 2 - applied delay to 2nd flow</t>
  </si>
  <si>
    <t>test 1 - applied delay to 1st flow</t>
  </si>
  <si>
    <t>test 3 - applied delay to 3rd flow</t>
  </si>
  <si>
    <t>test 4 - applied delay to 1st &amp; 2nd flow</t>
  </si>
  <si>
    <t>test 5 - applied delay to 2nd &amp; 3rd flow</t>
  </si>
  <si>
    <t>elapsed time to send 5mb file(5242880bytes)</t>
  </si>
  <si>
    <t>test 3 - with 100ms delay 1st flow</t>
  </si>
  <si>
    <t>test 4 - with 100ms delay 2nd &amp; 3rd</t>
  </si>
  <si>
    <t># of Measures</t>
  </si>
  <si>
    <t>Mod.BaseScore</t>
  </si>
  <si>
    <t>Mod.MQ</t>
  </si>
  <si>
    <t>CollateralDamagePotential</t>
  </si>
  <si>
    <t>low</t>
  </si>
  <si>
    <t>low-med</t>
  </si>
  <si>
    <t>med-high</t>
  </si>
  <si>
    <t>high</t>
  </si>
  <si>
    <t>undefined</t>
  </si>
  <si>
    <t>NetworkComplexity</t>
  </si>
  <si>
    <t>Base Dev</t>
  </si>
  <si>
    <t>Duration</t>
  </si>
  <si>
    <t>Base Score</t>
  </si>
  <si>
    <t>Envir Score</t>
  </si>
  <si>
    <t>Base Score Conf. Rating</t>
  </si>
  <si>
    <t>Envir Score Conf. Rating</t>
  </si>
  <si>
    <t>Confid. Rating</t>
  </si>
  <si>
    <t>Graph Data</t>
  </si>
  <si>
    <t>ES</t>
  </si>
  <si>
    <t>BS</t>
  </si>
  <si>
    <t>CR</t>
  </si>
  <si>
    <t>Delay</t>
  </si>
  <si>
    <t>Ave</t>
  </si>
  <si>
    <t>Packet/Flow Duration</t>
  </si>
  <si>
    <t>configuration</t>
  </si>
  <si>
    <t>Topology</t>
  </si>
  <si>
    <t>10MB bandwidth</t>
  </si>
  <si>
    <t>4x8 topo</t>
  </si>
  <si>
    <t>linear</t>
  </si>
  <si>
    <t>Host h1, h2 linked to s1, s1 linked to s2, s2 linked to s3, s3 linked to s4, Host h3, h4 linked to s4</t>
  </si>
  <si>
    <t>test fixture</t>
  </si>
  <si>
    <t>Host 1, h1 transfers to Host 4</t>
  </si>
  <si>
    <t>topology  h1-s1-s2-s3-s4-h4</t>
  </si>
  <si>
    <t xml:space="preserve">h4 runs the netcat server </t>
  </si>
  <si>
    <t>nc -lp 8888 &gt; output.zip</t>
  </si>
  <si>
    <t xml:space="preserve">h1 times and transfers file </t>
  </si>
  <si>
    <t>nc -n 10.0.0.4 8888 &lt; 5MB.zip</t>
  </si>
  <si>
    <t>Single switch delay, S2.</t>
  </si>
  <si>
    <t>test1</t>
  </si>
  <si>
    <t>ave</t>
  </si>
  <si>
    <t>diff</t>
  </si>
  <si>
    <t>elapsed time</t>
  </si>
  <si>
    <t>50ms delay</t>
  </si>
  <si>
    <t>100ms delay</t>
  </si>
  <si>
    <t>200ms delay</t>
  </si>
  <si>
    <t>10mb file</t>
  </si>
  <si>
    <t>20mb file</t>
  </si>
  <si>
    <t>50mb file</t>
  </si>
  <si>
    <t>elapsed time to send 5mb file</t>
  </si>
  <si>
    <t>test 3 - with 50ms delay</t>
  </si>
  <si>
    <t>test 4 - with 100ms delay</t>
  </si>
  <si>
    <t>test 4 - with 200ms delay</t>
  </si>
  <si>
    <t>elapsed time to send 10mb file</t>
  </si>
  <si>
    <t>Range - Ext Dev.</t>
  </si>
  <si>
    <t>elapsed time to send 50mb file</t>
  </si>
  <si>
    <t>elapsed time to send 20mb file</t>
  </si>
  <si>
    <t>Line / Size</t>
  </si>
  <si>
    <t>Time (ms)</t>
  </si>
  <si>
    <t>Conf. Score (0-10)</t>
  </si>
  <si>
    <t>5mb</t>
  </si>
  <si>
    <t>10mb</t>
  </si>
  <si>
    <t>20mb</t>
  </si>
  <si>
    <t>50mb</t>
  </si>
  <si>
    <t>Sum of Conf. Score (0-10)</t>
  </si>
  <si>
    <t>Sum of Time (ms)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</si>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</sst>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wrapText="1"/>
    </xf>
    <xf numFmtId="9" fontId="0" fillId="0" borderId="0" xfId="0" applyNumberFormat="1"/>
    <xf numFmtId="0" fontId="4" fillId="0" borderId="0" xfId="0" applyFont="1"/>
    <xf numFmtId="0" fontId="3" fillId="0" borderId="0" xfId="0" applyFont="1" applyAlignment="1">
      <alignment shrinkToFit="1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7" borderId="0" xfId="0" applyFill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shrinkToFit="1"/>
    </xf>
    <xf numFmtId="0" fontId="0" fillId="0" borderId="0" xfId="0" applyFill="1"/>
    <xf numFmtId="0" fontId="1" fillId="8" borderId="0" xfId="0" applyFont="1" applyFill="1" applyAlignment="1">
      <alignment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0" fillId="9" borderId="0" xfId="0" applyFill="1"/>
    <xf numFmtId="2" fontId="0" fillId="0" borderId="0" xfId="0" applyNumberFormat="1"/>
    <xf numFmtId="2" fontId="0" fillId="7" borderId="0" xfId="0" applyNumberFormat="1" applyFill="1"/>
    <xf numFmtId="0" fontId="1" fillId="0" borderId="0" xfId="0" applyFont="1" applyFill="1" applyAlignment="1">
      <alignment vertical="center" wrapText="1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shrinkToFit="1"/>
    </xf>
    <xf numFmtId="164" fontId="0" fillId="0" borderId="0" xfId="0" applyNumberFormat="1"/>
    <xf numFmtId="164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8" fillId="0" borderId="0" xfId="0" applyFont="1"/>
    <xf numFmtId="165" fontId="0" fillId="0" borderId="0" xfId="0" applyNumberFormat="1" applyFill="1"/>
    <xf numFmtId="165" fontId="0" fillId="7" borderId="0" xfId="0" applyNumberFormat="1" applyFill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7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[CA_CVSS_3Mar16_Test.xlsx]Sheet7!PivotTable4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4"/>
                <c:pt idx="0">
                  <c:v>10mb</c:v>
                </c:pt>
                <c:pt idx="1">
                  <c:v>20mb</c:v>
                </c:pt>
                <c:pt idx="2">
                  <c:v>50mb</c:v>
                </c:pt>
                <c:pt idx="3">
                  <c:v>5mb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4"/>
                <c:pt idx="0">
                  <c:v>35.106000000000002</c:v>
                </c:pt>
                <c:pt idx="1">
                  <c:v>70.221999999999994</c:v>
                </c:pt>
                <c:pt idx="2">
                  <c:v>175.529</c:v>
                </c:pt>
                <c:pt idx="3">
                  <c:v>17.591000000000001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Conf. Score (0-10)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4"/>
                <c:pt idx="0">
                  <c:v>10mb</c:v>
                </c:pt>
                <c:pt idx="1">
                  <c:v>20mb</c:v>
                </c:pt>
                <c:pt idx="2">
                  <c:v>50mb</c:v>
                </c:pt>
                <c:pt idx="3">
                  <c:v>5mb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4"/>
                <c:pt idx="0">
                  <c:v>29.643624994709999</c:v>
                </c:pt>
                <c:pt idx="1">
                  <c:v>28.976958328043334</c:v>
                </c:pt>
                <c:pt idx="2">
                  <c:v>28.393624994710002</c:v>
                </c:pt>
                <c:pt idx="3">
                  <c:v>29.726958328043334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95176"/>
        <c:axId val="621295960"/>
      </c:barChart>
      <c:catAx>
        <c:axId val="62129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95960"/>
        <c:crosses val="autoZero"/>
        <c:auto val="1"/>
        <c:lblAlgn val="ctr"/>
        <c:lblOffset val="100"/>
        <c:noMultiLvlLbl val="0"/>
      </c:catAx>
      <c:valAx>
        <c:axId val="6212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9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'Graph Data'!$G$1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Data'!$F$1:$F$5</c15:sqref>
                  </c15:fullRef>
                </c:ext>
              </c:extLst>
              <c:f>'Graph Data'!$F$2:$F$5</c:f>
              <c:strCache>
                <c:ptCount val="4"/>
                <c:pt idx="0">
                  <c:v>5.41091</c:v>
                </c:pt>
                <c:pt idx="1">
                  <c:v>7.66091</c:v>
                </c:pt>
                <c:pt idx="2">
                  <c:v>8.32757</c:v>
                </c:pt>
                <c:pt idx="3">
                  <c:v>8.32757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Data'!$G$2:$G$5</c15:sqref>
                  </c15:fullRef>
                </c:ext>
              </c:extLst>
              <c:f>'Graph Data'!$G$3:$G$5</c:f>
              <c:numCache>
                <c:formatCode>0.00000</c:formatCode>
                <c:ptCount val="3"/>
                <c:pt idx="0">
                  <c:v>4.3979999999999997</c:v>
                </c:pt>
                <c:pt idx="1">
                  <c:v>4.4020000000000001</c:v>
                </c:pt>
                <c:pt idx="2">
                  <c:v>4.4020000000000001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0888"/>
        <c:axId val="63122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Data'!$F$1</c15:sqref>
                        </c15:formulaRef>
                      </c:ext>
                    </c:extLst>
                    <c:strCache>
                      <c:ptCount val="1"/>
                      <c:pt idx="0">
                        <c:v>Conf. Score (0-10)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'Graph Data'!$F$1:$F$5</c15:sqref>
                        </c15:fullRef>
                        <c15:formulaRef>
                          <c15:sqref>'Graph Data'!$F$2:$F$5</c15:sqref>
                        </c15:formulaRef>
                      </c:ext>
                    </c:extLst>
                    <c:strCache>
                      <c:ptCount val="4"/>
                      <c:pt idx="0">
                        <c:v>5.41091</c:v>
                      </c:pt>
                      <c:pt idx="1">
                        <c:v>7.66091</c:v>
                      </c:pt>
                      <c:pt idx="2">
                        <c:v>8.32757</c:v>
                      </c:pt>
                      <c:pt idx="3">
                        <c:v>8.32757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 Data'!$F$2:$F$5</c15:sqref>
                        </c15:fullRef>
                        <c15:formulaRef>
                          <c15:sqref>'Graph Data'!$F$3:$F$5</c15:sqref>
                        </c15:formulaRef>
                      </c:ext>
                    </c:extLst>
                    <c:numCache>
                      <c:formatCode>0.00000</c:formatCode>
                      <c:ptCount val="3"/>
                      <c:pt idx="0">
                        <c:v>7.6609062486775006</c:v>
                      </c:pt>
                      <c:pt idx="1">
                        <c:v>8.3275729153441667</c:v>
                      </c:pt>
                      <c:pt idx="2">
                        <c:v>8.3275729153441667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12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3632"/>
        <c:crosses val="autoZero"/>
        <c:auto val="1"/>
        <c:lblAlgn val="ctr"/>
        <c:lblOffset val="100"/>
        <c:noMultiLvlLbl val="0"/>
      </c:catAx>
      <c:valAx>
        <c:axId val="631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F20" horiz="1" inc="27" max="66" page="10" val="26"/>
</file>

<file path=xl/ctrlProps/ctrlProp2.xml><?xml version="1.0" encoding="utf-8"?>
<formControlPr xmlns="http://schemas.microsoft.com/office/spreadsheetml/2009/9/main" objectType="Scroll" dx="22" fmlaLink="F20" horiz="1" inc="27" max="66" page="10" val="26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18</xdr:row>
          <xdr:rowOff>171450</xdr:rowOff>
        </xdr:from>
        <xdr:to>
          <xdr:col>7</xdr:col>
          <xdr:colOff>190500</xdr:colOff>
          <xdr:row>19</xdr:row>
          <xdr:rowOff>180975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9525</xdr:rowOff>
        </xdr:from>
        <xdr:to>
          <xdr:col>6</xdr:col>
          <xdr:colOff>152400</xdr:colOff>
          <xdr:row>24</xdr:row>
          <xdr:rowOff>19050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12</xdr:row>
      <xdr:rowOff>152400</xdr:rowOff>
    </xdr:from>
    <xdr:to>
      <xdr:col>15</xdr:col>
      <xdr:colOff>214312</xdr:colOff>
      <xdr:row>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" refreshedDate="42432.900168402775" createdVersion="5" refreshedVersion="5" minRefreshableVersion="3" recordCount="16">
  <cacheSource type="worksheet">
    <worksheetSource ref="E1:G17" sheet="Graph Data"/>
  </cacheSource>
  <cacheFields count="3">
    <cacheField name="Line / Size" numFmtId="0">
      <sharedItems count="4">
        <s v="5mb"/>
        <s v="10mb"/>
        <s v="20mb"/>
        <s v="50mb"/>
      </sharedItems>
    </cacheField>
    <cacheField name="Conf. Score (0-10)" numFmtId="166">
      <sharedItems containsSemiMixedTypes="0" containsString="0" containsNumber="1" minValue="4.6609062486774997" maxValue="8.3275729153441667"/>
    </cacheField>
    <cacheField name="Time (ms)" numFmtId="166">
      <sharedItems containsSemiMixedTypes="0" containsString="0" containsNumber="1" minValue="4.3890000000000002" maxValue="43.88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5.4109062486774997"/>
    <n v="4.3890000000000002"/>
  </r>
  <r>
    <x v="0"/>
    <n v="7.6609062486775006"/>
    <n v="4.3979999999999997"/>
  </r>
  <r>
    <x v="0"/>
    <n v="8.3275729153441667"/>
    <n v="4.4020000000000001"/>
  </r>
  <r>
    <x v="0"/>
    <n v="8.3275729153441667"/>
    <n v="4.4020000000000001"/>
  </r>
  <r>
    <x v="1"/>
    <n v="4.6609062486774997"/>
    <n v="8.7759999999999998"/>
  </r>
  <r>
    <x v="1"/>
    <n v="8.3275729153441667"/>
    <n v="8.7759999999999998"/>
  </r>
  <r>
    <x v="1"/>
    <n v="8.3275729153441667"/>
    <n v="8.7769999999999992"/>
  </r>
  <r>
    <x v="1"/>
    <n v="8.3275729153441667"/>
    <n v="8.7769999999999992"/>
  </r>
  <r>
    <x v="2"/>
    <n v="4.6609062486774997"/>
    <n v="17.553999999999998"/>
  </r>
  <r>
    <x v="2"/>
    <n v="7.6609062486775006"/>
    <n v="17.55"/>
  </r>
  <r>
    <x v="2"/>
    <n v="8.3275729153441667"/>
    <n v="17.559000000000001"/>
  </r>
  <r>
    <x v="2"/>
    <n v="8.3275729153441667"/>
    <n v="17.559000000000001"/>
  </r>
  <r>
    <x v="3"/>
    <n v="5.4109062486774997"/>
    <n v="43.88"/>
  </r>
  <r>
    <x v="3"/>
    <n v="7.6609062486775006"/>
    <n v="43.884999999999998"/>
  </r>
  <r>
    <x v="3"/>
    <n v="7.6609062486775006"/>
    <n v="43.884"/>
  </r>
  <r>
    <x v="3"/>
    <n v="7.6609062486775006"/>
    <n v="43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6" firstHeaderRow="0" firstDataRow="1" firstDataCol="1"/>
  <pivotFields count="3">
    <pivotField axis="axisRow" showAll="0">
      <items count="5">
        <item x="1"/>
        <item x="2"/>
        <item x="3"/>
        <item x="0"/>
        <item t="default"/>
      </items>
    </pivotField>
    <pivotField dataField="1" numFmtId="166" showAll="0"/>
    <pivotField dataField="1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(ms)" fld="2" baseField="0" baseItem="0"/>
    <dataField name="Sum of Conf. Score (0-10)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" sqref="A2:T21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5" max="15" width="10.7109375" customWidth="1"/>
    <col min="16" max="17" width="11.28515625" customWidth="1"/>
    <col min="18" max="20" width="11.42578125" customWidth="1"/>
  </cols>
  <sheetData>
    <row r="1" spans="1:20" x14ac:dyDescent="0.25">
      <c r="A1" t="s">
        <v>93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83</v>
      </c>
      <c r="J3" s="36"/>
      <c r="K3" s="36"/>
      <c r="L3" s="36"/>
      <c r="M3" s="36"/>
    </row>
    <row r="4" spans="1:20" ht="15.75" thickBot="1" x14ac:dyDescent="0.3">
      <c r="A4" s="13" t="s">
        <v>20</v>
      </c>
      <c r="B4" s="13" t="s">
        <v>31</v>
      </c>
      <c r="C4" s="13">
        <v>4.3959999999999999</v>
      </c>
      <c r="D4" s="13">
        <f>_xlfn.STDEV.S(C4,C5,C6)</f>
        <v>2.5166114784235414E-3</v>
      </c>
      <c r="E4" s="13">
        <f t="shared" ref="E4" si="0">IF(D4=0,1,D4)</f>
        <v>2.5166114784235414E-3</v>
      </c>
      <c r="F4" s="13">
        <v>1</v>
      </c>
      <c r="G4" s="13">
        <f>SUM(C4:C6)</f>
        <v>13.180999999999999</v>
      </c>
      <c r="H4" s="13">
        <f t="shared" ref="H4" si="1">G4/E4</f>
        <v>5237.5982995423892</v>
      </c>
      <c r="I4" s="13">
        <f>E4</f>
        <v>2.5166114784235414E-3</v>
      </c>
      <c r="J4" s="37">
        <f>I5-I4*0.25</f>
        <v>4.3933708471303943</v>
      </c>
      <c r="K4" s="37">
        <f>J4-I4*0.66</f>
        <v>4.3917098835546344</v>
      </c>
      <c r="L4" s="37">
        <f>K4-I4*1</f>
        <v>4.389193272076211</v>
      </c>
      <c r="M4" s="37">
        <f>L4-I4*1.5</f>
        <v>4.3854183548585759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3.25</v>
      </c>
      <c r="O4" s="22">
        <f>BaseScore!$G$14</f>
        <v>3.7647008405999998</v>
      </c>
      <c r="P4" s="22">
        <f>EnvirScore!$H$9</f>
        <v>3.5571116567549996</v>
      </c>
      <c r="Q4" s="22">
        <f t="shared" ref="Q4:Q6" si="2">N4+O4+P4</f>
        <v>10.571812497354999</v>
      </c>
      <c r="R4" s="24">
        <f>IF((R5)&gt;9,1,IF(AND(R5&gt;7,R5&lt;=8.99),2,IF(AND(R5&gt;4,R5&lt;=6.99),3,IF(AND(R5&gt;0,R5&lt;=3.99),4,0))))</f>
        <v>2</v>
      </c>
      <c r="S4" s="25">
        <f>IF((S5)&gt;9,1,IF(AND(S5&gt;7,S5&lt;=8.99),2,IF(AND(S5&gt;4,S5&lt;=6.99),3,IF(AND(S5&gt;0,S5&lt;=3.99),4,0))))</f>
        <v>3</v>
      </c>
      <c r="T4" s="26">
        <f>IF((T5)&gt;9,1,IF(AND(T5&gt;7,T5&lt;=8.99),2,IF(AND(T5&gt;4,T5&lt;=6.99),3,IF(AND(T5&gt;0,T5&lt;=3.99),4,0))))</f>
        <v>3</v>
      </c>
    </row>
    <row r="5" spans="1:20" x14ac:dyDescent="0.25">
      <c r="B5" t="s">
        <v>32</v>
      </c>
      <c r="C5">
        <v>4.3940000000000001</v>
      </c>
      <c r="I5">
        <f>MEDIAN(C4:C6)</f>
        <v>4.3940000000000001</v>
      </c>
      <c r="J5" s="36">
        <f>I5+I4*0.25</f>
        <v>4.394629152869606</v>
      </c>
      <c r="K5" s="36">
        <f>J5+I4*0.66</f>
        <v>4.3962901164453658</v>
      </c>
      <c r="L5" s="36">
        <f>K5+I4*1</f>
        <v>4.3988067279237892</v>
      </c>
      <c r="M5" s="36">
        <f>L5+I4*1.5</f>
        <v>4.4025816451414244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1</v>
      </c>
      <c r="O5" s="22">
        <f>BaseScore!$G$14</f>
        <v>3.7647008405999998</v>
      </c>
      <c r="P5" s="22">
        <f>EnvirScore!$H$9</f>
        <v>3.5571116567549996</v>
      </c>
      <c r="Q5" s="22">
        <f t="shared" si="2"/>
        <v>8.3218124973549994</v>
      </c>
      <c r="R5" s="31">
        <f>((N4+O4)+(N5+O5)+(N6+O6))/3</f>
        <v>7.0147008405999998</v>
      </c>
      <c r="S5" s="31">
        <f>((N4+P4)+(N5+P5)+(N6+P6))/3</f>
        <v>6.8071116567550005</v>
      </c>
      <c r="T5" s="30">
        <f>(SUM(R5:S5))/2</f>
        <v>6.9109062486775006</v>
      </c>
    </row>
    <row r="6" spans="1:20" x14ac:dyDescent="0.25">
      <c r="B6" t="s">
        <v>33</v>
      </c>
      <c r="C6">
        <v>4.391</v>
      </c>
      <c r="J6" s="36"/>
      <c r="K6" s="36"/>
      <c r="L6" s="36"/>
      <c r="M6" s="36"/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5.5</v>
      </c>
      <c r="O6" s="22">
        <f>BaseScore!$G$14</f>
        <v>3.7647008405999998</v>
      </c>
      <c r="P6" s="22">
        <f>EnvirScore!$H$9</f>
        <v>3.5571116567549996</v>
      </c>
      <c r="Q6" s="22">
        <f t="shared" si="2"/>
        <v>12.821812497354999</v>
      </c>
      <c r="R6" s="11"/>
      <c r="S6" s="11"/>
      <c r="T6" s="11"/>
    </row>
    <row r="7" spans="1:20" x14ac:dyDescent="0.25">
      <c r="J7" s="36"/>
      <c r="K7" s="36"/>
      <c r="L7" s="36"/>
      <c r="M7" s="36"/>
      <c r="P7" s="30"/>
    </row>
    <row r="8" spans="1:20" ht="15.75" thickBot="1" x14ac:dyDescent="0.3">
      <c r="A8" t="s">
        <v>84</v>
      </c>
      <c r="J8" s="36"/>
      <c r="K8" s="36"/>
      <c r="L8" s="36"/>
      <c r="M8" s="36"/>
      <c r="P8" s="30"/>
    </row>
    <row r="9" spans="1:20" ht="15.75" thickBot="1" x14ac:dyDescent="0.3">
      <c r="A9" s="13" t="s">
        <v>20</v>
      </c>
      <c r="B9" s="13" t="s">
        <v>31</v>
      </c>
      <c r="C9" s="13">
        <v>4.391</v>
      </c>
      <c r="D9" s="13">
        <f>((D4*2)+(_xlfn.STDEV.S(C9,C10,C11))/3)</f>
        <v>5.4181231363067909E-3</v>
      </c>
      <c r="E9" s="13">
        <f t="shared" ref="E9" si="3">IF(D9=0,1,D9)</f>
        <v>5.4181231363067909E-3</v>
      </c>
      <c r="F9" s="13">
        <v>1</v>
      </c>
      <c r="G9" s="13">
        <f>SUM(C9:C11)</f>
        <v>13.174999999999999</v>
      </c>
      <c r="H9" s="13">
        <f t="shared" ref="H9" si="4">G9/E9</f>
        <v>2431.6538529208483</v>
      </c>
      <c r="I9" s="13">
        <f>E9</f>
        <v>5.4181231363067909E-3</v>
      </c>
      <c r="J9" s="37">
        <f>I10-I9*0.25</f>
        <v>4.3896454692159237</v>
      </c>
      <c r="K9" s="37">
        <f>J9-I9*0.66</f>
        <v>4.3860695079459608</v>
      </c>
      <c r="L9" s="37">
        <f>K9-I9*1</f>
        <v>4.3806513848096538</v>
      </c>
      <c r="M9" s="37">
        <f>L9-I9*1.5</f>
        <v>4.3725242001051932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EnvirScore!$H$9</f>
        <v>3.5571116567549996</v>
      </c>
      <c r="Q9" s="22">
        <f t="shared" ref="Q9:Q11" si="5">N9+O9+P9</f>
        <v>8.3218124973549994</v>
      </c>
      <c r="R9" s="24">
        <f>IF((R10)&gt;9,1,IF(AND(R10&gt;7,R10&lt;=8.9),2,IF(AND(R10&gt;4,R10&lt;=6.9),3,IF(AND(R10&gt;0,R10&lt;=3.9),4,0))))</f>
        <v>3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4.3929999999999998</v>
      </c>
      <c r="I10">
        <f>MEDIAN(C9:C11)</f>
        <v>4.391</v>
      </c>
      <c r="J10" s="36">
        <f>I10+I9*0.25</f>
        <v>4.3923545307840763</v>
      </c>
      <c r="K10" s="36">
        <f>J10+I9*0.66</f>
        <v>4.3959304920540392</v>
      </c>
      <c r="L10" s="36">
        <f>K10+I9*1</f>
        <v>4.4013486151903463</v>
      </c>
      <c r="M10" s="36">
        <f>L10+I9*1.5</f>
        <v>4.4094757998948069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3.25</v>
      </c>
      <c r="O10" s="22">
        <f>BaseScore!$G$14</f>
        <v>3.7647008405999998</v>
      </c>
      <c r="P10" s="22">
        <f>EnvirScore!$H$9</f>
        <v>3.5571116567549996</v>
      </c>
      <c r="Q10" s="22">
        <f t="shared" si="5"/>
        <v>10.571812497354999</v>
      </c>
      <c r="R10" s="31">
        <f>((N9+O9)+(N10+O10)+(N11+O11))/3</f>
        <v>5.5147008405999998</v>
      </c>
      <c r="S10" s="31">
        <f>((N9+P9)+(N10+P10)+(N11+P11))/3</f>
        <v>5.3071116567549996</v>
      </c>
      <c r="T10" s="30">
        <f>(SUM(R10:S10))/2</f>
        <v>5.4109062486774997</v>
      </c>
    </row>
    <row r="11" spans="1:20" x14ac:dyDescent="0.25">
      <c r="B11" t="s">
        <v>33</v>
      </c>
      <c r="C11">
        <v>4.391</v>
      </c>
      <c r="J11" s="36"/>
      <c r="K11" s="36"/>
      <c r="L11" s="36"/>
      <c r="M11" s="36"/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1</v>
      </c>
      <c r="O11" s="22">
        <f>BaseScore!$G$14</f>
        <v>3.7647008405999998</v>
      </c>
      <c r="P11" s="22">
        <f>EnvirScore!$H$9</f>
        <v>3.5571116567549996</v>
      </c>
      <c r="Q11" s="22">
        <f t="shared" si="5"/>
        <v>8.3218124973549994</v>
      </c>
      <c r="R11" s="11"/>
      <c r="S11" s="11"/>
      <c r="T11" s="11"/>
    </row>
    <row r="12" spans="1:20" x14ac:dyDescent="0.25">
      <c r="J12" s="21"/>
      <c r="K12" s="21"/>
      <c r="L12" s="21"/>
      <c r="M12" s="21"/>
      <c r="P12" s="30"/>
    </row>
    <row r="13" spans="1:20" ht="15.75" thickBot="1" x14ac:dyDescent="0.3">
      <c r="A13" t="s">
        <v>94</v>
      </c>
      <c r="J13" s="21"/>
      <c r="K13" s="21"/>
      <c r="L13" s="21"/>
      <c r="M13" s="21"/>
      <c r="P13" s="30"/>
    </row>
    <row r="14" spans="1:20" ht="15.75" thickBot="1" x14ac:dyDescent="0.3">
      <c r="A14" s="13" t="s">
        <v>20</v>
      </c>
      <c r="B14" s="13" t="s">
        <v>31</v>
      </c>
      <c r="C14" s="13">
        <v>5.4170999999999996</v>
      </c>
      <c r="D14" s="13">
        <f>(_xlfn.STDEV.S(C14,C15,C16)+(D4*4)+(D9*2))/7</f>
        <v>8.7477390952078182E-2</v>
      </c>
      <c r="E14" s="13">
        <f t="shared" ref="E14" si="6">IF(D14=0,1,D14)</f>
        <v>8.7477390952078182E-2</v>
      </c>
      <c r="F14" s="13">
        <v>1</v>
      </c>
      <c r="G14" s="13">
        <f>SUM(C14:C16)</f>
        <v>14.202500000000001</v>
      </c>
      <c r="H14" s="13">
        <f t="shared" ref="H14" si="7">G14/E14</f>
        <v>162.35623679929373</v>
      </c>
      <c r="I14" s="13">
        <f>E14</f>
        <v>8.7477390952078182E-2</v>
      </c>
      <c r="J14" s="37">
        <f>I15-I14*0.25</f>
        <v>4.3721306522619807</v>
      </c>
      <c r="K14" s="37">
        <f>J14-I14*0.66</f>
        <v>4.3143955742336093</v>
      </c>
      <c r="L14" s="37">
        <f>K14-I14*1</f>
        <v>4.2269181832815308</v>
      </c>
      <c r="M14" s="37">
        <f>L14-I14*1.5</f>
        <v>4.0957020968534135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10</v>
      </c>
      <c r="O14" s="22">
        <f>BaseScore!$G$14</f>
        <v>3.7647008405999998</v>
      </c>
      <c r="P14" s="22">
        <f>EnvirScore!$H$9</f>
        <v>3.5571116567549996</v>
      </c>
      <c r="Q14" s="22">
        <f t="shared" ref="Q14:Q16" si="8">N14+O14+P14</f>
        <v>17.321812497354998</v>
      </c>
      <c r="R14" s="24">
        <f>IF((R15)&gt;9,1,IF(AND(R15&gt;7,R15&lt;=8.99),2,IF(AND(R15&gt;4,R15&lt;=6.99),3,IF(AND(R15&gt;0,R15&lt;=3.99),4,0))))</f>
        <v>2</v>
      </c>
      <c r="S14" s="25">
        <f>IF((S15)&gt;9,1,IF(AND(S15&gt;7,S15&lt;=8.99),2,IF(AND(S15&gt;4,S15&lt;=6.99),3,IF(AND(S15&gt;0,S15&lt;=3.99),4,0))))</f>
        <v>2</v>
      </c>
      <c r="T14" s="26">
        <f>IF((T15)&gt;9,1,IF(AND(T15&gt;7,T15&lt;=8.99),2,IF(AND(T15&gt;4,T15&lt;=6.99),3,IF(AND(T15&gt;0,T15&lt;=3.99),4,0))))</f>
        <v>2</v>
      </c>
    </row>
    <row r="15" spans="1:20" x14ac:dyDescent="0.25">
      <c r="B15" t="s">
        <v>32</v>
      </c>
      <c r="C15">
        <v>4.3940000000000001</v>
      </c>
      <c r="I15" s="38">
        <f>MEDIAN(C14:C16)</f>
        <v>4.3940000000000001</v>
      </c>
      <c r="J15" s="36">
        <f>I15+I14*0.25</f>
        <v>4.4158693477380195</v>
      </c>
      <c r="K15" s="36">
        <f>J15+I14*0.66</f>
        <v>4.4736044257663909</v>
      </c>
      <c r="L15" s="36">
        <f>K15+I14*1</f>
        <v>4.5610818167184695</v>
      </c>
      <c r="M15" s="36">
        <f>L15+I14*1.5</f>
        <v>4.6922979031465868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1</v>
      </c>
      <c r="O15" s="22">
        <f>BaseScore!$G$14</f>
        <v>3.7647008405999998</v>
      </c>
      <c r="P15" s="22">
        <f>EnvirScore!$H$9</f>
        <v>3.5571116567549996</v>
      </c>
      <c r="Q15" s="22">
        <f t="shared" si="8"/>
        <v>8.3218124973549994</v>
      </c>
      <c r="R15" s="31">
        <f>((N14+O14)+(N15+O15)+(N16+O16))/3</f>
        <v>7.7647008405999998</v>
      </c>
      <c r="S15" s="31">
        <f>((N14+P14)+(N15+P15)+(N16+P16))/3</f>
        <v>7.5571116567550005</v>
      </c>
      <c r="T15" s="30">
        <f>(SUM(R15:S15))/2</f>
        <v>7.6609062486775006</v>
      </c>
    </row>
    <row r="16" spans="1:20" x14ac:dyDescent="0.25">
      <c r="B16" t="s">
        <v>33</v>
      </c>
      <c r="C16">
        <v>4.3914</v>
      </c>
      <c r="J16" s="36"/>
      <c r="K16" s="36"/>
      <c r="L16" s="36"/>
      <c r="M16" s="36"/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1</v>
      </c>
      <c r="O16" s="22">
        <f>BaseScore!$G$14</f>
        <v>3.7647008405999998</v>
      </c>
      <c r="P16" s="22">
        <f>EnvirScore!$H$9</f>
        <v>3.5571116567549996</v>
      </c>
      <c r="Q16" s="22">
        <f t="shared" si="8"/>
        <v>8.3218124973549994</v>
      </c>
      <c r="R16" s="11"/>
      <c r="S16" s="11"/>
      <c r="T16" s="11"/>
    </row>
    <row r="17" spans="1:20" x14ac:dyDescent="0.25">
      <c r="J17" s="36"/>
      <c r="K17" s="36"/>
      <c r="L17" s="36"/>
      <c r="M17" s="36"/>
      <c r="P17" s="30"/>
    </row>
    <row r="18" spans="1:20" ht="15.75" thickBot="1" x14ac:dyDescent="0.3">
      <c r="A18" t="s">
        <v>95</v>
      </c>
      <c r="J18" s="36"/>
      <c r="K18" s="36"/>
      <c r="L18" s="36"/>
      <c r="M18" s="36"/>
      <c r="P18" s="30"/>
    </row>
    <row r="19" spans="1:20" ht="15.75" thickBot="1" x14ac:dyDescent="0.3">
      <c r="A19" s="13" t="s">
        <v>20</v>
      </c>
      <c r="B19" s="13" t="s">
        <v>31</v>
      </c>
      <c r="C19" s="13">
        <v>4.3959999999999999</v>
      </c>
      <c r="D19" s="13">
        <f>(_xlfn.STDEV.S(C19,C20,C21)+(D4*4)+(D9*2))/7</f>
        <v>8.7403228073753086E-2</v>
      </c>
      <c r="E19" s="13">
        <f t="shared" ref="E19" si="9">IF(D19=0,1,D19)</f>
        <v>8.7403228073753086E-2</v>
      </c>
      <c r="F19" s="13">
        <v>1</v>
      </c>
      <c r="G19" s="13">
        <f>SUM(C19:C21)</f>
        <v>15.234999999999999</v>
      </c>
      <c r="H19" s="13">
        <f t="shared" ref="H19" si="10">G19/E19</f>
        <v>174.30706320302397</v>
      </c>
      <c r="I19" s="13">
        <f>E19</f>
        <v>8.7403228073753086E-2</v>
      </c>
      <c r="J19" s="22">
        <f>I20-I19*0.25</f>
        <v>5.3961491929815617</v>
      </c>
      <c r="K19" s="22">
        <f>J19-I19*0.66</f>
        <v>5.3384630624528846</v>
      </c>
      <c r="L19" s="22">
        <f>K19-I19*1</f>
        <v>5.2510598343791317</v>
      </c>
      <c r="M19" s="22">
        <f>L19-I19*1.5</f>
        <v>5.1199549922685019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1</v>
      </c>
      <c r="O19" s="22">
        <f>BaseScore!$G$14</f>
        <v>3.7647008405999998</v>
      </c>
      <c r="P19" s="22">
        <f>EnvirScore!$H$9</f>
        <v>3.5571116567549996</v>
      </c>
      <c r="Q19" s="22">
        <f t="shared" ref="Q19:Q21" si="11">N19+O19+P19</f>
        <v>8.3218124973549994</v>
      </c>
      <c r="R19" s="24">
        <f>IF((R20)&gt;9,1,IF(AND(R20&gt;7,R20&lt;=8.9),2,IF(AND(R20&gt;4,R20&lt;=6.9),3,IF(AND(R20&gt;0,R20&lt;=3.9),4,0))))</f>
        <v>3</v>
      </c>
      <c r="S19" s="25">
        <f>IF((S20)&gt;9,1,IF(AND(S20&gt;7,S20&lt;=8.9),2,IF(AND(S20&gt;4,S20&lt;=6.9),3,IF(AND(S20&gt;0,S20&lt;=3.9),4,0))))</f>
        <v>3</v>
      </c>
      <c r="T19" s="26">
        <f>IF((T20)&gt;9,1,IF(AND(T20&gt;7,T20&lt;=8.99),2,IF(AND(T20&gt;4,T20&lt;=6.99),3,IF(AND(T20&gt;0,T20&lt;=3.99),4,0))))</f>
        <v>3</v>
      </c>
    </row>
    <row r="20" spans="1:20" x14ac:dyDescent="0.25">
      <c r="B20" t="s">
        <v>32</v>
      </c>
      <c r="C20">
        <v>5.4210000000000003</v>
      </c>
      <c r="I20">
        <f>MEDIAN(C19:C21)</f>
        <v>5.4180000000000001</v>
      </c>
      <c r="J20" s="21">
        <f>I20+I19*0.25</f>
        <v>5.4398508070184386</v>
      </c>
      <c r="K20" s="21">
        <f>J20+I19*0.66</f>
        <v>5.4975369375471157</v>
      </c>
      <c r="L20" s="21">
        <f>K20+I19*1</f>
        <v>5.5849401656208686</v>
      </c>
      <c r="M20" s="21">
        <f>L20+I19*1.5</f>
        <v>5.7160450077314984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1</v>
      </c>
      <c r="O20" s="22">
        <f>BaseScore!$G$14</f>
        <v>3.7647008405999998</v>
      </c>
      <c r="P20" s="22">
        <f>EnvirScore!$H$9</f>
        <v>3.5571116567549996</v>
      </c>
      <c r="Q20" s="22">
        <f t="shared" si="11"/>
        <v>8.3218124973549994</v>
      </c>
      <c r="R20" s="31">
        <f>((N19+O19)+(N20+O20)+(N21+O21))/3</f>
        <v>4.7647008405999998</v>
      </c>
      <c r="S20" s="31">
        <f>((N19+P19)+(N20+P20)+(N21+P21))/3</f>
        <v>4.5571116567549996</v>
      </c>
      <c r="T20" s="30">
        <f>(SUM(R20:S20))/2</f>
        <v>4.6609062486774997</v>
      </c>
    </row>
    <row r="21" spans="1:20" x14ac:dyDescent="0.25">
      <c r="B21" t="s">
        <v>33</v>
      </c>
      <c r="C21">
        <v>5.4180000000000001</v>
      </c>
      <c r="J21" s="21"/>
      <c r="K21" s="21"/>
      <c r="L21" s="21"/>
      <c r="M21" s="21"/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1</v>
      </c>
      <c r="O21" s="22">
        <f>BaseScore!$G$14</f>
        <v>3.7647008405999998</v>
      </c>
      <c r="P21" s="22">
        <f>EnvirScore!$H$9</f>
        <v>3.5571116567549996</v>
      </c>
      <c r="Q21" s="22">
        <f t="shared" si="11"/>
        <v>8.3218124973549994</v>
      </c>
      <c r="R21" s="11"/>
      <c r="S21" s="11"/>
      <c r="T21" s="11"/>
    </row>
    <row r="22" spans="1:20" x14ac:dyDescent="0.25">
      <c r="J22" s="21"/>
      <c r="K22" s="21"/>
      <c r="L22" s="21"/>
      <c r="M22" s="21"/>
    </row>
  </sheetData>
  <conditionalFormatting sqref="T9">
    <cfRule type="cellIs" dxfId="875" priority="57" operator="equal">
      <formula>1</formula>
    </cfRule>
    <cfRule type="cellIs" dxfId="874" priority="58" operator="equal">
      <formula>2</formula>
    </cfRule>
    <cfRule type="cellIs" dxfId="873" priority="59" operator="equal">
      <formula>3</formula>
    </cfRule>
    <cfRule type="cellIs" dxfId="872" priority="60" operator="equal">
      <formula>4</formula>
    </cfRule>
  </conditionalFormatting>
  <conditionalFormatting sqref="R9">
    <cfRule type="cellIs" dxfId="871" priority="53" operator="equal">
      <formula>1</formula>
    </cfRule>
    <cfRule type="cellIs" dxfId="870" priority="54" operator="equal">
      <formula>2</formula>
    </cfRule>
    <cfRule type="cellIs" dxfId="869" priority="55" operator="equal">
      <formula>3</formula>
    </cfRule>
    <cfRule type="cellIs" dxfId="868" priority="56" operator="equal">
      <formula>4</formula>
    </cfRule>
  </conditionalFormatting>
  <conditionalFormatting sqref="S9">
    <cfRule type="cellIs" dxfId="867" priority="49" operator="equal">
      <formula>1</formula>
    </cfRule>
    <cfRule type="cellIs" dxfId="866" priority="50" operator="equal">
      <formula>2</formula>
    </cfRule>
    <cfRule type="cellIs" dxfId="865" priority="51" operator="equal">
      <formula>3</formula>
    </cfRule>
    <cfRule type="cellIs" dxfId="864" priority="52" operator="equal">
      <formula>4</formula>
    </cfRule>
  </conditionalFormatting>
  <conditionalFormatting sqref="T4">
    <cfRule type="cellIs" dxfId="863" priority="45" operator="equal">
      <formula>1</formula>
    </cfRule>
    <cfRule type="cellIs" dxfId="862" priority="46" operator="equal">
      <formula>2</formula>
    </cfRule>
    <cfRule type="cellIs" dxfId="861" priority="47" operator="equal">
      <formula>3</formula>
    </cfRule>
    <cfRule type="cellIs" dxfId="860" priority="48" operator="equal">
      <formula>4</formula>
    </cfRule>
  </conditionalFormatting>
  <conditionalFormatting sqref="R4">
    <cfRule type="cellIs" dxfId="859" priority="41" operator="equal">
      <formula>1</formula>
    </cfRule>
    <cfRule type="cellIs" dxfId="858" priority="42" operator="equal">
      <formula>2</formula>
    </cfRule>
    <cfRule type="cellIs" dxfId="857" priority="43" operator="equal">
      <formula>3</formula>
    </cfRule>
    <cfRule type="cellIs" dxfId="856" priority="44" operator="equal">
      <formula>4</formula>
    </cfRule>
  </conditionalFormatting>
  <conditionalFormatting sqref="S4">
    <cfRule type="cellIs" dxfId="855" priority="37" operator="equal">
      <formula>1</formula>
    </cfRule>
    <cfRule type="cellIs" dxfId="854" priority="38" operator="equal">
      <formula>2</formula>
    </cfRule>
    <cfRule type="cellIs" dxfId="853" priority="39" operator="equal">
      <formula>3</formula>
    </cfRule>
    <cfRule type="cellIs" dxfId="852" priority="40" operator="equal">
      <formula>4</formula>
    </cfRule>
  </conditionalFormatting>
  <conditionalFormatting sqref="T14">
    <cfRule type="cellIs" dxfId="851" priority="33" operator="equal">
      <formula>1</formula>
    </cfRule>
    <cfRule type="cellIs" dxfId="850" priority="34" operator="equal">
      <formula>2</formula>
    </cfRule>
    <cfRule type="cellIs" dxfId="849" priority="35" operator="equal">
      <formula>3</formula>
    </cfRule>
    <cfRule type="cellIs" dxfId="848" priority="36" operator="equal">
      <formula>4</formula>
    </cfRule>
  </conditionalFormatting>
  <conditionalFormatting sqref="R14">
    <cfRule type="cellIs" dxfId="847" priority="29" operator="equal">
      <formula>1</formula>
    </cfRule>
    <cfRule type="cellIs" dxfId="846" priority="30" operator="equal">
      <formula>2</formula>
    </cfRule>
    <cfRule type="cellIs" dxfId="845" priority="31" operator="equal">
      <formula>3</formula>
    </cfRule>
    <cfRule type="cellIs" dxfId="844" priority="32" operator="equal">
      <formula>4</formula>
    </cfRule>
  </conditionalFormatting>
  <conditionalFormatting sqref="S14">
    <cfRule type="cellIs" dxfId="843" priority="25" operator="equal">
      <formula>1</formula>
    </cfRule>
    <cfRule type="cellIs" dxfId="842" priority="26" operator="equal">
      <formula>2</formula>
    </cfRule>
    <cfRule type="cellIs" dxfId="841" priority="27" operator="equal">
      <formula>3</formula>
    </cfRule>
    <cfRule type="cellIs" dxfId="840" priority="28" operator="equal">
      <formula>4</formula>
    </cfRule>
  </conditionalFormatting>
  <conditionalFormatting sqref="T19">
    <cfRule type="cellIs" dxfId="839" priority="21" operator="equal">
      <formula>1</formula>
    </cfRule>
    <cfRule type="cellIs" dxfId="838" priority="22" operator="equal">
      <formula>2</formula>
    </cfRule>
    <cfRule type="cellIs" dxfId="837" priority="23" operator="equal">
      <formula>3</formula>
    </cfRule>
    <cfRule type="cellIs" dxfId="836" priority="24" operator="equal">
      <formula>4</formula>
    </cfRule>
  </conditionalFormatting>
  <conditionalFormatting sqref="R19">
    <cfRule type="cellIs" dxfId="835" priority="17" operator="equal">
      <formula>1</formula>
    </cfRule>
    <cfRule type="cellIs" dxfId="834" priority="18" operator="equal">
      <formula>2</formula>
    </cfRule>
    <cfRule type="cellIs" dxfId="833" priority="19" operator="equal">
      <formula>3</formula>
    </cfRule>
    <cfRule type="cellIs" dxfId="832" priority="20" operator="equal">
      <formula>4</formula>
    </cfRule>
  </conditionalFormatting>
  <conditionalFormatting sqref="S19">
    <cfRule type="cellIs" dxfId="831" priority="13" operator="equal">
      <formula>1</formula>
    </cfRule>
    <cfRule type="cellIs" dxfId="830" priority="14" operator="equal">
      <formula>2</formula>
    </cfRule>
    <cfRule type="cellIs" dxfId="829" priority="15" operator="equal">
      <formula>3</formula>
    </cfRule>
    <cfRule type="cellIs" dxfId="828" priority="16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6" workbookViewId="0">
      <selection activeCell="J14" sqref="J14"/>
    </sheetView>
  </sheetViews>
  <sheetFormatPr defaultRowHeight="15" x14ac:dyDescent="0.25"/>
  <cols>
    <col min="2" max="2" width="14.140625" customWidth="1"/>
    <col min="3" max="3" width="13.5703125" customWidth="1"/>
    <col min="4" max="4" width="11.7109375" customWidth="1"/>
    <col min="5" max="5" width="11.28515625" customWidth="1"/>
    <col min="6" max="6" width="12.42578125" customWidth="1"/>
    <col min="7" max="7" width="10.42578125" customWidth="1"/>
    <col min="8" max="8" width="11.28515625" customWidth="1"/>
    <col min="10" max="10" width="7.28515625" bestFit="1" customWidth="1"/>
  </cols>
  <sheetData>
    <row r="1" spans="1:11" x14ac:dyDescent="0.25">
      <c r="A1" t="s">
        <v>119</v>
      </c>
    </row>
    <row r="3" spans="1:11" x14ac:dyDescent="0.25">
      <c r="B3" t="s">
        <v>120</v>
      </c>
      <c r="C3" t="s">
        <v>121</v>
      </c>
      <c r="D3" s="43" t="s">
        <v>122</v>
      </c>
    </row>
    <row r="4" spans="1:11" x14ac:dyDescent="0.25">
      <c r="B4" t="s">
        <v>123</v>
      </c>
      <c r="C4" t="s">
        <v>124</v>
      </c>
      <c r="D4" t="s">
        <v>125</v>
      </c>
    </row>
    <row r="6" spans="1:11" x14ac:dyDescent="0.25">
      <c r="B6" t="s">
        <v>126</v>
      </c>
      <c r="C6" t="s">
        <v>127</v>
      </c>
      <c r="F6" t="s">
        <v>128</v>
      </c>
    </row>
    <row r="8" spans="1:11" x14ac:dyDescent="0.25">
      <c r="C8" t="s">
        <v>129</v>
      </c>
      <c r="F8" t="s">
        <v>130</v>
      </c>
    </row>
    <row r="9" spans="1:11" x14ac:dyDescent="0.25">
      <c r="C9" t="s">
        <v>131</v>
      </c>
      <c r="F9" t="s">
        <v>132</v>
      </c>
    </row>
    <row r="11" spans="1:11" x14ac:dyDescent="0.25">
      <c r="C11" t="s">
        <v>133</v>
      </c>
    </row>
    <row r="13" spans="1:11" x14ac:dyDescent="0.25">
      <c r="E13" t="s">
        <v>134</v>
      </c>
      <c r="F13" t="s">
        <v>84</v>
      </c>
      <c r="G13" t="s">
        <v>85</v>
      </c>
      <c r="H13" t="s">
        <v>86</v>
      </c>
      <c r="I13" t="s">
        <v>87</v>
      </c>
      <c r="J13" t="s">
        <v>135</v>
      </c>
      <c r="K13" t="s">
        <v>136</v>
      </c>
    </row>
    <row r="14" spans="1:11" x14ac:dyDescent="0.25">
      <c r="B14" t="s">
        <v>81</v>
      </c>
      <c r="C14" t="s">
        <v>137</v>
      </c>
      <c r="E14" s="36">
        <v>4.3979999999999997</v>
      </c>
      <c r="F14" s="36">
        <v>4.4020000000000001</v>
      </c>
      <c r="G14" s="36">
        <v>4.3920000000000003</v>
      </c>
      <c r="H14" s="36">
        <v>4.3879999999999999</v>
      </c>
      <c r="I14" s="36">
        <v>4.3890000000000002</v>
      </c>
      <c r="J14">
        <f>AVERAGE(E14:I14)</f>
        <v>4.3937999999999997</v>
      </c>
    </row>
    <row r="15" spans="1:11" ht="16.149999999999999" customHeight="1" x14ac:dyDescent="0.25">
      <c r="C15" t="s">
        <v>138</v>
      </c>
      <c r="E15" s="36">
        <v>4.915</v>
      </c>
      <c r="F15" s="36">
        <v>4.8120000000000003</v>
      </c>
      <c r="G15" s="36">
        <v>4.8099999999999996</v>
      </c>
      <c r="H15" s="36">
        <v>4.8109999999999999</v>
      </c>
      <c r="I15" s="36">
        <v>4.867</v>
      </c>
      <c r="J15">
        <f t="shared" ref="J15:J32" si="0">AVERAGE(E15:I15)</f>
        <v>4.843</v>
      </c>
      <c r="K15">
        <f>J15-J14</f>
        <v>0.44920000000000027</v>
      </c>
    </row>
    <row r="16" spans="1:11" ht="16.149999999999999" customHeight="1" x14ac:dyDescent="0.25">
      <c r="C16" t="s">
        <v>139</v>
      </c>
      <c r="E16" s="36">
        <v>5.6189999999999998</v>
      </c>
      <c r="F16" s="36">
        <v>5.4189999999999996</v>
      </c>
      <c r="G16" s="36">
        <v>5.4180000000000001</v>
      </c>
      <c r="H16" s="36">
        <v>5.415</v>
      </c>
      <c r="I16" s="36">
        <v>5.4180000000000001</v>
      </c>
      <c r="J16">
        <f t="shared" si="0"/>
        <v>5.4577999999999998</v>
      </c>
      <c r="K16">
        <f t="shared" ref="K16:K32" si="1">J16-J15</f>
        <v>0.61479999999999979</v>
      </c>
    </row>
    <row r="17" spans="2:11" ht="16.149999999999999" customHeight="1" x14ac:dyDescent="0.25">
      <c r="C17" t="s">
        <v>140</v>
      </c>
      <c r="E17" s="36">
        <v>7.282</v>
      </c>
      <c r="F17" s="36">
        <v>6.88</v>
      </c>
      <c r="G17" s="36">
        <v>6.8860000000000001</v>
      </c>
      <c r="H17" s="36">
        <v>6.8849999999999998</v>
      </c>
      <c r="I17" s="36">
        <v>6.8810000000000002</v>
      </c>
      <c r="J17">
        <f t="shared" si="0"/>
        <v>6.9627999999999997</v>
      </c>
      <c r="K17">
        <f t="shared" si="1"/>
        <v>1.5049999999999999</v>
      </c>
    </row>
    <row r="18" spans="2:11" ht="16.149999999999999" customHeight="1" x14ac:dyDescent="0.25">
      <c r="E18" s="36"/>
      <c r="F18" s="36"/>
      <c r="G18" s="36"/>
      <c r="H18" s="36"/>
      <c r="I18" s="36"/>
    </row>
    <row r="19" spans="2:11" x14ac:dyDescent="0.25">
      <c r="B19" t="s">
        <v>141</v>
      </c>
      <c r="C19" t="s">
        <v>137</v>
      </c>
      <c r="E19" s="36">
        <v>8.7750000000000004</v>
      </c>
      <c r="F19" s="36">
        <v>8.7769999999999992</v>
      </c>
      <c r="G19" s="36">
        <v>8.7750000000000004</v>
      </c>
      <c r="H19" s="36">
        <v>8.7759999999999998</v>
      </c>
      <c r="I19" s="36">
        <v>8.7750000000000004</v>
      </c>
      <c r="J19">
        <f t="shared" si="0"/>
        <v>8.775599999999999</v>
      </c>
    </row>
    <row r="20" spans="2:11" ht="16.149999999999999" customHeight="1" x14ac:dyDescent="0.25">
      <c r="C20" t="s">
        <v>138</v>
      </c>
      <c r="E20" s="36">
        <v>9.1980000000000004</v>
      </c>
      <c r="F20" s="36">
        <v>9.1999999999999993</v>
      </c>
      <c r="G20" s="36">
        <v>9.1959999999999997</v>
      </c>
      <c r="H20" s="36">
        <v>9.1969999999999992</v>
      </c>
      <c r="I20" s="36">
        <v>9.1950000000000003</v>
      </c>
      <c r="J20">
        <f t="shared" si="0"/>
        <v>9.1971999999999987</v>
      </c>
      <c r="K20">
        <f t="shared" si="1"/>
        <v>0.42159999999999975</v>
      </c>
    </row>
    <row r="21" spans="2:11" ht="16.149999999999999" customHeight="1" x14ac:dyDescent="0.25">
      <c r="C21" t="s">
        <v>139</v>
      </c>
      <c r="E21" s="36">
        <v>9.8070000000000004</v>
      </c>
      <c r="F21" s="36">
        <v>9.8049999999999997</v>
      </c>
      <c r="G21" s="36">
        <v>9.8040000000000003</v>
      </c>
      <c r="H21" s="36">
        <v>9.8040000000000003</v>
      </c>
      <c r="I21" s="36">
        <v>9.8040000000000003</v>
      </c>
      <c r="J21">
        <f t="shared" si="0"/>
        <v>9.804800000000002</v>
      </c>
      <c r="K21">
        <f t="shared" si="1"/>
        <v>0.60760000000000325</v>
      </c>
    </row>
    <row r="22" spans="2:11" ht="16.149999999999999" customHeight="1" x14ac:dyDescent="0.25">
      <c r="C22" t="s">
        <v>140</v>
      </c>
      <c r="E22" s="36">
        <v>11.268000000000001</v>
      </c>
      <c r="F22" s="36">
        <v>11.271000000000001</v>
      </c>
      <c r="G22" s="36">
        <v>11.266999999999999</v>
      </c>
      <c r="H22" s="36">
        <v>11.271000000000001</v>
      </c>
      <c r="I22" s="36">
        <v>11.27</v>
      </c>
      <c r="J22">
        <f t="shared" si="0"/>
        <v>11.269399999999999</v>
      </c>
      <c r="K22">
        <f t="shared" si="1"/>
        <v>1.4645999999999972</v>
      </c>
    </row>
    <row r="23" spans="2:11" x14ac:dyDescent="0.25">
      <c r="E23" s="36"/>
      <c r="F23" s="36"/>
      <c r="G23" s="36"/>
      <c r="H23" s="36"/>
      <c r="I23" s="36"/>
    </row>
    <row r="24" spans="2:11" x14ac:dyDescent="0.25">
      <c r="B24" t="s">
        <v>142</v>
      </c>
      <c r="C24" t="s">
        <v>137</v>
      </c>
      <c r="E24" s="36">
        <v>17.545999999999999</v>
      </c>
      <c r="F24" s="36">
        <v>17.559000000000001</v>
      </c>
      <c r="G24" s="36">
        <v>17.547999999999998</v>
      </c>
      <c r="H24" s="36">
        <v>17.55</v>
      </c>
      <c r="I24" s="36">
        <v>17.553999999999998</v>
      </c>
      <c r="J24">
        <f t="shared" si="0"/>
        <v>17.551400000000001</v>
      </c>
    </row>
    <row r="25" spans="2:11" ht="16.149999999999999" customHeight="1" x14ac:dyDescent="0.25">
      <c r="C25" t="s">
        <v>138</v>
      </c>
      <c r="E25" s="36">
        <v>17.969000000000001</v>
      </c>
      <c r="F25" s="36">
        <v>17.97</v>
      </c>
      <c r="G25" s="36">
        <v>17.969000000000001</v>
      </c>
      <c r="H25" s="36">
        <v>17.965</v>
      </c>
      <c r="I25" s="36">
        <v>17.971</v>
      </c>
      <c r="J25">
        <f t="shared" si="0"/>
        <v>17.968800000000002</v>
      </c>
      <c r="K25">
        <f t="shared" si="1"/>
        <v>0.41740000000000066</v>
      </c>
    </row>
    <row r="26" spans="2:11" ht="16.149999999999999" customHeight="1" x14ac:dyDescent="0.25">
      <c r="C26" t="s">
        <v>139</v>
      </c>
      <c r="E26" s="36">
        <v>18.579000000000001</v>
      </c>
      <c r="F26" s="36">
        <v>18.577000000000002</v>
      </c>
      <c r="G26" s="36">
        <v>18.579000000000001</v>
      </c>
      <c r="H26" s="36">
        <v>18.577000000000002</v>
      </c>
      <c r="I26" s="36">
        <v>18.577999999999999</v>
      </c>
      <c r="J26">
        <f t="shared" si="0"/>
        <v>18.578000000000003</v>
      </c>
      <c r="K26">
        <f t="shared" si="1"/>
        <v>0.6092000000000013</v>
      </c>
    </row>
    <row r="27" spans="2:11" ht="16.149999999999999" customHeight="1" x14ac:dyDescent="0.25">
      <c r="C27" t="s">
        <v>140</v>
      </c>
      <c r="E27" s="36">
        <v>20.038</v>
      </c>
      <c r="F27" s="36">
        <v>20.041</v>
      </c>
      <c r="G27" s="36">
        <v>20.041</v>
      </c>
      <c r="H27" s="36">
        <v>20.038</v>
      </c>
      <c r="I27" s="36">
        <v>20.04</v>
      </c>
      <c r="J27">
        <f t="shared" si="0"/>
        <v>20.0396</v>
      </c>
      <c r="K27">
        <f t="shared" si="1"/>
        <v>1.4615999999999971</v>
      </c>
    </row>
    <row r="28" spans="2:11" x14ac:dyDescent="0.25">
      <c r="E28" s="36"/>
      <c r="F28" s="36"/>
      <c r="G28" s="36"/>
      <c r="H28" s="36"/>
      <c r="I28" s="36"/>
    </row>
    <row r="29" spans="2:11" x14ac:dyDescent="0.25">
      <c r="B29" t="s">
        <v>143</v>
      </c>
      <c r="C29" t="s">
        <v>137</v>
      </c>
      <c r="E29" s="36">
        <v>43.884999999999998</v>
      </c>
      <c r="F29" s="36">
        <v>43.862000000000002</v>
      </c>
      <c r="G29" s="36">
        <v>43.884</v>
      </c>
      <c r="H29" s="36">
        <v>43.88</v>
      </c>
      <c r="I29" s="36">
        <v>43.884</v>
      </c>
      <c r="J29">
        <f t="shared" si="0"/>
        <v>43.878999999999998</v>
      </c>
    </row>
    <row r="30" spans="2:11" ht="16.149999999999999" customHeight="1" x14ac:dyDescent="0.25">
      <c r="C30" t="s">
        <v>138</v>
      </c>
      <c r="E30" s="36">
        <v>44.284999999999997</v>
      </c>
      <c r="F30" s="36">
        <v>44.283999999999999</v>
      </c>
      <c r="G30" s="36">
        <v>44.283999999999999</v>
      </c>
      <c r="H30" s="36">
        <v>44.283000000000001</v>
      </c>
      <c r="I30" s="36">
        <v>44.284999999999997</v>
      </c>
      <c r="J30">
        <f t="shared" si="0"/>
        <v>44.284199999999991</v>
      </c>
      <c r="K30">
        <f t="shared" si="1"/>
        <v>0.40519999999999357</v>
      </c>
    </row>
    <row r="31" spans="2:11" ht="16.149999999999999" customHeight="1" x14ac:dyDescent="0.25">
      <c r="C31" t="s">
        <v>139</v>
      </c>
      <c r="E31" s="36">
        <v>44.89</v>
      </c>
      <c r="F31" s="36">
        <v>44.893000000000001</v>
      </c>
      <c r="G31" s="36">
        <v>44.892000000000003</v>
      </c>
      <c r="H31" s="36">
        <v>44.89</v>
      </c>
      <c r="I31" s="36">
        <v>44.889000000000003</v>
      </c>
      <c r="J31">
        <f t="shared" si="0"/>
        <v>44.890799999999999</v>
      </c>
      <c r="K31">
        <f t="shared" si="1"/>
        <v>0.60660000000000736</v>
      </c>
    </row>
    <row r="32" spans="2:11" ht="16.149999999999999" customHeight="1" x14ac:dyDescent="0.25">
      <c r="C32" t="s">
        <v>140</v>
      </c>
      <c r="E32" s="36">
        <v>46.363</v>
      </c>
      <c r="F32" s="36">
        <v>46.36</v>
      </c>
      <c r="G32" s="36">
        <v>46.356000000000002</v>
      </c>
      <c r="H32" s="36">
        <v>46.366</v>
      </c>
      <c r="I32" s="36">
        <v>46.365000000000002</v>
      </c>
      <c r="J32">
        <f t="shared" si="0"/>
        <v>46.362000000000002</v>
      </c>
      <c r="K32">
        <f t="shared" si="1"/>
        <v>1.4712000000000032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I15" sqref="I15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5" max="15" width="10.7109375" customWidth="1"/>
    <col min="16" max="17" width="11.28515625" customWidth="1"/>
    <col min="18" max="20" width="11.42578125" customWidth="1"/>
  </cols>
  <sheetData>
    <row r="1" spans="1:21" x14ac:dyDescent="0.25">
      <c r="A1" t="s">
        <v>144</v>
      </c>
    </row>
    <row r="2" spans="1:21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149</v>
      </c>
      <c r="O2" s="18" t="s">
        <v>29</v>
      </c>
      <c r="P2" s="19" t="s">
        <v>65</v>
      </c>
      <c r="Q2" s="19" t="s">
        <v>66</v>
      </c>
      <c r="R2" s="19" t="s">
        <v>2</v>
      </c>
      <c r="S2" s="19" t="s">
        <v>75</v>
      </c>
      <c r="T2" s="19" t="s">
        <v>76</v>
      </c>
      <c r="U2" s="19" t="s">
        <v>1</v>
      </c>
    </row>
    <row r="3" spans="1:21" ht="15.75" thickBot="1" x14ac:dyDescent="0.3">
      <c r="A3" t="s">
        <v>83</v>
      </c>
      <c r="J3" s="36"/>
      <c r="K3" s="36"/>
      <c r="L3" s="36"/>
      <c r="M3" s="36"/>
      <c r="N3" s="36"/>
    </row>
    <row r="4" spans="1:21" ht="15.75" thickBot="1" x14ac:dyDescent="0.3">
      <c r="A4" s="13" t="s">
        <v>20</v>
      </c>
      <c r="B4" s="13" t="s">
        <v>31</v>
      </c>
      <c r="C4" s="45">
        <f>RawData!$E$14</f>
        <v>4.3979999999999997</v>
      </c>
      <c r="D4" s="13">
        <f>_xlfn.STDEV.S(C4,C5,C6)</f>
        <v>5.0332229568470239E-3</v>
      </c>
      <c r="E4" s="13">
        <f t="shared" ref="E4" si="0">IF(D4=0,1,D4)</f>
        <v>5.0332229568470239E-3</v>
      </c>
      <c r="F4" s="13">
        <v>1</v>
      </c>
      <c r="G4" s="13">
        <f>SUM(C4:C6)</f>
        <v>13.192</v>
      </c>
      <c r="H4" s="13">
        <f t="shared" ref="H4" si="1">G4/E4</f>
        <v>2620.9846281603832</v>
      </c>
      <c r="I4" s="13">
        <f>E4</f>
        <v>5.0332229568470239E-3</v>
      </c>
      <c r="J4" s="37">
        <f>I5-I4*0.5</f>
        <v>4.3954833885215763</v>
      </c>
      <c r="K4" s="37">
        <f>J4-I4*1</f>
        <v>4.3904501655647294</v>
      </c>
      <c r="L4" s="37">
        <f>K4-I4*2</f>
        <v>4.3803837196510358</v>
      </c>
      <c r="M4" s="37">
        <f>L4-I4*3</f>
        <v>4.3652840507804944</v>
      </c>
      <c r="N4" s="37">
        <f>M4-I4*4</f>
        <v>4.3451511589531062</v>
      </c>
      <c r="O4" s="13">
        <f>IF((C4)&lt;M4,12,IF(AND(C4&gt;=N4,C4&lt;M4),10,IF(AND(C4&gt;=M4,C4&lt;L4),7.75,IF(AND(C4&gt;=L4,C4&lt;K4),5.5,IF(AND(C4&gt;=K4,C4&lt;J4),3.25,IF(AND(C4&gt;=J4,C4&lt;=J5),1,IF(AND(C4&gt;J5,C4&lt;=K5),3.25,IF(AND(C4&gt;K5,C4&lt;=L5),5.5,IF(AND(C4&gt;L5,C4&lt;=M5),7.75,IF(AND(C4&gt;M5,C4&lt;=N5),10,12))))))))))</f>
        <v>1</v>
      </c>
      <c r="P4" s="22">
        <f>BaseScore!$G$14</f>
        <v>3.7647008405999998</v>
      </c>
      <c r="Q4" s="22">
        <f>EnvirScore!$H$9</f>
        <v>3.5571116567549996</v>
      </c>
      <c r="R4" s="22">
        <f t="shared" ref="R4:R6" si="2">O4+P4+Q4</f>
        <v>8.3218124973549994</v>
      </c>
      <c r="S4" s="24">
        <f>IF((S5)&gt;9,1,IF(AND(S5&gt;7,S5&lt;=8.99),2,IF(AND(S5&gt;4,S5&lt;=6.99),3,IF(AND(S5&gt;0,S5&lt;=3.99),4,0))))</f>
        <v>3</v>
      </c>
      <c r="T4" s="25">
        <f>IF((T5)&gt;9,1,IF(AND(T5&gt;7,T5&lt;=8.99),2,IF(AND(T5&gt;4,T5&lt;=6.99),3,IF(AND(T5&gt;0,T5&lt;=3.99),4,0))))</f>
        <v>3</v>
      </c>
      <c r="U4" s="26">
        <f>IF((U5)&gt;9,1,IF(AND(U5&gt;7,U5&lt;=8.99),2,IF(AND(U5&gt;4,U5&lt;=6.99),3,IF(AND(U5&gt;0,U5&lt;=3.99),4,0))))</f>
        <v>3</v>
      </c>
    </row>
    <row r="5" spans="1:21" x14ac:dyDescent="0.25">
      <c r="B5" t="s">
        <v>32</v>
      </c>
      <c r="C5" s="38">
        <f>RawData!$F$14</f>
        <v>4.4020000000000001</v>
      </c>
      <c r="I5">
        <f>MEDIAN(C4:C6)</f>
        <v>4.3979999999999997</v>
      </c>
      <c r="J5" s="36">
        <f>I5+I4*0.5</f>
        <v>4.4005166114784231</v>
      </c>
      <c r="K5" s="36">
        <f>J5+I4*1</f>
        <v>4.4055498344352699</v>
      </c>
      <c r="L5" s="36">
        <f>K5+I4*2</f>
        <v>4.4156162803489636</v>
      </c>
      <c r="M5" s="36">
        <f>L5+I4*3</f>
        <v>4.430715949219505</v>
      </c>
      <c r="N5" s="36">
        <f>M5+I4*4</f>
        <v>4.4508488410468932</v>
      </c>
      <c r="O5">
        <f>IF((C5)&lt;M4,12,IF(AND(C5&gt;=N4,C5&lt;M4),10,IF(AND(C5&gt;=M4,C5&lt;L4),7.75,IF(AND(C5&gt;=L4,C5&lt;K4),5.5,IF(AND(C5&gt;=K4,C5&lt;J4),3.25,IF(AND(C5&gt;=J4,C5&lt;=J5),1,IF(AND(C5&gt;J5,C5&lt;=K5),3.25,IF(AND(C5&gt;K5,C5&lt;=L5),5.5,IF(AND(C5&gt;L5,C5&lt;=M5),7.75,IF(AND(C5&gt;M5,C5&lt;=N5),10,12))))))))))</f>
        <v>3.25</v>
      </c>
      <c r="P5" s="22">
        <f>BaseScore!$G$14</f>
        <v>3.7647008405999998</v>
      </c>
      <c r="Q5" s="22">
        <f>EnvirScore!$H$9</f>
        <v>3.5571116567549996</v>
      </c>
      <c r="R5" s="22">
        <f t="shared" si="2"/>
        <v>10.571812497354999</v>
      </c>
      <c r="S5" s="31">
        <f>((O4+P4)+(O5+P5)+(O6+P6))/3</f>
        <v>6.2647008405999998</v>
      </c>
      <c r="T5" s="31">
        <f>((O4+Q4)+(O5+Q5)+(O6+Q6))/3</f>
        <v>6.0571116567550005</v>
      </c>
      <c r="U5" s="30">
        <f>(SUM(S5:T5))/2</f>
        <v>6.1609062486775006</v>
      </c>
    </row>
    <row r="6" spans="1:21" x14ac:dyDescent="0.25">
      <c r="B6" t="s">
        <v>33</v>
      </c>
      <c r="C6" s="38">
        <f>RawData!$G$14</f>
        <v>4.3920000000000003</v>
      </c>
      <c r="J6" s="36"/>
      <c r="K6" s="36"/>
      <c r="L6" s="36"/>
      <c r="M6" s="36"/>
      <c r="N6" s="36"/>
      <c r="O6">
        <f>IF((C6)&lt;M4,12,IF(AND(C6&gt;=N4,C6&lt;M4),10,IF(AND(C6&gt;=M4,C6&lt;L4),7.75,IF(AND(C6&gt;=L4,C6&lt;K4),5.5,IF(AND(C6&gt;=K4,C6&lt;J4),3.25,IF(AND(C6&gt;=J4,C6&lt;=J5),1,IF(AND(C6&gt;J5,C6&lt;=K5),3.25,IF(AND(C6&gt;K5,C6&lt;=L5),5.5,IF(AND(C6&gt;L5,C6&lt;=M5),7.75,IF(AND(C6&gt;M5,C6&lt;=N5),10,12))))))))))</f>
        <v>3.25</v>
      </c>
      <c r="P6" s="22">
        <f>BaseScore!$G$14</f>
        <v>3.7647008405999998</v>
      </c>
      <c r="Q6" s="22">
        <f>EnvirScore!$H$9</f>
        <v>3.5571116567549996</v>
      </c>
      <c r="R6" s="22">
        <f t="shared" si="2"/>
        <v>10.571812497354999</v>
      </c>
      <c r="S6" s="11"/>
      <c r="T6" s="11"/>
      <c r="U6" s="11"/>
    </row>
    <row r="7" spans="1:21" x14ac:dyDescent="0.25">
      <c r="C7" s="38"/>
      <c r="J7" s="36"/>
      <c r="K7" s="36"/>
      <c r="L7" s="36"/>
      <c r="M7" s="36"/>
      <c r="N7" s="36"/>
      <c r="Q7" s="30"/>
    </row>
    <row r="8" spans="1:21" ht="15.75" thickBot="1" x14ac:dyDescent="0.3">
      <c r="A8" t="s">
        <v>84</v>
      </c>
      <c r="C8" s="38"/>
      <c r="J8" s="36"/>
      <c r="K8" s="36"/>
      <c r="L8" s="36"/>
      <c r="M8" s="36"/>
      <c r="N8" s="36"/>
      <c r="Q8" s="30"/>
    </row>
    <row r="9" spans="1:21" ht="15.75" thickBot="1" x14ac:dyDescent="0.3">
      <c r="A9" s="13" t="s">
        <v>20</v>
      </c>
      <c r="B9" s="13" t="s">
        <v>31</v>
      </c>
      <c r="C9" s="45">
        <f>RawData!$F$14</f>
        <v>4.4020000000000001</v>
      </c>
      <c r="D9" s="13">
        <f>((D4*2)+(_xlfn.STDEV.S(C9,C10,C11))/3)</f>
        <v>1.2669862472329615E-2</v>
      </c>
      <c r="E9" s="13">
        <f t="shared" ref="E9" si="3">IF(D9=0,1,D9)</f>
        <v>1.2669862472329615E-2</v>
      </c>
      <c r="F9" s="13">
        <v>1</v>
      </c>
      <c r="G9" s="13">
        <f>SUM(C9:C11)</f>
        <v>13.179</v>
      </c>
      <c r="H9" s="13">
        <f t="shared" ref="H9" si="4">G9/E9</f>
        <v>1040.1849292983502</v>
      </c>
      <c r="I9" s="13">
        <f>E9</f>
        <v>1.2669862472329615E-2</v>
      </c>
      <c r="J9" s="37">
        <f>I10-I9*0.5</f>
        <v>4.3826650687638358</v>
      </c>
      <c r="K9" s="37">
        <f>J9-I9*1</f>
        <v>4.369995206291506</v>
      </c>
      <c r="L9" s="37">
        <f>K9-I9*2</f>
        <v>4.3446554813468463</v>
      </c>
      <c r="M9" s="37">
        <f>L9-I9*3</f>
        <v>4.3066458939298577</v>
      </c>
      <c r="N9" s="37">
        <f>M9-I9*4</f>
        <v>4.2559664440405394</v>
      </c>
      <c r="O9" s="13">
        <f>IF((C9)&lt;M9,12,IF(AND(C9&gt;=N9,C9&lt;M9),10,IF(AND(C9&gt;=M9,C9&lt;L9),7.75,IF(AND(C9&gt;=L9,C9&lt;K9),5.5,IF(AND(C9&gt;=K9,C9&lt;J9),3.25,IF(AND(C9&gt;=J9,C9&lt;=J10),1,IF(AND(C9&gt;J10,C9&lt;=K10),3.25,IF(AND(C9&gt;K10,C9&lt;=L10),5.5,IF(AND(C9&gt;L10,C9&lt;=M10),7.75,IF(AND(C9&gt;M10,C9&lt;=N10),10,12))))))))))</f>
        <v>3.25</v>
      </c>
      <c r="P9" s="22">
        <f>BaseScore!$G$14</f>
        <v>3.7647008405999998</v>
      </c>
      <c r="Q9" s="22">
        <f>EnvirScore!$H$9</f>
        <v>3.5571116567549996</v>
      </c>
      <c r="R9" s="22">
        <f t="shared" ref="R9:R11" si="5">O9+P9+Q9</f>
        <v>10.571812497354999</v>
      </c>
      <c r="S9" s="24">
        <f>IF((S10)&gt;9,1,IF(AND(S10&gt;7,S10&lt;=8.99),2,IF(AND(S10&gt;4,S10&lt;=6.99),3,IF(AND(S10&gt;0,S10&lt;=3.99),4,0))))</f>
        <v>3</v>
      </c>
      <c r="T9" s="25">
        <f>IF((T10)&gt;9,1,IF(AND(T10&gt;7,T10&lt;=8.99),2,IF(AND(T10&gt;4,T10&lt;=6.99),3,IF(AND(T10&gt;0,T10&lt;=3.99),4,0))))</f>
        <v>3</v>
      </c>
      <c r="U9" s="26">
        <f>IF((U10)&gt;9,1,IF(AND(U10&gt;7,U10&lt;=8.99),2,IF(AND(U10&gt;4,U10&lt;=6.99),3,IF(AND(U10&gt;0,U10&lt;=3.99),4,0))))</f>
        <v>3</v>
      </c>
    </row>
    <row r="10" spans="1:21" x14ac:dyDescent="0.25">
      <c r="B10" t="s">
        <v>32</v>
      </c>
      <c r="C10" s="44">
        <f>RawData!$I$14</f>
        <v>4.3890000000000002</v>
      </c>
      <c r="I10">
        <f>MEDIAN(C9:C11)</f>
        <v>4.3890000000000002</v>
      </c>
      <c r="J10" s="36">
        <f>I10+I9*0.5</f>
        <v>4.3953349312361647</v>
      </c>
      <c r="K10" s="36">
        <f>J10+I9*1</f>
        <v>4.4080047937084945</v>
      </c>
      <c r="L10" s="36">
        <f>K10+I9*2</f>
        <v>4.4333445186531542</v>
      </c>
      <c r="M10" s="36">
        <f>L10+I9*3</f>
        <v>4.4713541060701427</v>
      </c>
      <c r="N10" s="36">
        <f>M10+I9*4</f>
        <v>4.5220335559594611</v>
      </c>
      <c r="O10">
        <f>IF((C10)&lt;M9,12,IF(AND(C10&gt;=N9,C10&lt;M9),10,IF(AND(C10&gt;=M9,C10&lt;L9),7.75,IF(AND(C10&gt;=L9,C10&lt;K9),5.5,IF(AND(C10&gt;=K9,C10&lt;J9),3.25,IF(AND(C10&gt;=J9,C10&lt;=J10),1,IF(AND(C10&gt;J10,C10&lt;=K10),3.25,IF(AND(C10&gt;K10,C10&lt;=L10),5.5,IF(AND(C10&gt;L10,C10&lt;=M10),7.75,IF(AND(C10&gt;M10,C10&lt;=N10),10,12))))))))))</f>
        <v>1</v>
      </c>
      <c r="P10" s="22">
        <f>BaseScore!$G$14</f>
        <v>3.7647008405999998</v>
      </c>
      <c r="Q10" s="22">
        <f>EnvirScore!$H$9</f>
        <v>3.5571116567549996</v>
      </c>
      <c r="R10" s="22">
        <f t="shared" si="5"/>
        <v>8.3218124973549994</v>
      </c>
      <c r="S10" s="31">
        <f>((O9+P9)+(O10+P10)+(O11+P11))/3</f>
        <v>5.5147008405999998</v>
      </c>
      <c r="T10" s="31">
        <f>((O9+Q9)+(O10+Q10)+(O11+Q11))/3</f>
        <v>5.3071116567549996</v>
      </c>
      <c r="U10" s="30">
        <f>(SUM(S10:T10))/2</f>
        <v>5.4109062486774997</v>
      </c>
    </row>
    <row r="11" spans="1:21" x14ac:dyDescent="0.25">
      <c r="B11" t="s">
        <v>33</v>
      </c>
      <c r="C11" s="44">
        <f>RawData!$H$14</f>
        <v>4.3879999999999999</v>
      </c>
      <c r="J11" s="36"/>
      <c r="K11" s="36"/>
      <c r="L11" s="36"/>
      <c r="M11" s="36"/>
      <c r="N11" s="36"/>
      <c r="O11">
        <f>IF((C11)&lt;M9,12,IF(AND(C11&gt;=N9,C11&lt;M9),10,IF(AND(C11&gt;=M9,C11&lt;L9),7.75,IF(AND(C11&gt;=L9,C11&lt;K9),5.5,IF(AND(C11&gt;=K9,C11&lt;J9),3.25,IF(AND(C11&gt;=J9,C11&lt;=J10),1,IF(AND(C11&gt;J10,C11&lt;=K10),3.25,IF(AND(C11&gt;K10,C11&lt;=L10),5.5,IF(AND(C11&gt;L10,C11&lt;=M10),7.75,IF(AND(C11&gt;M10,C11&lt;=N10),10,12))))))))))</f>
        <v>1</v>
      </c>
      <c r="P11" s="22">
        <f>BaseScore!$G$14</f>
        <v>3.7647008405999998</v>
      </c>
      <c r="Q11" s="22">
        <f>EnvirScore!$H$9</f>
        <v>3.5571116567549996</v>
      </c>
      <c r="R11" s="22">
        <f t="shared" si="5"/>
        <v>8.3218124973549994</v>
      </c>
      <c r="S11" s="11"/>
      <c r="T11" s="11"/>
      <c r="U11" s="11"/>
    </row>
    <row r="12" spans="1:21" x14ac:dyDescent="0.25">
      <c r="C12" s="38"/>
      <c r="J12" s="21"/>
      <c r="K12" s="21"/>
      <c r="L12" s="21"/>
      <c r="M12" s="21"/>
      <c r="N12" s="21"/>
      <c r="Q12" s="30"/>
    </row>
    <row r="13" spans="1:21" ht="15.75" thickBot="1" x14ac:dyDescent="0.3">
      <c r="A13" t="s">
        <v>145</v>
      </c>
      <c r="C13" s="38"/>
      <c r="J13" s="21"/>
      <c r="K13" s="21"/>
      <c r="L13" s="21"/>
      <c r="M13" s="21"/>
      <c r="N13" s="21"/>
      <c r="Q13" s="30"/>
    </row>
    <row r="14" spans="1:21" ht="15.75" thickBot="1" x14ac:dyDescent="0.3">
      <c r="A14" s="13" t="s">
        <v>20</v>
      </c>
      <c r="B14" s="13" t="s">
        <v>31</v>
      </c>
      <c r="C14" s="45">
        <f>RawData!$E$14</f>
        <v>4.3979999999999997</v>
      </c>
      <c r="D14" s="13">
        <f>(_xlfn.STDEV.S(C14,C15,C16)+(D4*4)+(D9*2))/7</f>
        <v>4.3618335139396162E-2</v>
      </c>
      <c r="E14" s="13">
        <f t="shared" ref="E14" si="6">IF(D14=0,1,D14)</f>
        <v>4.3618335139396162E-2</v>
      </c>
      <c r="F14" s="13">
        <v>1</v>
      </c>
      <c r="G14" s="13">
        <f>SUM(C14:C16)</f>
        <v>13.629</v>
      </c>
      <c r="H14" s="13">
        <f t="shared" ref="H14" si="7">G14/E14</f>
        <v>312.46034394582523</v>
      </c>
      <c r="I14" s="13">
        <f>E14</f>
        <v>4.3618335139396162E-2</v>
      </c>
      <c r="J14" s="37">
        <f>I15-I14*0.5</f>
        <v>4.3761908324303018</v>
      </c>
      <c r="K14" s="37">
        <f>J14-I14*1</f>
        <v>4.3325724972909061</v>
      </c>
      <c r="L14" s="37">
        <f>K14-I14*2</f>
        <v>4.2453358270121138</v>
      </c>
      <c r="M14" s="37">
        <f>L14-I14*3</f>
        <v>4.1144808215939257</v>
      </c>
      <c r="N14" s="37">
        <f>M14-I14*4</f>
        <v>3.940007481036341</v>
      </c>
      <c r="O14" s="13">
        <f>IF((C14)&lt;M14,12,IF(AND(C14&gt;=N14,C14&lt;M14),10,IF(AND(C14&gt;=M14,C14&lt;L14),7.75,IF(AND(C14&gt;=L14,C14&lt;K14),5.5,IF(AND(C14&gt;=K14,C14&lt;J14),3.25,IF(AND(C14&gt;=J14,C14&lt;=J15),1,IF(AND(C14&gt;J15,C14&lt;=K15),3.25,IF(AND(C14&gt;K15,C14&lt;=L15),5.5,IF(AND(C14&gt;L15,C14&lt;=M15),7.75,IF(AND(C14&gt;M15,C14&lt;=N15),10,12))))))))))</f>
        <v>1</v>
      </c>
      <c r="P14" s="22">
        <f>BaseScore!$G$14</f>
        <v>3.7647008405999998</v>
      </c>
      <c r="Q14" s="22">
        <f>EnvirScore!$H$9</f>
        <v>3.5571116567549996</v>
      </c>
      <c r="R14" s="22">
        <f t="shared" ref="R14:R16" si="8">O14+P14+Q14</f>
        <v>8.3218124973549994</v>
      </c>
      <c r="S14" s="24">
        <f>IF((S15)&gt;9,1,IF(AND(S15&gt;7,S15&lt;=8.99),2,IF(AND(S15&gt;4,S15&lt;=6.99),3,IF(AND(S15&gt;0,S15&lt;=3.99),4,0))))</f>
        <v>2</v>
      </c>
      <c r="T14" s="25">
        <f>IF((T15)&gt;9,1,IF(AND(T15&gt;7,T15&lt;=8.99),2,IF(AND(T15&gt;4,T15&lt;=6.99),3,IF(AND(T15&gt;0,T15&lt;=3.99),4,0))))</f>
        <v>2</v>
      </c>
      <c r="U14" s="26">
        <f>IF((U15)&gt;9,1,IF(AND(U15&gt;7,U15&lt;=8.99),2,IF(AND(U15&gt;4,U15&lt;=6.99),3,IF(AND(U15&gt;0,U15&lt;=3.99),4,0))))</f>
        <v>2</v>
      </c>
    </row>
    <row r="15" spans="1:21" x14ac:dyDescent="0.25">
      <c r="B15" t="s">
        <v>32</v>
      </c>
      <c r="C15" s="44">
        <f>RawData!$H$14</f>
        <v>4.3879999999999999</v>
      </c>
      <c r="I15" s="38">
        <f>MEDIAN(C14:C16)</f>
        <v>4.3979999999999997</v>
      </c>
      <c r="J15" s="36">
        <f>I15+I14*0.5</f>
        <v>4.4198091675696975</v>
      </c>
      <c r="K15" s="36">
        <f>J15+I14*1</f>
        <v>4.4634275027090933</v>
      </c>
      <c r="L15" s="36">
        <f>K15+I14*2</f>
        <v>4.5506641729878856</v>
      </c>
      <c r="M15" s="36">
        <f>L15+I14*3</f>
        <v>4.6815191784060737</v>
      </c>
      <c r="N15" s="36">
        <f>M15+I14*4</f>
        <v>4.8559925189636584</v>
      </c>
      <c r="O15">
        <f>IF((C15)&lt;M14,12,IF(AND(C15&gt;=N14,C15&lt;M14),10,IF(AND(C15&gt;=M14,C15&lt;L14),7.75,IF(AND(C15&gt;=L14,C15&lt;K14),5.5,IF(AND(C15&gt;=K14,C15&lt;J14),3.25,IF(AND(C15&gt;=J14,C15&lt;=J15),1,IF(AND(C15&gt;J15,C15&lt;=K15),3.25,IF(AND(C15&gt;K15,C15&lt;=L15),5.5,IF(AND(C15&gt;L15,C15&lt;=M15),7.75,IF(AND(C15&gt;M15,C15&lt;=N15),10,12))))))))))</f>
        <v>1</v>
      </c>
      <c r="P15" s="22">
        <f>BaseScore!$G$14</f>
        <v>3.7647008405999998</v>
      </c>
      <c r="Q15" s="22">
        <f>EnvirScore!$H$9</f>
        <v>3.5571116567549996</v>
      </c>
      <c r="R15" s="22">
        <f t="shared" si="8"/>
        <v>8.3218124973549994</v>
      </c>
      <c r="S15" s="31">
        <f>((O14+P14)+(O15+P15)+(O16+P16))/3</f>
        <v>7.7647008405999998</v>
      </c>
      <c r="T15" s="31">
        <f>((O14+Q14)+(O15+Q15)+(O16+Q16))/3</f>
        <v>7.5571116567550005</v>
      </c>
      <c r="U15" s="30">
        <f>(SUM(S15:T15))/2</f>
        <v>7.6609062486775006</v>
      </c>
    </row>
    <row r="16" spans="1:21" x14ac:dyDescent="0.25">
      <c r="B16" t="s">
        <v>33</v>
      </c>
      <c r="C16" s="44">
        <f>RawData!$J$15</f>
        <v>4.843</v>
      </c>
      <c r="J16" s="36"/>
      <c r="K16" s="36"/>
      <c r="L16" s="36"/>
      <c r="M16" s="36"/>
      <c r="N16" s="36"/>
      <c r="O16">
        <f>IF((C16)&lt;M14,12,IF(AND(C16&gt;=N14,C16&lt;M14),10,IF(AND(C16&gt;=M14,C16&lt;L14),7.75,IF(AND(C16&gt;=L14,C16&lt;K14),5.5,IF(AND(C16&gt;=K14,C16&lt;J14),3.25,IF(AND(C16&gt;=J14,C16&lt;=J15),1,IF(AND(C16&gt;J15,C16&lt;=K15),3.25,IF(AND(C16&gt;K15,C16&lt;=L15),5.5,IF(AND(C16&gt;L15,C16&lt;=M15),7.75,IF(AND(C16&gt;M15,C16&lt;=N15),10,12))))))))))</f>
        <v>10</v>
      </c>
      <c r="P16" s="22">
        <f>BaseScore!$G$14</f>
        <v>3.7647008405999998</v>
      </c>
      <c r="Q16" s="22">
        <f>EnvirScore!$H$9</f>
        <v>3.5571116567549996</v>
      </c>
      <c r="R16" s="22">
        <f t="shared" si="8"/>
        <v>17.321812497354998</v>
      </c>
      <c r="S16" s="11"/>
      <c r="T16" s="11"/>
      <c r="U16" s="11"/>
    </row>
    <row r="17" spans="1:21" x14ac:dyDescent="0.25">
      <c r="C17" s="38"/>
      <c r="J17" s="36"/>
      <c r="K17" s="36"/>
      <c r="L17" s="36"/>
      <c r="M17" s="36"/>
      <c r="N17" s="36"/>
      <c r="Q17" s="30"/>
    </row>
    <row r="18" spans="1:21" ht="15.75" thickBot="1" x14ac:dyDescent="0.3">
      <c r="A18" t="s">
        <v>146</v>
      </c>
      <c r="C18" s="38"/>
      <c r="J18" s="36"/>
      <c r="K18" s="36"/>
      <c r="L18" s="36"/>
      <c r="M18" s="36"/>
      <c r="N18" s="36"/>
      <c r="Q18" s="30"/>
    </row>
    <row r="19" spans="1:21" ht="15.75" thickBot="1" x14ac:dyDescent="0.3">
      <c r="A19" s="13" t="s">
        <v>20</v>
      </c>
      <c r="B19" s="13" t="s">
        <v>31</v>
      </c>
      <c r="C19" s="45">
        <f>RawData!$F$14</f>
        <v>4.4020000000000001</v>
      </c>
      <c r="D19" s="13">
        <f>(_xlfn.STDEV.S(C19,C20,C21)+(D4*4)+(D9*2))/7</f>
        <v>9.3992313101747521E-2</v>
      </c>
      <c r="E19" s="13">
        <f t="shared" ref="E19" si="9">IF(D19=0,1,D19)</f>
        <v>9.3992313101747521E-2</v>
      </c>
      <c r="F19" s="13">
        <v>1</v>
      </c>
      <c r="G19" s="13">
        <f>SUM(C19:C21)</f>
        <v>14.251799999999999</v>
      </c>
      <c r="H19" s="13">
        <f t="shared" ref="H19" si="10">G19/E19</f>
        <v>151.62729301674167</v>
      </c>
      <c r="I19" s="13">
        <f>E19</f>
        <v>9.3992313101747521E-2</v>
      </c>
      <c r="J19" s="37">
        <f>I20-I19*0.5</f>
        <v>4.3550038434491265</v>
      </c>
      <c r="K19" s="37">
        <f>J19-I19*1</f>
        <v>4.2610115303473792</v>
      </c>
      <c r="L19" s="37">
        <f>K19-I19*2</f>
        <v>4.0730269041438838</v>
      </c>
      <c r="M19" s="37">
        <f>L19-I19*3</f>
        <v>3.7910499648386411</v>
      </c>
      <c r="N19" s="37">
        <f>M19-I19*4</f>
        <v>3.4150807124316511</v>
      </c>
      <c r="O19" s="13">
        <f>IF((C19)&lt;M19,12,IF(AND(C19&gt;=N19,C19&lt;M19),10,IF(AND(C19&gt;=M19,C19&lt;L19),7.75,IF(AND(C19&gt;=L19,C19&lt;K19),5.5,IF(AND(C19&gt;=K19,C19&lt;J19),3.25,IF(AND(C19&gt;=J19,C19&lt;=J20),1,IF(AND(C19&gt;J20,C19&lt;=K20),3.25,IF(AND(C19&gt;K20,C19&lt;=L20),5.5,IF(AND(C19&gt;L20,C19&lt;=M20),7.75,IF(AND(C19&gt;M20,C19&lt;=N20),10,12))))))))))</f>
        <v>1</v>
      </c>
      <c r="P19" s="22">
        <f>BaseScore!$G$14</f>
        <v>3.7647008405999998</v>
      </c>
      <c r="Q19" s="22">
        <f>EnvirScore!$H$9</f>
        <v>3.5571116567549996</v>
      </c>
      <c r="R19" s="22">
        <f t="shared" ref="R19:R21" si="11">O19+P19+Q19</f>
        <v>8.3218124973549994</v>
      </c>
      <c r="S19" s="24">
        <f>IF((S20)&gt;9,1,IF(AND(S20&gt;7,S20&lt;=8.99),2,IF(AND(S20&gt;4,S20&lt;=6.99),3,IF(AND(S20&gt;0,S20&lt;=3.99),4,0))))</f>
        <v>2</v>
      </c>
      <c r="T19" s="25">
        <f>IF((T20)&gt;9,1,IF(AND(T20&gt;7,T20&lt;=8.99),2,IF(AND(T20&gt;4,T20&lt;=6.99),3,IF(AND(T20&gt;0,T20&lt;=3.99),4,0))))</f>
        <v>2</v>
      </c>
      <c r="U19" s="26">
        <f>IF((U20)&gt;9,1,IF(AND(U20&gt;7,U20&lt;=8.99),2,IF(AND(U20&gt;4,U20&lt;=6.99),3,IF(AND(U20&gt;0,U20&lt;=3.99),4,0))))</f>
        <v>2</v>
      </c>
    </row>
    <row r="20" spans="1:21" x14ac:dyDescent="0.25">
      <c r="B20" t="s">
        <v>32</v>
      </c>
      <c r="C20" s="44">
        <f>RawData!$G$14</f>
        <v>4.3920000000000003</v>
      </c>
      <c r="I20">
        <f>MEDIAN(C19:C21)</f>
        <v>4.4020000000000001</v>
      </c>
      <c r="J20" s="36">
        <f>I20+I19*0.5</f>
        <v>4.4489961565508738</v>
      </c>
      <c r="K20" s="36">
        <f>J20+I19*1</f>
        <v>4.542988469652621</v>
      </c>
      <c r="L20" s="36">
        <f>K20+I19*2</f>
        <v>4.7309730958561165</v>
      </c>
      <c r="M20" s="36">
        <f>L20+I19*3</f>
        <v>5.0129500351613592</v>
      </c>
      <c r="N20" s="36">
        <f>M20+I19*4</f>
        <v>5.3889192875683491</v>
      </c>
      <c r="O20">
        <f>IF((C20)&lt;M19,12,IF(AND(C20&gt;=N19,C20&lt;M19),10,IF(AND(C20&gt;=M19,C20&lt;L19),7.75,IF(AND(C20&gt;=L19,C20&lt;K19),5.5,IF(AND(C20&gt;=K19,C20&lt;J19),3.25,IF(AND(C20&gt;=J19,C20&lt;=J20),1,IF(AND(C20&gt;J20,C20&lt;=K20),3.25,IF(AND(C20&gt;K20,C20&lt;=L20),5.5,IF(AND(C20&gt;L20,C20&lt;=M20),7.75,IF(AND(C20&gt;M20,C20&lt;=N20),10,12))))))))))</f>
        <v>1</v>
      </c>
      <c r="P20" s="22">
        <f>BaseScore!$G$14</f>
        <v>3.7647008405999998</v>
      </c>
      <c r="Q20" s="22">
        <f>EnvirScore!$H$9</f>
        <v>3.5571116567549996</v>
      </c>
      <c r="R20" s="22">
        <f t="shared" si="11"/>
        <v>8.3218124973549994</v>
      </c>
      <c r="S20" s="31">
        <f>((O19+P19)+(O20+P20)+(O21+P21))/3</f>
        <v>8.4313675072666658</v>
      </c>
      <c r="T20" s="31">
        <f>((O19+Q19)+(O20+Q20)+(O21+Q21))/3</f>
        <v>8.2237783234216675</v>
      </c>
      <c r="U20" s="30">
        <f>(SUM(S20:T20))/2</f>
        <v>8.3275729153441667</v>
      </c>
    </row>
    <row r="21" spans="1:21" x14ac:dyDescent="0.25">
      <c r="B21" t="s">
        <v>33</v>
      </c>
      <c r="C21" s="44">
        <f>RawData!$J$16</f>
        <v>5.4577999999999998</v>
      </c>
      <c r="J21" s="21"/>
      <c r="K21" s="21"/>
      <c r="L21" s="21"/>
      <c r="M21" s="21"/>
      <c r="N21" s="21"/>
      <c r="O21">
        <f>IF((C21)&lt;M19,12,IF(AND(C21&gt;=N19,C21&lt;M19),10,IF(AND(C21&gt;=M19,C21&lt;L19),7.75,IF(AND(C21&gt;=L19,C21&lt;K19),5.5,IF(AND(C21&gt;=K19,C21&lt;J19),3.25,IF(AND(C21&gt;=J19,C21&lt;=J20),1,IF(AND(C21&gt;J20,C21&lt;=K20),3.25,IF(AND(C21&gt;K20,C21&lt;=L20),5.5,IF(AND(C21&gt;L20,C21&lt;=M20),7.75,IF(AND(C21&gt;M20,C21&lt;=N20),10,12))))))))))</f>
        <v>12</v>
      </c>
      <c r="P21" s="22">
        <f>BaseScore!$G$14</f>
        <v>3.7647008405999998</v>
      </c>
      <c r="Q21" s="22">
        <f>EnvirScore!$H$9</f>
        <v>3.5571116567549996</v>
      </c>
      <c r="R21" s="22">
        <f t="shared" si="11"/>
        <v>19.321812497354998</v>
      </c>
      <c r="S21" s="11"/>
      <c r="T21" s="11"/>
      <c r="U21" s="11"/>
    </row>
    <row r="22" spans="1:21" x14ac:dyDescent="0.25">
      <c r="C22" s="38"/>
      <c r="J22" s="21"/>
      <c r="K22" s="21"/>
      <c r="L22" s="21"/>
      <c r="M22" s="21"/>
      <c r="N22" s="21"/>
    </row>
    <row r="23" spans="1:21" ht="15.75" thickBot="1" x14ac:dyDescent="0.3">
      <c r="A23" t="s">
        <v>147</v>
      </c>
      <c r="C23" s="38"/>
      <c r="J23" s="36"/>
      <c r="K23" s="36"/>
      <c r="L23" s="36"/>
      <c r="M23" s="36"/>
      <c r="N23" s="36"/>
      <c r="Q23" s="30"/>
    </row>
    <row r="24" spans="1:21" ht="15.75" thickBot="1" x14ac:dyDescent="0.3">
      <c r="A24" s="13" t="s">
        <v>20</v>
      </c>
      <c r="B24" s="13" t="s">
        <v>31</v>
      </c>
      <c r="C24" s="45">
        <f>RawData!$H$14</f>
        <v>4.3879999999999999</v>
      </c>
      <c r="D24" s="13">
        <f>(_xlfn.STDEV.S(C24,C25,C26)+(D9*4)+(D14*2))/7</f>
        <v>0.23149323817374609</v>
      </c>
      <c r="E24" s="13">
        <f t="shared" ref="E24" si="12">IF(D24=0,1,D24)</f>
        <v>0.23149323817374609</v>
      </c>
      <c r="F24" s="13">
        <v>1</v>
      </c>
      <c r="G24" s="13">
        <f>SUM(C24:C26)</f>
        <v>15.752799999999999</v>
      </c>
      <c r="H24" s="13">
        <f t="shared" ref="H24" si="13">G24/E24</f>
        <v>68.048639883713633</v>
      </c>
      <c r="I24" s="13">
        <f>E24</f>
        <v>0.23149323817374609</v>
      </c>
      <c r="J24" s="37">
        <f>I25-I24*0.5</f>
        <v>4.2862533809131271</v>
      </c>
      <c r="K24" s="37">
        <f>J24-I24*1</f>
        <v>4.0547601427393811</v>
      </c>
      <c r="L24" s="37">
        <f>K24-I24*2</f>
        <v>3.5917736663918891</v>
      </c>
      <c r="M24" s="37">
        <f>L24-I24*3</f>
        <v>2.8972939518706511</v>
      </c>
      <c r="N24" s="37">
        <f>M24-I24*4</f>
        <v>1.9713209991756666</v>
      </c>
      <c r="O24" s="13">
        <f>IF((C24)&lt;M24,12,IF(AND(C24&gt;=N24,C24&lt;M24),10,IF(AND(C24&gt;=M24,C24&lt;L24),7.75,IF(AND(C24&gt;=L24,C24&lt;K24),5.5,IF(AND(C24&gt;=K24,C24&lt;J24),3.25,IF(AND(C24&gt;=J24,C24&lt;=J25),1,IF(AND(C24&gt;J25,C24&lt;=K25),3.25,IF(AND(C24&gt;K25,C24&lt;=L25),5.5,IF(AND(C24&gt;L25,C24&lt;=M25),7.75,IF(AND(C24&gt;M25,C24&lt;=N25),10,12))))))))))</f>
        <v>1</v>
      </c>
      <c r="P24" s="22">
        <f>BaseScore!$G$14</f>
        <v>3.7647008405999998</v>
      </c>
      <c r="Q24" s="22">
        <f>EnvirScore!$H$9</f>
        <v>3.5571116567549996</v>
      </c>
      <c r="R24" s="22">
        <f t="shared" ref="R24:R26" si="14">O24+P24+Q24</f>
        <v>8.3218124973549994</v>
      </c>
      <c r="S24" s="24">
        <f>IF((S25)&gt;9,1,IF(AND(S25&gt;7,S25&lt;=8.99),2,IF(AND(S25&gt;4,S25&lt;=6.99),3,IF(AND(S25&gt;0,S25&lt;=3.99),4,0))))</f>
        <v>2</v>
      </c>
      <c r="T24" s="25">
        <f>IF((T25)&gt;9,1,IF(AND(T25&gt;7,T25&lt;=8.99),2,IF(AND(T25&gt;4,T25&lt;=6.99),3,IF(AND(T25&gt;0,T25&lt;=3.99),4,0))))</f>
        <v>2</v>
      </c>
      <c r="U24" s="26">
        <f>IF((U25)&gt;9,1,IF(AND(U25&gt;7,U25&lt;=8.99),2,IF(AND(U25&gt;4,U25&lt;=6.99),3,IF(AND(U25&gt;0,U25&lt;=3.99),4,0))))</f>
        <v>2</v>
      </c>
    </row>
    <row r="25" spans="1:21" x14ac:dyDescent="0.25">
      <c r="B25" t="s">
        <v>32</v>
      </c>
      <c r="C25" s="44">
        <f>RawData!$F$14</f>
        <v>4.4020000000000001</v>
      </c>
      <c r="I25">
        <f>MEDIAN(C24:C26)</f>
        <v>4.4020000000000001</v>
      </c>
      <c r="J25" s="36">
        <f>I25+I24*0.5</f>
        <v>4.5177466190868731</v>
      </c>
      <c r="K25" s="36">
        <f>J25+I24*1</f>
        <v>4.7492398572606191</v>
      </c>
      <c r="L25" s="36">
        <f>K25+I24*2</f>
        <v>5.2122263336081112</v>
      </c>
      <c r="M25" s="36">
        <f>L25+I24*3</f>
        <v>5.9067060481293492</v>
      </c>
      <c r="N25" s="36">
        <f>M25+I24*4</f>
        <v>6.8326790008243332</v>
      </c>
      <c r="O25">
        <f>IF((C25)&lt;M24,12,IF(AND(C25&gt;=N24,C25&lt;M24),10,IF(AND(C25&gt;=M24,C25&lt;L24),7.75,IF(AND(C25&gt;=L24,C25&lt;K24),5.5,IF(AND(C25&gt;=K24,C25&lt;J24),3.25,IF(AND(C25&gt;=J24,C25&lt;=J25),1,IF(AND(C25&gt;J25,C25&lt;=K25),3.25,IF(AND(C25&gt;K25,C25&lt;=L25),5.5,IF(AND(C25&gt;L25,C25&lt;=M25),7.75,IF(AND(C25&gt;M25,C25&lt;=N25),10,12))))))))))</f>
        <v>1</v>
      </c>
      <c r="P25" s="22">
        <f>BaseScore!$G$14</f>
        <v>3.7647008405999998</v>
      </c>
      <c r="Q25" s="22">
        <f>EnvirScore!$H$9</f>
        <v>3.5571116567549996</v>
      </c>
      <c r="R25" s="22">
        <f t="shared" si="14"/>
        <v>8.3218124973549994</v>
      </c>
      <c r="S25" s="31">
        <f>((O24+P24)+(O25+P25)+(O26+P26))/3</f>
        <v>8.4313675072666658</v>
      </c>
      <c r="T25" s="31">
        <f>((O24+Q24)+(O25+Q25)+(O26+Q26))/3</f>
        <v>8.2237783234216675</v>
      </c>
      <c r="U25" s="30">
        <f>(SUM(S25:T25))/2</f>
        <v>8.3275729153441667</v>
      </c>
    </row>
    <row r="26" spans="1:21" x14ac:dyDescent="0.25">
      <c r="B26" t="s">
        <v>33</v>
      </c>
      <c r="C26" s="44">
        <f>RawData!$J$17</f>
        <v>6.9627999999999997</v>
      </c>
      <c r="J26" s="21"/>
      <c r="K26" s="21"/>
      <c r="L26" s="21"/>
      <c r="M26" s="21"/>
      <c r="N26" s="21"/>
      <c r="O26">
        <f>IF((C26)&lt;M24,12,IF(AND(C26&gt;=N24,C26&lt;M24),10,IF(AND(C26&gt;=M24,C26&lt;L24),7.75,IF(AND(C26&gt;=L24,C26&lt;K24),5.5,IF(AND(C26&gt;=K24,C26&lt;J24),3.25,IF(AND(C26&gt;=J24,C26&lt;=J25),1,IF(AND(C26&gt;J25,C26&lt;=K25),3.25,IF(AND(C26&gt;K25,C26&lt;=L25),5.5,IF(AND(C26&gt;L25,C26&lt;=M25),7.75,IF(AND(C26&gt;M25,C26&lt;=N25),10,12))))))))))</f>
        <v>12</v>
      </c>
      <c r="P26" s="22">
        <f>BaseScore!$G$14</f>
        <v>3.7647008405999998</v>
      </c>
      <c r="Q26" s="22">
        <f>EnvirScore!$H$9</f>
        <v>3.5571116567549996</v>
      </c>
      <c r="R26" s="22">
        <f t="shared" si="14"/>
        <v>19.321812497354998</v>
      </c>
      <c r="S26" s="11"/>
      <c r="T26" s="11"/>
      <c r="U26" s="11"/>
    </row>
  </sheetData>
  <conditionalFormatting sqref="U9">
    <cfRule type="cellIs" dxfId="59" priority="57" operator="equal">
      <formula>1</formula>
    </cfRule>
    <cfRule type="cellIs" dxfId="58" priority="58" operator="equal">
      <formula>2</formula>
    </cfRule>
    <cfRule type="cellIs" dxfId="57" priority="59" operator="equal">
      <formula>3</formula>
    </cfRule>
    <cfRule type="cellIs" dxfId="56" priority="60" operator="equal">
      <formula>4</formula>
    </cfRule>
  </conditionalFormatting>
  <conditionalFormatting sqref="S9">
    <cfRule type="cellIs" dxfId="55" priority="53" operator="equal">
      <formula>1</formula>
    </cfRule>
    <cfRule type="cellIs" dxfId="54" priority="54" operator="equal">
      <formula>2</formula>
    </cfRule>
    <cfRule type="cellIs" dxfId="53" priority="55" operator="equal">
      <formula>3</formula>
    </cfRule>
    <cfRule type="cellIs" dxfId="52" priority="56" operator="equal">
      <formula>4</formula>
    </cfRule>
  </conditionalFormatting>
  <conditionalFormatting sqref="T9">
    <cfRule type="cellIs" dxfId="51" priority="49" operator="equal">
      <formula>1</formula>
    </cfRule>
    <cfRule type="cellIs" dxfId="50" priority="50" operator="equal">
      <formula>2</formula>
    </cfRule>
    <cfRule type="cellIs" dxfId="49" priority="51" operator="equal">
      <formula>3</formula>
    </cfRule>
    <cfRule type="cellIs" dxfId="48" priority="52" operator="equal">
      <formula>4</formula>
    </cfRule>
  </conditionalFormatting>
  <conditionalFormatting sqref="U4">
    <cfRule type="cellIs" dxfId="47" priority="45" operator="equal">
      <formula>1</formula>
    </cfRule>
    <cfRule type="cellIs" dxfId="46" priority="46" operator="equal">
      <formula>2</formula>
    </cfRule>
    <cfRule type="cellIs" dxfId="45" priority="47" operator="equal">
      <formula>3</formula>
    </cfRule>
    <cfRule type="cellIs" dxfId="44" priority="48" operator="equal">
      <formula>4</formula>
    </cfRule>
  </conditionalFormatting>
  <conditionalFormatting sqref="S4">
    <cfRule type="cellIs" dxfId="43" priority="41" operator="equal">
      <formula>1</formula>
    </cfRule>
    <cfRule type="cellIs" dxfId="42" priority="42" operator="equal">
      <formula>2</formula>
    </cfRule>
    <cfRule type="cellIs" dxfId="41" priority="43" operator="equal">
      <formula>3</formula>
    </cfRule>
    <cfRule type="cellIs" dxfId="40" priority="44" operator="equal">
      <formula>4</formula>
    </cfRule>
  </conditionalFormatting>
  <conditionalFormatting sqref="T4">
    <cfRule type="cellIs" dxfId="39" priority="37" operator="equal">
      <formula>1</formula>
    </cfRule>
    <cfRule type="cellIs" dxfId="38" priority="38" operator="equal">
      <formula>2</formula>
    </cfRule>
    <cfRule type="cellIs" dxfId="37" priority="39" operator="equal">
      <formula>3</formula>
    </cfRule>
    <cfRule type="cellIs" dxfId="36" priority="40" operator="equal">
      <formula>4</formula>
    </cfRule>
  </conditionalFormatting>
  <conditionalFormatting sqref="U14">
    <cfRule type="cellIs" dxfId="35" priority="33" operator="equal">
      <formula>1</formula>
    </cfRule>
    <cfRule type="cellIs" dxfId="34" priority="34" operator="equal">
      <formula>2</formula>
    </cfRule>
    <cfRule type="cellIs" dxfId="33" priority="35" operator="equal">
      <formula>3</formula>
    </cfRule>
    <cfRule type="cellIs" dxfId="32" priority="36" operator="equal">
      <formula>4</formula>
    </cfRule>
  </conditionalFormatting>
  <conditionalFormatting sqref="S14">
    <cfRule type="cellIs" dxfId="31" priority="29" operator="equal">
      <formula>1</formula>
    </cfRule>
    <cfRule type="cellIs" dxfId="30" priority="30" operator="equal">
      <formula>2</formula>
    </cfRule>
    <cfRule type="cellIs" dxfId="29" priority="31" operator="equal">
      <formula>3</formula>
    </cfRule>
    <cfRule type="cellIs" dxfId="28" priority="32" operator="equal">
      <formula>4</formula>
    </cfRule>
  </conditionalFormatting>
  <conditionalFormatting sqref="T14">
    <cfRule type="cellIs" dxfId="27" priority="25" operator="equal">
      <formula>1</formula>
    </cfRule>
    <cfRule type="cellIs" dxfId="26" priority="26" operator="equal">
      <formula>2</formula>
    </cfRule>
    <cfRule type="cellIs" dxfId="25" priority="27" operator="equal">
      <formula>3</formula>
    </cfRule>
    <cfRule type="cellIs" dxfId="24" priority="28" operator="equal">
      <formula>4</formula>
    </cfRule>
  </conditionalFormatting>
  <conditionalFormatting sqref="U19">
    <cfRule type="cellIs" dxfId="23" priority="21" operator="equal">
      <formula>1</formula>
    </cfRule>
    <cfRule type="cellIs" dxfId="22" priority="22" operator="equal">
      <formula>2</formula>
    </cfRule>
    <cfRule type="cellIs" dxfId="21" priority="23" operator="equal">
      <formula>3</formula>
    </cfRule>
    <cfRule type="cellIs" dxfId="20" priority="24" operator="equal">
      <formula>4</formula>
    </cfRule>
  </conditionalFormatting>
  <conditionalFormatting sqref="S19">
    <cfRule type="cellIs" dxfId="19" priority="17" operator="equal">
      <formula>1</formula>
    </cfRule>
    <cfRule type="cellIs" dxfId="18" priority="18" operator="equal">
      <formula>2</formula>
    </cfRule>
    <cfRule type="cellIs" dxfId="17" priority="19" operator="equal">
      <formula>3</formula>
    </cfRule>
    <cfRule type="cellIs" dxfId="16" priority="20" operator="equal">
      <formula>4</formula>
    </cfRule>
  </conditionalFormatting>
  <conditionalFormatting sqref="T19">
    <cfRule type="cellIs" dxfId="15" priority="13" operator="equal">
      <formula>1</formula>
    </cfRule>
    <cfRule type="cellIs" dxfId="14" priority="14" operator="equal">
      <formula>2</formula>
    </cfRule>
    <cfRule type="cellIs" dxfId="13" priority="15" operator="equal">
      <formula>3</formula>
    </cfRule>
    <cfRule type="cellIs" dxfId="12" priority="16" operator="equal">
      <formula>4</formula>
    </cfRule>
  </conditionalFormatting>
  <conditionalFormatting sqref="U24">
    <cfRule type="cellIs" dxfId="11" priority="9" operator="equal">
      <formula>1</formula>
    </cfRule>
    <cfRule type="cellIs" dxfId="10" priority="10" operator="equal">
      <formula>2</formula>
    </cfRule>
    <cfRule type="cellIs" dxfId="9" priority="11" operator="equal">
      <formula>3</formula>
    </cfRule>
    <cfRule type="cellIs" dxfId="8" priority="12" operator="equal">
      <formula>4</formula>
    </cfRule>
  </conditionalFormatting>
  <conditionalFormatting sqref="S24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equal">
      <formula>4</formula>
    </cfRule>
  </conditionalFormatting>
  <conditionalFormatting sqref="T2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I22" sqref="I22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5" max="15" width="10.7109375" customWidth="1"/>
    <col min="16" max="17" width="11.28515625" customWidth="1"/>
    <col min="18" max="20" width="11.42578125" customWidth="1"/>
  </cols>
  <sheetData>
    <row r="1" spans="1:21" x14ac:dyDescent="0.25">
      <c r="A1" t="s">
        <v>148</v>
      </c>
    </row>
    <row r="2" spans="1:21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149</v>
      </c>
      <c r="O2" s="18" t="s">
        <v>29</v>
      </c>
      <c r="P2" s="19" t="s">
        <v>65</v>
      </c>
      <c r="Q2" s="19" t="s">
        <v>66</v>
      </c>
      <c r="R2" s="19" t="s">
        <v>2</v>
      </c>
      <c r="S2" s="19" t="s">
        <v>75</v>
      </c>
      <c r="T2" s="19" t="s">
        <v>76</v>
      </c>
      <c r="U2" s="19" t="s">
        <v>1</v>
      </c>
    </row>
    <row r="3" spans="1:21" ht="15.75" thickBot="1" x14ac:dyDescent="0.3">
      <c r="A3" t="s">
        <v>83</v>
      </c>
      <c r="J3" s="36"/>
      <c r="K3" s="36"/>
      <c r="L3" s="36"/>
      <c r="M3" s="36"/>
      <c r="N3" s="36"/>
    </row>
    <row r="4" spans="1:21" ht="15.75" thickBot="1" x14ac:dyDescent="0.3">
      <c r="A4" s="13" t="s">
        <v>20</v>
      </c>
      <c r="B4" s="13" t="s">
        <v>31</v>
      </c>
      <c r="C4" s="45">
        <f>RawData!$E$19</f>
        <v>8.7750000000000004</v>
      </c>
      <c r="D4" s="13">
        <f>_xlfn.STDEV.S(C4,C5,C6)</f>
        <v>1.1547005383786115E-3</v>
      </c>
      <c r="E4" s="13">
        <f t="shared" ref="E4" si="0">IF(D4=0,1,D4)</f>
        <v>1.1547005383786115E-3</v>
      </c>
      <c r="F4" s="13">
        <v>1</v>
      </c>
      <c r="G4" s="13">
        <f>SUM(C4:C6)</f>
        <v>26.326999999999998</v>
      </c>
      <c r="H4" s="13">
        <f t="shared" ref="H4" si="1">G4/E4</f>
        <v>22799.850805445552</v>
      </c>
      <c r="I4" s="13">
        <f>E4</f>
        <v>1.1547005383786115E-3</v>
      </c>
      <c r="J4" s="37">
        <f>I5-I4*0.5</f>
        <v>8.7744226497308109</v>
      </c>
      <c r="K4" s="37">
        <f>J4-I4*1</f>
        <v>8.7732679491924319</v>
      </c>
      <c r="L4" s="37">
        <f>K4-I4*2</f>
        <v>8.770958548115674</v>
      </c>
      <c r="M4" s="37">
        <f>L4-I4*3</f>
        <v>8.7674944465005389</v>
      </c>
      <c r="N4" s="37">
        <f>M4-I4*4</f>
        <v>8.7628756443470248</v>
      </c>
      <c r="O4" s="13">
        <f>IF((C4)&lt;M4,12,IF(AND(C4&gt;=N4,C4&lt;M4),10,IF(AND(C4&gt;=M4,C4&lt;L4),7.75,IF(AND(C4&gt;=L4,C4&lt;K4),5.5,IF(AND(C4&gt;=K4,C4&lt;J4),3.25,IF(AND(C4&gt;=J4,C4&lt;=J5),1,IF(AND(C4&gt;J5,C4&lt;=K5),3.25,IF(AND(C4&gt;K5,C4&lt;=L5),5.5,IF(AND(C4&gt;L5,C4&lt;=M5),7.75,IF(AND(C4&gt;M5,C4&lt;=N5),10,12))))))))))</f>
        <v>1</v>
      </c>
      <c r="P4" s="22">
        <f>BaseScore!$G$14</f>
        <v>3.7647008405999998</v>
      </c>
      <c r="Q4" s="22">
        <f>EnvirScore!$H$9</f>
        <v>3.5571116567549996</v>
      </c>
      <c r="R4" s="22">
        <f t="shared" ref="R4:R6" si="2">O4+P4+Q4</f>
        <v>8.3218124973549994</v>
      </c>
      <c r="S4" s="24">
        <f>IF((S5)&gt;9,1,IF(AND(S5&gt;7,S5&lt;=8.99),2,IF(AND(S5&gt;4,S5&lt;=6.99),3,IF(AND(S5&gt;0,S5&lt;=3.99),4,0))))</f>
        <v>3</v>
      </c>
      <c r="T4" s="25">
        <f>IF((T5)&gt;9,1,IF(AND(T5&gt;7,T5&lt;=8.99),2,IF(AND(T5&gt;4,T5&lt;=6.99),3,IF(AND(T5&gt;0,T5&lt;=3.99),4,0))))</f>
        <v>3</v>
      </c>
      <c r="U4" s="26">
        <f>IF((U5)&gt;9,1,IF(AND(U5&gt;7,U5&lt;=8.99),2,IF(AND(U5&gt;4,U5&lt;=6.99),3,IF(AND(U5&gt;0,U5&lt;=3.99),4,0))))</f>
        <v>3</v>
      </c>
    </row>
    <row r="5" spans="1:21" x14ac:dyDescent="0.25">
      <c r="B5" t="s">
        <v>32</v>
      </c>
      <c r="C5" s="38">
        <f>RawData!$F$19</f>
        <v>8.7769999999999992</v>
      </c>
      <c r="I5">
        <f>MEDIAN(C4:C6)</f>
        <v>8.7750000000000004</v>
      </c>
      <c r="J5" s="36">
        <f>I5+I4*0.5</f>
        <v>8.7755773502691898</v>
      </c>
      <c r="K5" s="36">
        <f>J5+I4*1</f>
        <v>8.7767320508075688</v>
      </c>
      <c r="L5" s="36">
        <f>K5+I4*2</f>
        <v>8.7790414518843267</v>
      </c>
      <c r="M5" s="36">
        <f>L5+I4*3</f>
        <v>8.7825055534994618</v>
      </c>
      <c r="N5" s="36">
        <f>M5+I4*4</f>
        <v>8.7871243556529759</v>
      </c>
      <c r="O5">
        <f>IF((C5)&lt;M4,12,IF(AND(C5&gt;=N4,C5&lt;M4),10,IF(AND(C5&gt;=M4,C5&lt;L4),7.75,IF(AND(C5&gt;=L4,C5&lt;K4),5.5,IF(AND(C5&gt;=K4,C5&lt;J4),3.25,IF(AND(C5&gt;=J4,C5&lt;=J5),1,IF(AND(C5&gt;J5,C5&lt;=K5),3.25,IF(AND(C5&gt;K5,C5&lt;=L5),5.5,IF(AND(C5&gt;L5,C5&lt;=M5),7.75,IF(AND(C5&gt;M5,C5&lt;=N5),10,12))))))))))</f>
        <v>5.5</v>
      </c>
      <c r="P5" s="22">
        <f>BaseScore!$G$14</f>
        <v>3.7647008405999998</v>
      </c>
      <c r="Q5" s="22">
        <f>EnvirScore!$H$9</f>
        <v>3.5571116567549996</v>
      </c>
      <c r="R5" s="22">
        <f t="shared" si="2"/>
        <v>12.821812497354999</v>
      </c>
      <c r="S5" s="31">
        <f>((O4+P4)+(O5+P5)+(O6+P6))/3</f>
        <v>6.2647008405999998</v>
      </c>
      <c r="T5" s="31">
        <f>((O4+Q4)+(O5+Q5)+(O6+Q6))/3</f>
        <v>6.0571116567550005</v>
      </c>
      <c r="U5" s="30">
        <f>(SUM(S5:T5))/2</f>
        <v>6.1609062486775006</v>
      </c>
    </row>
    <row r="6" spans="1:21" x14ac:dyDescent="0.25">
      <c r="B6" t="s">
        <v>33</v>
      </c>
      <c r="C6" s="38">
        <f>RawData!$G$19</f>
        <v>8.7750000000000004</v>
      </c>
      <c r="J6" s="36"/>
      <c r="K6" s="36"/>
      <c r="L6" s="36"/>
      <c r="M6" s="36"/>
      <c r="N6" s="36"/>
      <c r="O6">
        <f>IF((C6)&lt;M4,12,IF(AND(C6&gt;=N4,C6&lt;M4),10,IF(AND(C6&gt;=M4,C6&lt;L4),7.75,IF(AND(C6&gt;=L4,C6&lt;K4),5.5,IF(AND(C6&gt;=K4,C6&lt;J4),3.25,IF(AND(C6&gt;=J4,C6&lt;=J5),1,IF(AND(C6&gt;J5,C6&lt;=K5),3.25,IF(AND(C6&gt;K5,C6&lt;=L5),5.5,IF(AND(C6&gt;L5,C6&lt;=M5),7.75,IF(AND(C6&gt;M5,C6&lt;=N5),10,12))))))))))</f>
        <v>1</v>
      </c>
      <c r="P6" s="22">
        <f>BaseScore!$G$14</f>
        <v>3.7647008405999998</v>
      </c>
      <c r="Q6" s="22">
        <f>EnvirScore!$H$9</f>
        <v>3.5571116567549996</v>
      </c>
      <c r="R6" s="22">
        <f t="shared" si="2"/>
        <v>8.3218124973549994</v>
      </c>
      <c r="S6" s="11"/>
      <c r="T6" s="11"/>
      <c r="U6" s="11"/>
    </row>
    <row r="7" spans="1:21" x14ac:dyDescent="0.25">
      <c r="C7" s="38"/>
      <c r="J7" s="36"/>
      <c r="K7" s="36"/>
      <c r="L7" s="36"/>
      <c r="M7" s="36"/>
      <c r="N7" s="36"/>
      <c r="Q7" s="30"/>
    </row>
    <row r="8" spans="1:21" ht="15.75" thickBot="1" x14ac:dyDescent="0.3">
      <c r="A8" t="s">
        <v>84</v>
      </c>
      <c r="C8" s="38"/>
      <c r="J8" s="36"/>
      <c r="K8" s="36"/>
      <c r="L8" s="36"/>
      <c r="M8" s="36"/>
      <c r="N8" s="36"/>
      <c r="Q8" s="30"/>
    </row>
    <row r="9" spans="1:21" ht="15.75" thickBot="1" x14ac:dyDescent="0.3">
      <c r="A9" s="13" t="s">
        <v>20</v>
      </c>
      <c r="B9" s="13" t="s">
        <v>31</v>
      </c>
      <c r="C9" s="45">
        <f>RawData!$F$19</f>
        <v>8.7769999999999992</v>
      </c>
      <c r="D9" s="13">
        <f>((D4*2)+(_xlfn.STDEV.S(C9,C10,C11))/3)</f>
        <v>2.6427344100903717E-3</v>
      </c>
      <c r="E9" s="13">
        <f t="shared" ref="E9" si="3">IF(D9=0,1,D9)</f>
        <v>2.6427344100903717E-3</v>
      </c>
      <c r="F9" s="13">
        <v>1</v>
      </c>
      <c r="G9" s="13">
        <f>SUM(C9:C11)</f>
        <v>26.327999999999999</v>
      </c>
      <c r="H9" s="13">
        <f t="shared" ref="H9" si="4">G9/E9</f>
        <v>9962.408594475326</v>
      </c>
      <c r="I9" s="13">
        <f>E9</f>
        <v>2.6427344100903717E-3</v>
      </c>
      <c r="J9" s="37">
        <f>I10-I9*0.5</f>
        <v>8.774678632794954</v>
      </c>
      <c r="K9" s="37">
        <f>J9-I9*1</f>
        <v>8.7720358983848641</v>
      </c>
      <c r="L9" s="37">
        <f>K9-I9*2</f>
        <v>8.7667504295646825</v>
      </c>
      <c r="M9" s="37">
        <f>L9-I9*3</f>
        <v>8.7588222263344111</v>
      </c>
      <c r="N9" s="37">
        <f>M9-I9*4</f>
        <v>8.7482512886940498</v>
      </c>
      <c r="O9" s="13">
        <f>IF((C9)&lt;M9,12,IF(AND(C9&gt;=N9,C9&lt;M9),10,IF(AND(C9&gt;=M9,C9&lt;L9),7.75,IF(AND(C9&gt;=L9,C9&lt;K9),5.5,IF(AND(C9&gt;=K9,C9&lt;J9),3.25,IF(AND(C9&gt;=J9,C9&lt;=J10),1,IF(AND(C9&gt;J10,C9&lt;=K10),3.25,IF(AND(C9&gt;K10,C9&lt;=L10),5.5,IF(AND(C9&gt;L10,C9&lt;=M10),7.75,IF(AND(C9&gt;M10,C9&lt;=N10),10,12))))))))))</f>
        <v>1</v>
      </c>
      <c r="P9" s="22">
        <f>BaseScore!$G$14</f>
        <v>3.7647008405999998</v>
      </c>
      <c r="Q9" s="22">
        <f>EnvirScore!$H$9</f>
        <v>3.5571116567549996</v>
      </c>
      <c r="R9" s="22">
        <f t="shared" ref="R9:R11" si="5">O9+P9+Q9</f>
        <v>8.3218124973549994</v>
      </c>
      <c r="S9" s="24">
        <f>IF((S10)&gt;9,1,IF(AND(S10&gt;7,S10&lt;=8.99),2,IF(AND(S10&gt;4,S10&lt;=6.99),3,IF(AND(S10&gt;0,S10&lt;=3.99),4,0))))</f>
        <v>3</v>
      </c>
      <c r="T9" s="25">
        <f>IF((T10)&gt;9,1,IF(AND(T10&gt;7,T10&lt;=8.99),2,IF(AND(T10&gt;4,T10&lt;=6.99),3,IF(AND(T10&gt;0,T10&lt;=3.99),4,0))))</f>
        <v>3</v>
      </c>
      <c r="U9" s="26">
        <f>IF((U10)&gt;9,1,IF(AND(U10&gt;7,U10&lt;=8.99),2,IF(AND(U10&gt;4,U10&lt;=6.99),3,IF(AND(U10&gt;0,U10&lt;=3.99),4,0))))</f>
        <v>3</v>
      </c>
    </row>
    <row r="10" spans="1:21" x14ac:dyDescent="0.25">
      <c r="B10" t="s">
        <v>32</v>
      </c>
      <c r="C10" s="44">
        <f>RawData!$I$19</f>
        <v>8.7750000000000004</v>
      </c>
      <c r="I10">
        <f>MEDIAN(C9:C11)</f>
        <v>8.7759999999999998</v>
      </c>
      <c r="J10" s="36">
        <f>I10+I9*0.5</f>
        <v>8.7773213672050456</v>
      </c>
      <c r="K10" s="36">
        <f>J10+I9*1</f>
        <v>8.7799641016151355</v>
      </c>
      <c r="L10" s="36">
        <f>K10+I9*2</f>
        <v>8.7852495704353171</v>
      </c>
      <c r="M10" s="36">
        <f>L10+I9*3</f>
        <v>8.7931777736655885</v>
      </c>
      <c r="N10" s="36">
        <f>M10+I9*4</f>
        <v>8.8037487113059498</v>
      </c>
      <c r="O10">
        <f>IF((C10)&lt;M9,12,IF(AND(C10&gt;=N9,C10&lt;M9),10,IF(AND(C10&gt;=M9,C10&lt;L9),7.75,IF(AND(C10&gt;=L9,C10&lt;K9),5.5,IF(AND(C10&gt;=K9,C10&lt;J9),3.25,IF(AND(C10&gt;=J9,C10&lt;=J10),1,IF(AND(C10&gt;J10,C10&lt;=K10),3.25,IF(AND(C10&gt;K10,C10&lt;=L10),5.5,IF(AND(C10&gt;L10,C10&lt;=M10),7.75,IF(AND(C10&gt;M10,C10&lt;=N10),10,12))))))))))</f>
        <v>1</v>
      </c>
      <c r="P10" s="22">
        <f>BaseScore!$G$14</f>
        <v>3.7647008405999998</v>
      </c>
      <c r="Q10" s="22">
        <f>EnvirScore!$H$9</f>
        <v>3.5571116567549996</v>
      </c>
      <c r="R10" s="22">
        <f t="shared" si="5"/>
        <v>8.3218124973549994</v>
      </c>
      <c r="S10" s="31">
        <f>((O9+P9)+(O10+P10)+(O11+P11))/3</f>
        <v>4.7647008405999998</v>
      </c>
      <c r="T10" s="31">
        <f>((O9+Q9)+(O10+Q10)+(O11+Q11))/3</f>
        <v>4.5571116567549996</v>
      </c>
      <c r="U10" s="30">
        <f>(SUM(S10:T10))/2</f>
        <v>4.6609062486774997</v>
      </c>
    </row>
    <row r="11" spans="1:21" x14ac:dyDescent="0.25">
      <c r="B11" t="s">
        <v>33</v>
      </c>
      <c r="C11" s="44">
        <f>RawData!$H$19</f>
        <v>8.7759999999999998</v>
      </c>
      <c r="J11" s="36"/>
      <c r="K11" s="36"/>
      <c r="L11" s="36"/>
      <c r="M11" s="36"/>
      <c r="N11" s="36"/>
      <c r="O11">
        <f>IF((C11)&lt;M9,12,IF(AND(C11&gt;=N9,C11&lt;M9),10,IF(AND(C11&gt;=M9,C11&lt;L9),7.75,IF(AND(C11&gt;=L9,C11&lt;K9),5.5,IF(AND(C11&gt;=K9,C11&lt;J9),3.25,IF(AND(C11&gt;=J9,C11&lt;=J10),1,IF(AND(C11&gt;J10,C11&lt;=K10),3.25,IF(AND(C11&gt;K10,C11&lt;=L10),5.5,IF(AND(C11&gt;L10,C11&lt;=M10),7.75,IF(AND(C11&gt;M10,C11&lt;=N10),10,12))))))))))</f>
        <v>1</v>
      </c>
      <c r="P11" s="22">
        <f>BaseScore!$G$14</f>
        <v>3.7647008405999998</v>
      </c>
      <c r="Q11" s="22">
        <f>EnvirScore!$H$9</f>
        <v>3.5571116567549996</v>
      </c>
      <c r="R11" s="22">
        <f t="shared" si="5"/>
        <v>8.3218124973549994</v>
      </c>
      <c r="S11" s="11"/>
      <c r="T11" s="11"/>
      <c r="U11" s="11"/>
    </row>
    <row r="12" spans="1:21" x14ac:dyDescent="0.25">
      <c r="C12" s="38"/>
      <c r="J12" s="21"/>
      <c r="K12" s="21"/>
      <c r="L12" s="21"/>
      <c r="M12" s="21"/>
      <c r="N12" s="21"/>
      <c r="Q12" s="30"/>
    </row>
    <row r="13" spans="1:21" ht="15.75" thickBot="1" x14ac:dyDescent="0.3">
      <c r="A13" t="s">
        <v>145</v>
      </c>
      <c r="C13" s="38"/>
      <c r="J13" s="21"/>
      <c r="K13" s="21"/>
      <c r="L13" s="21"/>
      <c r="M13" s="21"/>
      <c r="N13" s="21"/>
      <c r="Q13" s="30"/>
    </row>
    <row r="14" spans="1:21" ht="15.75" thickBot="1" x14ac:dyDescent="0.3">
      <c r="A14" s="13" t="s">
        <v>20</v>
      </c>
      <c r="B14" s="13" t="s">
        <v>31</v>
      </c>
      <c r="C14" s="45">
        <f>RawData!$E$19</f>
        <v>8.7750000000000004</v>
      </c>
      <c r="D14" s="13">
        <f>(_xlfn.STDEV.S(C14,C15,C16)+(D4*4)+(D9*2))/7</f>
        <v>3.6196198986232705E-2</v>
      </c>
      <c r="E14" s="13">
        <f t="shared" ref="E14" si="6">IF(D14=0,1,D14)</f>
        <v>3.6196198986232705E-2</v>
      </c>
      <c r="F14" s="13">
        <v>1</v>
      </c>
      <c r="G14" s="13">
        <f>SUM(C14:C16)</f>
        <v>26.748200000000001</v>
      </c>
      <c r="H14" s="13">
        <f t="shared" ref="H14" si="7">G14/E14</f>
        <v>738.97814547250471</v>
      </c>
      <c r="I14" s="13">
        <f>E14</f>
        <v>3.6196198986232705E-2</v>
      </c>
      <c r="J14" s="37">
        <f>I15-I14*0.5</f>
        <v>8.7579019005068837</v>
      </c>
      <c r="K14" s="37">
        <f>J14-I14*1</f>
        <v>8.7217057015206514</v>
      </c>
      <c r="L14" s="37">
        <f>K14-I14*2</f>
        <v>8.6493133035481868</v>
      </c>
      <c r="M14" s="37">
        <f>L14-I14*3</f>
        <v>8.5407247065894882</v>
      </c>
      <c r="N14" s="37">
        <f>M14-I14*4</f>
        <v>8.3959399106445574</v>
      </c>
      <c r="O14" s="13">
        <f>IF((C14)&lt;M14,12,IF(AND(C14&gt;=N14,C14&lt;M14),10,IF(AND(C14&gt;=M14,C14&lt;L14),7.75,IF(AND(C14&gt;=L14,C14&lt;K14),5.5,IF(AND(C14&gt;=K14,C14&lt;J14),3.25,IF(AND(C14&gt;=J14,C14&lt;=J15),1,IF(AND(C14&gt;J15,C14&lt;=K15),3.25,IF(AND(C14&gt;K15,C14&lt;=L15),5.5,IF(AND(C14&gt;L15,C14&lt;=M15),7.75,IF(AND(C14&gt;M15,C14&lt;=N15),10,12))))))))))</f>
        <v>1</v>
      </c>
      <c r="P14" s="22">
        <f>BaseScore!$G$14</f>
        <v>3.7647008405999998</v>
      </c>
      <c r="Q14" s="22">
        <f>EnvirScore!$H$9</f>
        <v>3.5571116567549996</v>
      </c>
      <c r="R14" s="22">
        <f t="shared" ref="R14:R16" si="8">O14+P14+Q14</f>
        <v>8.3218124973549994</v>
      </c>
      <c r="S14" s="24">
        <f>IF((S15)&gt;9,1,IF(AND(S15&gt;7,S15&lt;=8.99),2,IF(AND(S15&gt;4,S15&lt;=6.99),3,IF(AND(S15&gt;0,S15&lt;=3.99),4,0))))</f>
        <v>2</v>
      </c>
      <c r="T14" s="25">
        <f>IF((T15)&gt;9,1,IF(AND(T15&gt;7,T15&lt;=8.99),2,IF(AND(T15&gt;4,T15&lt;=6.99),3,IF(AND(T15&gt;0,T15&lt;=3.99),4,0))))</f>
        <v>2</v>
      </c>
      <c r="U14" s="26">
        <f>IF((U15)&gt;9,1,IF(AND(U15&gt;7,U15&lt;=8.99),2,IF(AND(U15&gt;4,U15&lt;=6.99),3,IF(AND(U15&gt;0,U15&lt;=3.99),4,0))))</f>
        <v>2</v>
      </c>
    </row>
    <row r="15" spans="1:21" x14ac:dyDescent="0.25">
      <c r="B15" t="s">
        <v>32</v>
      </c>
      <c r="C15" s="44">
        <f>RawData!$H$19</f>
        <v>8.7759999999999998</v>
      </c>
      <c r="I15" s="38">
        <f>MEDIAN(C14:C16)</f>
        <v>8.7759999999999998</v>
      </c>
      <c r="J15" s="36">
        <f>I15+I14*0.5</f>
        <v>8.7940980994931159</v>
      </c>
      <c r="K15" s="36">
        <f>J15+I14*1</f>
        <v>8.8302942984793482</v>
      </c>
      <c r="L15" s="36">
        <f>K15+I14*2</f>
        <v>8.9026866964518128</v>
      </c>
      <c r="M15" s="36">
        <f>L15+I14*3</f>
        <v>9.0112752934105114</v>
      </c>
      <c r="N15" s="36">
        <f>M15+I14*4</f>
        <v>9.1560600893554422</v>
      </c>
      <c r="O15">
        <f>IF((C15)&lt;M14,12,IF(AND(C15&gt;=N14,C15&lt;M14),10,IF(AND(C15&gt;=M14,C15&lt;L14),7.75,IF(AND(C15&gt;=L14,C15&lt;K14),5.5,IF(AND(C15&gt;=K14,C15&lt;J14),3.25,IF(AND(C15&gt;=J14,C15&lt;=J15),1,IF(AND(C15&gt;J15,C15&lt;=K15),3.25,IF(AND(C15&gt;K15,C15&lt;=L15),5.5,IF(AND(C15&gt;L15,C15&lt;=M15),7.75,IF(AND(C15&gt;M15,C15&lt;=N15),10,12))))))))))</f>
        <v>1</v>
      </c>
      <c r="P15" s="22">
        <f>BaseScore!$G$14</f>
        <v>3.7647008405999998</v>
      </c>
      <c r="Q15" s="22">
        <f>EnvirScore!$H$9</f>
        <v>3.5571116567549996</v>
      </c>
      <c r="R15" s="22">
        <f t="shared" si="8"/>
        <v>8.3218124973549994</v>
      </c>
      <c r="S15" s="31">
        <f>((O14+P14)+(O15+P15)+(O16+P16))/3</f>
        <v>8.4313675072666658</v>
      </c>
      <c r="T15" s="31">
        <f>((O14+Q14)+(O15+Q15)+(O16+Q16))/3</f>
        <v>8.2237783234216675</v>
      </c>
      <c r="U15" s="30">
        <f>(SUM(S15:T15))/2</f>
        <v>8.3275729153441667</v>
      </c>
    </row>
    <row r="16" spans="1:21" x14ac:dyDescent="0.25">
      <c r="B16" t="s">
        <v>33</v>
      </c>
      <c r="C16" s="44">
        <f>RawData!$J$20</f>
        <v>9.1971999999999987</v>
      </c>
      <c r="J16" s="36"/>
      <c r="K16" s="36"/>
      <c r="L16" s="36"/>
      <c r="M16" s="36"/>
      <c r="N16" s="36"/>
      <c r="O16">
        <f>IF((C16)&lt;M14,12,IF(AND(C16&gt;=N14,C16&lt;M14),10,IF(AND(C16&gt;=M14,C16&lt;L14),7.75,IF(AND(C16&gt;=L14,C16&lt;K14),5.5,IF(AND(C16&gt;=K14,C16&lt;J14),3.25,IF(AND(C16&gt;=J14,C16&lt;=J15),1,IF(AND(C16&gt;J15,C16&lt;=K15),3.25,IF(AND(C16&gt;K15,C16&lt;=L15),5.5,IF(AND(C16&gt;L15,C16&lt;=M15),7.75,IF(AND(C16&gt;M15,C16&lt;=N15),10,12))))))))))</f>
        <v>12</v>
      </c>
      <c r="P16" s="22">
        <f>BaseScore!$G$14</f>
        <v>3.7647008405999998</v>
      </c>
      <c r="Q16" s="22">
        <f>EnvirScore!$H$9</f>
        <v>3.5571116567549996</v>
      </c>
      <c r="R16" s="22">
        <f t="shared" si="8"/>
        <v>19.321812497354998</v>
      </c>
      <c r="S16" s="11"/>
      <c r="T16" s="11"/>
      <c r="U16" s="11"/>
    </row>
    <row r="17" spans="1:21" x14ac:dyDescent="0.25">
      <c r="C17" s="38"/>
      <c r="J17" s="36"/>
      <c r="K17" s="36"/>
      <c r="L17" s="36"/>
      <c r="M17" s="36"/>
      <c r="N17" s="36"/>
      <c r="Q17" s="30"/>
    </row>
    <row r="18" spans="1:21" ht="15.75" thickBot="1" x14ac:dyDescent="0.3">
      <c r="A18" t="s">
        <v>146</v>
      </c>
      <c r="C18" s="38"/>
      <c r="J18" s="36"/>
      <c r="K18" s="36"/>
      <c r="L18" s="36"/>
      <c r="M18" s="36"/>
      <c r="N18" s="36"/>
      <c r="Q18" s="30"/>
    </row>
    <row r="19" spans="1:21" ht="15.75" thickBot="1" x14ac:dyDescent="0.3">
      <c r="A19" s="13" t="s">
        <v>20</v>
      </c>
      <c r="B19" s="13" t="s">
        <v>31</v>
      </c>
      <c r="C19" s="45">
        <f>RawData!$F$19</f>
        <v>8.7769999999999992</v>
      </c>
      <c r="D19" s="13">
        <f>(_xlfn.STDEV.S(C19,C20,C21)+(D4*4)+(D9*2))/7</f>
        <v>8.6269009956780968E-2</v>
      </c>
      <c r="E19" s="13">
        <f t="shared" ref="E19" si="9">IF(D19=0,1,D19)</f>
        <v>8.6269009956780968E-2</v>
      </c>
      <c r="F19" s="13">
        <v>1</v>
      </c>
      <c r="G19" s="13">
        <f>SUM(C19:C21)</f>
        <v>27.3568</v>
      </c>
      <c r="H19" s="13">
        <f t="shared" ref="H19" si="10">G19/E19</f>
        <v>317.11039704414372</v>
      </c>
      <c r="I19" s="13">
        <f>E19</f>
        <v>8.6269009956780968E-2</v>
      </c>
      <c r="J19" s="37">
        <f>I20-I19*0.5</f>
        <v>8.7338654950216092</v>
      </c>
      <c r="K19" s="37">
        <f>J19-I19*1</f>
        <v>8.6475964850648275</v>
      </c>
      <c r="L19" s="37">
        <f>K19-I19*2</f>
        <v>8.4750584651512657</v>
      </c>
      <c r="M19" s="37">
        <f>L19-I19*3</f>
        <v>8.2162514352809222</v>
      </c>
      <c r="N19" s="37">
        <f>M19-I19*4</f>
        <v>7.8711753954537986</v>
      </c>
      <c r="O19" s="13">
        <f>IF((C19)&lt;M19,12,IF(AND(C19&gt;=N19,C19&lt;M19),10,IF(AND(C19&gt;=M19,C19&lt;L19),7.75,IF(AND(C19&gt;=L19,C19&lt;K19),5.5,IF(AND(C19&gt;=K19,C19&lt;J19),3.25,IF(AND(C19&gt;=J19,C19&lt;=J20),1,IF(AND(C19&gt;J20,C19&lt;=K20),3.25,IF(AND(C19&gt;K20,C19&lt;=L20),5.5,IF(AND(C19&gt;L20,C19&lt;=M20),7.75,IF(AND(C19&gt;M20,C19&lt;=N20),10,12))))))))))</f>
        <v>1</v>
      </c>
      <c r="P19" s="22">
        <f>BaseScore!$G$14</f>
        <v>3.7647008405999998</v>
      </c>
      <c r="Q19" s="22">
        <f>EnvirScore!$H$9</f>
        <v>3.5571116567549996</v>
      </c>
      <c r="R19" s="22">
        <f t="shared" ref="R19:R21" si="11">O19+P19+Q19</f>
        <v>8.3218124973549994</v>
      </c>
      <c r="S19" s="24">
        <f>IF((S20)&gt;9,1,IF(AND(S20&gt;7,S20&lt;=8.99),2,IF(AND(S20&gt;4,S20&lt;=6.99),3,IF(AND(S20&gt;0,S20&lt;=3.99),4,0))))</f>
        <v>2</v>
      </c>
      <c r="T19" s="25">
        <f>IF((T20)&gt;9,1,IF(AND(T20&gt;7,T20&lt;=8.99),2,IF(AND(T20&gt;4,T20&lt;=6.99),3,IF(AND(T20&gt;0,T20&lt;=3.99),4,0))))</f>
        <v>2</v>
      </c>
      <c r="U19" s="26">
        <f>IF((U20)&gt;9,1,IF(AND(U20&gt;7,U20&lt;=8.99),2,IF(AND(U20&gt;4,U20&lt;=6.99),3,IF(AND(U20&gt;0,U20&lt;=3.99),4,0))))</f>
        <v>2</v>
      </c>
    </row>
    <row r="20" spans="1:21" x14ac:dyDescent="0.25">
      <c r="B20" t="s">
        <v>32</v>
      </c>
      <c r="C20" s="44">
        <f>RawData!$G$19</f>
        <v>8.7750000000000004</v>
      </c>
      <c r="I20">
        <f>MEDIAN(C19:C21)</f>
        <v>8.7769999999999992</v>
      </c>
      <c r="J20" s="36">
        <f>I20+I19*0.5</f>
        <v>8.8201345049783892</v>
      </c>
      <c r="K20" s="36">
        <f>J20+I19*1</f>
        <v>8.906403514935171</v>
      </c>
      <c r="L20" s="36">
        <f>K20+I19*2</f>
        <v>9.0789415348487328</v>
      </c>
      <c r="M20" s="36">
        <f>L20+I19*3</f>
        <v>9.3377485647190763</v>
      </c>
      <c r="N20" s="36">
        <f>M20+I19*4</f>
        <v>9.6828246045461999</v>
      </c>
      <c r="O20">
        <f>IF((C20)&lt;M19,12,IF(AND(C20&gt;=N19,C20&lt;M19),10,IF(AND(C20&gt;=M19,C20&lt;L19),7.75,IF(AND(C20&gt;=L19,C20&lt;K19),5.5,IF(AND(C20&gt;=K19,C20&lt;J19),3.25,IF(AND(C20&gt;=J19,C20&lt;=J20),1,IF(AND(C20&gt;J20,C20&lt;=K20),3.25,IF(AND(C20&gt;K20,C20&lt;=L20),5.5,IF(AND(C20&gt;L20,C20&lt;=M20),7.75,IF(AND(C20&gt;M20,C20&lt;=N20),10,12))))))))))</f>
        <v>1</v>
      </c>
      <c r="P20" s="22">
        <f>BaseScore!$G$14</f>
        <v>3.7647008405999998</v>
      </c>
      <c r="Q20" s="22">
        <f>EnvirScore!$H$9</f>
        <v>3.5571116567549996</v>
      </c>
      <c r="R20" s="22">
        <f t="shared" si="11"/>
        <v>8.3218124973549994</v>
      </c>
      <c r="S20" s="31">
        <f>((O19+P19)+(O20+P20)+(O21+P21))/3</f>
        <v>8.4313675072666658</v>
      </c>
      <c r="T20" s="31">
        <f>((O19+Q19)+(O20+Q20)+(O21+Q21))/3</f>
        <v>8.2237783234216675</v>
      </c>
      <c r="U20" s="30">
        <f>(SUM(S20:T20))/2</f>
        <v>8.3275729153441667</v>
      </c>
    </row>
    <row r="21" spans="1:21" x14ac:dyDescent="0.25">
      <c r="B21" t="s">
        <v>33</v>
      </c>
      <c r="C21" s="44">
        <f>RawData!$J$21</f>
        <v>9.804800000000002</v>
      </c>
      <c r="J21" s="21"/>
      <c r="K21" s="21"/>
      <c r="L21" s="21"/>
      <c r="M21" s="21"/>
      <c r="N21" s="21"/>
      <c r="O21">
        <f>IF((C21)&lt;M19,12,IF(AND(C21&gt;=N19,C21&lt;M19),10,IF(AND(C21&gt;=M19,C21&lt;L19),7.75,IF(AND(C21&gt;=L19,C21&lt;K19),5.5,IF(AND(C21&gt;=K19,C21&lt;J19),3.25,IF(AND(C21&gt;=J19,C21&lt;=J20),1,IF(AND(C21&gt;J20,C21&lt;=K20),3.25,IF(AND(C21&gt;K20,C21&lt;=L20),5.5,IF(AND(C21&gt;L20,C21&lt;=M20),7.75,IF(AND(C21&gt;M20,C21&lt;=N20),10,12))))))))))</f>
        <v>12</v>
      </c>
      <c r="P21" s="22">
        <f>BaseScore!$G$14</f>
        <v>3.7647008405999998</v>
      </c>
      <c r="Q21" s="22">
        <f>EnvirScore!$H$9</f>
        <v>3.5571116567549996</v>
      </c>
      <c r="R21" s="22">
        <f t="shared" si="11"/>
        <v>19.321812497354998</v>
      </c>
      <c r="S21" s="11"/>
      <c r="T21" s="11"/>
      <c r="U21" s="11"/>
    </row>
    <row r="22" spans="1:21" x14ac:dyDescent="0.25">
      <c r="C22" s="38"/>
      <c r="J22" s="21"/>
      <c r="K22" s="21"/>
      <c r="L22" s="21"/>
      <c r="M22" s="21"/>
      <c r="N22" s="21"/>
    </row>
    <row r="23" spans="1:21" ht="15.75" thickBot="1" x14ac:dyDescent="0.3">
      <c r="A23" t="s">
        <v>147</v>
      </c>
      <c r="C23" s="38"/>
      <c r="J23" s="36"/>
      <c r="K23" s="36"/>
      <c r="L23" s="36"/>
      <c r="M23" s="36"/>
      <c r="N23" s="36"/>
      <c r="Q23" s="30"/>
    </row>
    <row r="24" spans="1:21" ht="15.75" thickBot="1" x14ac:dyDescent="0.3">
      <c r="A24" s="13" t="s">
        <v>20</v>
      </c>
      <c r="B24" s="13" t="s">
        <v>31</v>
      </c>
      <c r="C24" s="45">
        <f>RawData!$H$19</f>
        <v>8.7759999999999998</v>
      </c>
      <c r="D24" s="13">
        <f>(_xlfn.STDEV.S(C24,C25,C26)+(D9*4)+(D14*2))/7</f>
        <v>0.21746284407497798</v>
      </c>
      <c r="E24" s="13">
        <f t="shared" ref="E24" si="12">IF(D24=0,1,D24)</f>
        <v>0.21746284407497798</v>
      </c>
      <c r="F24" s="13">
        <v>1</v>
      </c>
      <c r="G24" s="13">
        <f>SUM(C24:C26)</f>
        <v>28.822399999999995</v>
      </c>
      <c r="H24" s="13">
        <f t="shared" ref="H24" si="13">G24/E24</f>
        <v>132.53942356268666</v>
      </c>
      <c r="I24" s="13">
        <f>E24</f>
        <v>0.21746284407497798</v>
      </c>
      <c r="J24" s="37">
        <f>I25-I24*0.5</f>
        <v>8.668268577962511</v>
      </c>
      <c r="K24" s="37">
        <f>J24-I24*1</f>
        <v>8.4508057338875329</v>
      </c>
      <c r="L24" s="37">
        <f>K24-I24*2</f>
        <v>8.0158800457375765</v>
      </c>
      <c r="M24" s="37">
        <f>L24-I24*3</f>
        <v>7.3634915135126429</v>
      </c>
      <c r="N24" s="37">
        <f>M24-I24*4</f>
        <v>6.493640137212731</v>
      </c>
      <c r="O24" s="13">
        <f>IF((C24)&lt;M24,12,IF(AND(C24&gt;=N24,C24&lt;M24),10,IF(AND(C24&gt;=M24,C24&lt;L24),7.75,IF(AND(C24&gt;=L24,C24&lt;K24),5.5,IF(AND(C24&gt;=K24,C24&lt;J24),3.25,IF(AND(C24&gt;=J24,C24&lt;=J25),1,IF(AND(C24&gt;J25,C24&lt;=K25),3.25,IF(AND(C24&gt;K25,C24&lt;=L25),5.5,IF(AND(C24&gt;L25,C24&lt;=M25),7.75,IF(AND(C24&gt;M25,C24&lt;=N25),10,12))))))))))</f>
        <v>1</v>
      </c>
      <c r="P24" s="22">
        <f>BaseScore!$G$14</f>
        <v>3.7647008405999998</v>
      </c>
      <c r="Q24" s="22">
        <f>EnvirScore!$H$9</f>
        <v>3.5571116567549996</v>
      </c>
      <c r="R24" s="22">
        <f t="shared" ref="R24:R26" si="14">O24+P24+Q24</f>
        <v>8.3218124973549994</v>
      </c>
      <c r="S24" s="24">
        <f>IF((S25)&gt;9,1,IF(AND(S25&gt;7,S25&lt;=8.99),2,IF(AND(S25&gt;4,S25&lt;=6.99),3,IF(AND(S25&gt;0,S25&lt;=3.99),4,0))))</f>
        <v>2</v>
      </c>
      <c r="T24" s="25">
        <f>IF((T25)&gt;9,1,IF(AND(T25&gt;7,T25&lt;=8.99),2,IF(AND(T25&gt;4,T25&lt;=6.99),3,IF(AND(T25&gt;0,T25&lt;=3.99),4,0))))</f>
        <v>2</v>
      </c>
      <c r="U24" s="26">
        <f>IF((U25)&gt;9,1,IF(AND(U25&gt;7,U25&lt;=8.99),2,IF(AND(U25&gt;4,U25&lt;=6.99),3,IF(AND(U25&gt;0,U25&lt;=3.99),4,0))))</f>
        <v>2</v>
      </c>
    </row>
    <row r="25" spans="1:21" x14ac:dyDescent="0.25">
      <c r="B25" t="s">
        <v>32</v>
      </c>
      <c r="C25" s="44">
        <f>RawData!$F$19</f>
        <v>8.7769999999999992</v>
      </c>
      <c r="I25">
        <f>MEDIAN(C24:C26)</f>
        <v>8.7769999999999992</v>
      </c>
      <c r="J25" s="36">
        <f>I25+I24*0.5</f>
        <v>8.8857314220374874</v>
      </c>
      <c r="K25" s="36">
        <f>J25+I24*1</f>
        <v>9.1031942661124656</v>
      </c>
      <c r="L25" s="36">
        <f>K25+I24*2</f>
        <v>9.538119954262422</v>
      </c>
      <c r="M25" s="36">
        <f>L25+I24*3</f>
        <v>10.190508486487357</v>
      </c>
      <c r="N25" s="36">
        <f>M25+I24*4</f>
        <v>11.060359862787269</v>
      </c>
      <c r="O25">
        <f>IF((C25)&lt;M24,12,IF(AND(C25&gt;=N24,C25&lt;M24),10,IF(AND(C25&gt;=M24,C25&lt;L24),7.75,IF(AND(C25&gt;=L24,C25&lt;K24),5.5,IF(AND(C25&gt;=K24,C25&lt;J24),3.25,IF(AND(C25&gt;=J24,C25&lt;=J25),1,IF(AND(C25&gt;J25,C25&lt;=K25),3.25,IF(AND(C25&gt;K25,C25&lt;=L25),5.5,IF(AND(C25&gt;L25,C25&lt;=M25),7.75,IF(AND(C25&gt;M25,C25&lt;=N25),10,12))))))))))</f>
        <v>1</v>
      </c>
      <c r="P25" s="22">
        <f>BaseScore!$G$14</f>
        <v>3.7647008405999998</v>
      </c>
      <c r="Q25" s="22">
        <f>EnvirScore!$H$9</f>
        <v>3.5571116567549996</v>
      </c>
      <c r="R25" s="22">
        <f t="shared" si="14"/>
        <v>8.3218124973549994</v>
      </c>
      <c r="S25" s="31">
        <f>((O24+P24)+(O25+P25)+(O26+P26))/3</f>
        <v>8.4313675072666658</v>
      </c>
      <c r="T25" s="31">
        <f>((O24+Q24)+(O25+Q25)+(O26+Q26))/3</f>
        <v>8.2237783234216675</v>
      </c>
      <c r="U25" s="30">
        <f>(SUM(S25:T25))/2</f>
        <v>8.3275729153441667</v>
      </c>
    </row>
    <row r="26" spans="1:21" x14ac:dyDescent="0.25">
      <c r="B26" t="s">
        <v>33</v>
      </c>
      <c r="C26" s="44">
        <f>RawData!$J$22</f>
        <v>11.269399999999999</v>
      </c>
      <c r="J26" s="21"/>
      <c r="K26" s="21"/>
      <c r="L26" s="21"/>
      <c r="M26" s="21"/>
      <c r="N26" s="21"/>
      <c r="O26">
        <f>IF((C26)&lt;M24,12,IF(AND(C26&gt;=N24,C26&lt;M24),10,IF(AND(C26&gt;=M24,C26&lt;L24),7.75,IF(AND(C26&gt;=L24,C26&lt;K24),5.5,IF(AND(C26&gt;=K24,C26&lt;J24),3.25,IF(AND(C26&gt;=J24,C26&lt;=J25),1,IF(AND(C26&gt;J25,C26&lt;=K25),3.25,IF(AND(C26&gt;K25,C26&lt;=L25),5.5,IF(AND(C26&gt;L25,C26&lt;=M25),7.75,IF(AND(C26&gt;M25,C26&lt;=N25),10,12))))))))))</f>
        <v>12</v>
      </c>
      <c r="P26" s="22">
        <f>BaseScore!$G$14</f>
        <v>3.7647008405999998</v>
      </c>
      <c r="Q26" s="22">
        <f>EnvirScore!$H$9</f>
        <v>3.5571116567549996</v>
      </c>
      <c r="R26" s="22">
        <f t="shared" si="14"/>
        <v>19.321812497354998</v>
      </c>
      <c r="S26" s="11"/>
      <c r="T26" s="11"/>
      <c r="U26" s="11"/>
    </row>
  </sheetData>
  <conditionalFormatting sqref="U9">
    <cfRule type="cellIs" dxfId="119" priority="57" operator="equal">
      <formula>1</formula>
    </cfRule>
    <cfRule type="cellIs" dxfId="118" priority="58" operator="equal">
      <formula>2</formula>
    </cfRule>
    <cfRule type="cellIs" dxfId="117" priority="59" operator="equal">
      <formula>3</formula>
    </cfRule>
    <cfRule type="cellIs" dxfId="116" priority="60" operator="equal">
      <formula>4</formula>
    </cfRule>
  </conditionalFormatting>
  <conditionalFormatting sqref="S9">
    <cfRule type="cellIs" dxfId="115" priority="53" operator="equal">
      <formula>1</formula>
    </cfRule>
    <cfRule type="cellIs" dxfId="114" priority="54" operator="equal">
      <formula>2</formula>
    </cfRule>
    <cfRule type="cellIs" dxfId="113" priority="55" operator="equal">
      <formula>3</formula>
    </cfRule>
    <cfRule type="cellIs" dxfId="112" priority="56" operator="equal">
      <formula>4</formula>
    </cfRule>
  </conditionalFormatting>
  <conditionalFormatting sqref="T9">
    <cfRule type="cellIs" dxfId="111" priority="49" operator="equal">
      <formula>1</formula>
    </cfRule>
    <cfRule type="cellIs" dxfId="110" priority="50" operator="equal">
      <formula>2</formula>
    </cfRule>
    <cfRule type="cellIs" dxfId="109" priority="51" operator="equal">
      <formula>3</formula>
    </cfRule>
    <cfRule type="cellIs" dxfId="108" priority="52" operator="equal">
      <formula>4</formula>
    </cfRule>
  </conditionalFormatting>
  <conditionalFormatting sqref="U4">
    <cfRule type="cellIs" dxfId="107" priority="45" operator="equal">
      <formula>1</formula>
    </cfRule>
    <cfRule type="cellIs" dxfId="106" priority="46" operator="equal">
      <formula>2</formula>
    </cfRule>
    <cfRule type="cellIs" dxfId="105" priority="47" operator="equal">
      <formula>3</formula>
    </cfRule>
    <cfRule type="cellIs" dxfId="104" priority="48" operator="equal">
      <formula>4</formula>
    </cfRule>
  </conditionalFormatting>
  <conditionalFormatting sqref="S4">
    <cfRule type="cellIs" dxfId="103" priority="41" operator="equal">
      <formula>1</formula>
    </cfRule>
    <cfRule type="cellIs" dxfId="102" priority="42" operator="equal">
      <formula>2</formula>
    </cfRule>
    <cfRule type="cellIs" dxfId="101" priority="43" operator="equal">
      <formula>3</formula>
    </cfRule>
    <cfRule type="cellIs" dxfId="100" priority="44" operator="equal">
      <formula>4</formula>
    </cfRule>
  </conditionalFormatting>
  <conditionalFormatting sqref="T4">
    <cfRule type="cellIs" dxfId="99" priority="37" operator="equal">
      <formula>1</formula>
    </cfRule>
    <cfRule type="cellIs" dxfId="98" priority="38" operator="equal">
      <formula>2</formula>
    </cfRule>
    <cfRule type="cellIs" dxfId="97" priority="39" operator="equal">
      <formula>3</formula>
    </cfRule>
    <cfRule type="cellIs" dxfId="96" priority="40" operator="equal">
      <formula>4</formula>
    </cfRule>
  </conditionalFormatting>
  <conditionalFormatting sqref="U14">
    <cfRule type="cellIs" dxfId="95" priority="33" operator="equal">
      <formula>1</formula>
    </cfRule>
    <cfRule type="cellIs" dxfId="94" priority="34" operator="equal">
      <formula>2</formula>
    </cfRule>
    <cfRule type="cellIs" dxfId="93" priority="35" operator="equal">
      <formula>3</formula>
    </cfRule>
    <cfRule type="cellIs" dxfId="92" priority="36" operator="equal">
      <formula>4</formula>
    </cfRule>
  </conditionalFormatting>
  <conditionalFormatting sqref="S14">
    <cfRule type="cellIs" dxfId="91" priority="29" operator="equal">
      <formula>1</formula>
    </cfRule>
    <cfRule type="cellIs" dxfId="90" priority="30" operator="equal">
      <formula>2</formula>
    </cfRule>
    <cfRule type="cellIs" dxfId="89" priority="31" operator="equal">
      <formula>3</formula>
    </cfRule>
    <cfRule type="cellIs" dxfId="88" priority="32" operator="equal">
      <formula>4</formula>
    </cfRule>
  </conditionalFormatting>
  <conditionalFormatting sqref="T14">
    <cfRule type="cellIs" dxfId="87" priority="25" operator="equal">
      <formula>1</formula>
    </cfRule>
    <cfRule type="cellIs" dxfId="86" priority="26" operator="equal">
      <formula>2</formula>
    </cfRule>
    <cfRule type="cellIs" dxfId="85" priority="27" operator="equal">
      <formula>3</formula>
    </cfRule>
    <cfRule type="cellIs" dxfId="84" priority="28" operator="equal">
      <formula>4</formula>
    </cfRule>
  </conditionalFormatting>
  <conditionalFormatting sqref="U19">
    <cfRule type="cellIs" dxfId="83" priority="21" operator="equal">
      <formula>1</formula>
    </cfRule>
    <cfRule type="cellIs" dxfId="82" priority="22" operator="equal">
      <formula>2</formula>
    </cfRule>
    <cfRule type="cellIs" dxfId="81" priority="23" operator="equal">
      <formula>3</formula>
    </cfRule>
    <cfRule type="cellIs" dxfId="80" priority="24" operator="equal">
      <formula>4</formula>
    </cfRule>
  </conditionalFormatting>
  <conditionalFormatting sqref="S19">
    <cfRule type="cellIs" dxfId="79" priority="17" operator="equal">
      <formula>1</formula>
    </cfRule>
    <cfRule type="cellIs" dxfId="78" priority="18" operator="equal">
      <formula>2</formula>
    </cfRule>
    <cfRule type="cellIs" dxfId="77" priority="19" operator="equal">
      <formula>3</formula>
    </cfRule>
    <cfRule type="cellIs" dxfId="76" priority="20" operator="equal">
      <formula>4</formula>
    </cfRule>
  </conditionalFormatting>
  <conditionalFormatting sqref="T19">
    <cfRule type="cellIs" dxfId="75" priority="13" operator="equal">
      <formula>1</formula>
    </cfRule>
    <cfRule type="cellIs" dxfId="74" priority="14" operator="equal">
      <formula>2</formula>
    </cfRule>
    <cfRule type="cellIs" dxfId="73" priority="15" operator="equal">
      <formula>3</formula>
    </cfRule>
    <cfRule type="cellIs" dxfId="72" priority="16" operator="equal">
      <formula>4</formula>
    </cfRule>
  </conditionalFormatting>
  <conditionalFormatting sqref="U24">
    <cfRule type="cellIs" dxfId="71" priority="9" operator="equal">
      <formula>1</formula>
    </cfRule>
    <cfRule type="cellIs" dxfId="70" priority="10" operator="equal">
      <formula>2</formula>
    </cfRule>
    <cfRule type="cellIs" dxfId="69" priority="11" operator="equal">
      <formula>3</formula>
    </cfRule>
    <cfRule type="cellIs" dxfId="68" priority="12" operator="equal">
      <formula>4</formula>
    </cfRule>
  </conditionalFormatting>
  <conditionalFormatting sqref="S24">
    <cfRule type="cellIs" dxfId="67" priority="5" operator="equal">
      <formula>1</formula>
    </cfRule>
    <cfRule type="cellIs" dxfId="66" priority="6" operator="equal">
      <formula>2</formula>
    </cfRule>
    <cfRule type="cellIs" dxfId="65" priority="7" operator="equal">
      <formula>3</formula>
    </cfRule>
    <cfRule type="cellIs" dxfId="64" priority="8" operator="equal">
      <formula>4</formula>
    </cfRule>
  </conditionalFormatting>
  <conditionalFormatting sqref="T24">
    <cfRule type="cellIs" dxfId="63" priority="1" operator="equal">
      <formula>1</formula>
    </cfRule>
    <cfRule type="cellIs" dxfId="62" priority="2" operator="equal">
      <formula>2</formula>
    </cfRule>
    <cfRule type="cellIs" dxfId="61" priority="3" operator="equal">
      <formula>3</formula>
    </cfRule>
    <cfRule type="cellIs" dxfId="60" priority="4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U27" sqref="A1:U27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5" max="15" width="10.7109375" customWidth="1"/>
    <col min="16" max="17" width="11.28515625" customWidth="1"/>
    <col min="18" max="20" width="11.42578125" customWidth="1"/>
  </cols>
  <sheetData>
    <row r="1" spans="1:21" x14ac:dyDescent="0.25">
      <c r="A1" t="s">
        <v>151</v>
      </c>
    </row>
    <row r="2" spans="1:21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149</v>
      </c>
      <c r="O2" s="18" t="s">
        <v>29</v>
      </c>
      <c r="P2" s="19" t="s">
        <v>65</v>
      </c>
      <c r="Q2" s="19" t="s">
        <v>66</v>
      </c>
      <c r="R2" s="19" t="s">
        <v>2</v>
      </c>
      <c r="S2" s="19" t="s">
        <v>75</v>
      </c>
      <c r="T2" s="19" t="s">
        <v>76</v>
      </c>
      <c r="U2" s="19" t="s">
        <v>1</v>
      </c>
    </row>
    <row r="3" spans="1:21" ht="15.75" thickBot="1" x14ac:dyDescent="0.3">
      <c r="A3" t="s">
        <v>83</v>
      </c>
      <c r="J3" s="36"/>
      <c r="K3" s="36"/>
      <c r="L3" s="36"/>
      <c r="M3" s="36"/>
      <c r="N3" s="36"/>
    </row>
    <row r="4" spans="1:21" ht="15.75" thickBot="1" x14ac:dyDescent="0.3">
      <c r="A4" s="13" t="s">
        <v>20</v>
      </c>
      <c r="B4" s="13" t="s">
        <v>31</v>
      </c>
      <c r="C4" s="45">
        <f>RawData!$E$24</f>
        <v>17.545999999999999</v>
      </c>
      <c r="D4" s="13">
        <f>_xlfn.STDEV.S(C4,C5,C6)</f>
        <v>7.0000000000011962E-3</v>
      </c>
      <c r="E4" s="13">
        <f t="shared" ref="E4" si="0">IF(D4=0,1,D4)</f>
        <v>7.0000000000011962E-3</v>
      </c>
      <c r="F4" s="13">
        <v>1</v>
      </c>
      <c r="G4" s="13">
        <f>SUM(C4:C6)</f>
        <v>52.653000000000006</v>
      </c>
      <c r="H4" s="13">
        <f t="shared" ref="H4" si="1">G4/E4</f>
        <v>7521.857142855858</v>
      </c>
      <c r="I4" s="13">
        <f>E4</f>
        <v>7.0000000000011962E-3</v>
      </c>
      <c r="J4" s="37">
        <f>I5-I4*0.5</f>
        <v>17.544499999999999</v>
      </c>
      <c r="K4" s="37">
        <f>J4-I4*1</f>
        <v>17.537499999999998</v>
      </c>
      <c r="L4" s="37">
        <f>K4-I4*2</f>
        <v>17.523499999999995</v>
      </c>
      <c r="M4" s="37">
        <f>L4-I4*3</f>
        <v>17.502499999999991</v>
      </c>
      <c r="N4" s="37">
        <f>M4-I4*4</f>
        <v>17.474499999999985</v>
      </c>
      <c r="O4" s="13">
        <f>IF((C4)&lt;M4,12,IF(AND(C4&gt;=N4,C4&lt;M4),10,IF(AND(C4&gt;=M4,C4&lt;L4),7.75,IF(AND(C4&gt;=L4,C4&lt;K4),5.5,IF(AND(C4&gt;=K4,C4&lt;J4),3.25,IF(AND(C4&gt;=J4,C4&lt;=J5),1,IF(AND(C4&gt;J5,C4&lt;=K5),3.25,IF(AND(C4&gt;K5,C4&lt;=L5),5.5,IF(AND(C4&gt;L5,C4&lt;=M5),7.75,IF(AND(C4&gt;M5,C4&lt;=N5),10,12))))))))))</f>
        <v>1</v>
      </c>
      <c r="P4" s="22">
        <f>BaseScore!$G$14</f>
        <v>3.7647008405999998</v>
      </c>
      <c r="Q4" s="22">
        <f>EnvirScore!$H$9</f>
        <v>3.5571116567549996</v>
      </c>
      <c r="R4" s="22">
        <f t="shared" ref="R4:R6" si="2">O4+P4+Q4</f>
        <v>8.3218124973549994</v>
      </c>
      <c r="S4" s="24">
        <f>IF((S5)&gt;9,1,IF(AND(S5&gt;7,S5&lt;=8.99),2,IF(AND(S5&gt;4,S5&lt;=6.99),3,IF(AND(S5&gt;0,S5&lt;=3.99),4,0))))</f>
        <v>3</v>
      </c>
      <c r="T4" s="25">
        <f>IF((T5)&gt;9,1,IF(AND(T5&gt;7,T5&lt;=8.99),2,IF(AND(T5&gt;4,T5&lt;=6.99),3,IF(AND(T5&gt;0,T5&lt;=3.99),4,0))))</f>
        <v>3</v>
      </c>
      <c r="U4" s="26">
        <f>IF((U5)&gt;9,1,IF(AND(U5&gt;7,U5&lt;=8.99),2,IF(AND(U5&gt;4,U5&lt;=6.99),3,IF(AND(U5&gt;0,U5&lt;=3.99),4,0))))</f>
        <v>3</v>
      </c>
    </row>
    <row r="5" spans="1:21" x14ac:dyDescent="0.25">
      <c r="B5" t="s">
        <v>32</v>
      </c>
      <c r="C5" s="38">
        <f>RawData!$F$24</f>
        <v>17.559000000000001</v>
      </c>
      <c r="I5">
        <f>MEDIAN(C4:C6)</f>
        <v>17.547999999999998</v>
      </c>
      <c r="J5" s="36">
        <f>I5+I4*0.5</f>
        <v>17.551499999999997</v>
      </c>
      <c r="K5" s="36">
        <f>J5+I4*1</f>
        <v>17.558499999999999</v>
      </c>
      <c r="L5" s="36">
        <f>K5+I4*2</f>
        <v>17.572500000000002</v>
      </c>
      <c r="M5" s="36">
        <f>L5+I4*3</f>
        <v>17.593500000000006</v>
      </c>
      <c r="N5" s="36">
        <f>M5+I4*4</f>
        <v>17.621500000000012</v>
      </c>
      <c r="O5">
        <f>IF((C5)&lt;M4,12,IF(AND(C5&gt;=N4,C5&lt;M4),10,IF(AND(C5&gt;=M4,C5&lt;L4),7.75,IF(AND(C5&gt;=L4,C5&lt;K4),5.5,IF(AND(C5&gt;=K4,C5&lt;J4),3.25,IF(AND(C5&gt;=J4,C5&lt;=J5),1,IF(AND(C5&gt;J5,C5&lt;=K5),3.25,IF(AND(C5&gt;K5,C5&lt;=L5),5.5,IF(AND(C5&gt;L5,C5&lt;=M5),7.75,IF(AND(C5&gt;M5,C5&lt;=N5),10,12))))))))))</f>
        <v>5.5</v>
      </c>
      <c r="P5" s="22">
        <f>BaseScore!$G$14</f>
        <v>3.7647008405999998</v>
      </c>
      <c r="Q5" s="22">
        <f>EnvirScore!$H$9</f>
        <v>3.5571116567549996</v>
      </c>
      <c r="R5" s="22">
        <f t="shared" si="2"/>
        <v>12.821812497354999</v>
      </c>
      <c r="S5" s="31">
        <f>((O4+P4)+(O5+P5)+(O6+P6))/3</f>
        <v>6.2647008405999998</v>
      </c>
      <c r="T5" s="31">
        <f>((O4+Q4)+(O5+Q5)+(O6+Q6))/3</f>
        <v>6.0571116567550005</v>
      </c>
      <c r="U5" s="30">
        <f>(SUM(S5:T5))/2</f>
        <v>6.1609062486775006</v>
      </c>
    </row>
    <row r="6" spans="1:21" x14ac:dyDescent="0.25">
      <c r="B6" t="s">
        <v>33</v>
      </c>
      <c r="C6" s="38">
        <f>RawData!$G$24</f>
        <v>17.547999999999998</v>
      </c>
      <c r="J6" s="36"/>
      <c r="K6" s="36"/>
      <c r="L6" s="36"/>
      <c r="M6" s="36"/>
      <c r="N6" s="36"/>
      <c r="O6">
        <f>IF((C6)&lt;M4,12,IF(AND(C6&gt;=N4,C6&lt;M4),10,IF(AND(C6&gt;=M4,C6&lt;L4),7.75,IF(AND(C6&gt;=L4,C6&lt;K4),5.5,IF(AND(C6&gt;=K4,C6&lt;J4),3.25,IF(AND(C6&gt;=J4,C6&lt;=J5),1,IF(AND(C6&gt;J5,C6&lt;=K5),3.25,IF(AND(C6&gt;K5,C6&lt;=L5),5.5,IF(AND(C6&gt;L5,C6&lt;=M5),7.75,IF(AND(C6&gt;M5,C6&lt;=N5),10,12))))))))))</f>
        <v>1</v>
      </c>
      <c r="P6" s="22">
        <f>BaseScore!$G$14</f>
        <v>3.7647008405999998</v>
      </c>
      <c r="Q6" s="22">
        <f>EnvirScore!$H$9</f>
        <v>3.5571116567549996</v>
      </c>
      <c r="R6" s="22">
        <f t="shared" si="2"/>
        <v>8.3218124973549994</v>
      </c>
      <c r="S6" s="11"/>
      <c r="T6" s="11"/>
      <c r="U6" s="11"/>
    </row>
    <row r="7" spans="1:21" x14ac:dyDescent="0.25">
      <c r="C7" s="38"/>
      <c r="J7" s="36"/>
      <c r="K7" s="36"/>
      <c r="L7" s="36"/>
      <c r="M7" s="36"/>
      <c r="N7" s="36"/>
      <c r="Q7" s="30"/>
    </row>
    <row r="8" spans="1:21" ht="15.75" thickBot="1" x14ac:dyDescent="0.3">
      <c r="A8" t="s">
        <v>84</v>
      </c>
      <c r="C8" s="38"/>
      <c r="J8" s="36"/>
      <c r="K8" s="36"/>
      <c r="L8" s="36"/>
      <c r="M8" s="36"/>
      <c r="N8" s="36"/>
      <c r="Q8" s="30"/>
    </row>
    <row r="9" spans="1:21" ht="15.75" thickBot="1" x14ac:dyDescent="0.3">
      <c r="A9" s="13" t="s">
        <v>20</v>
      </c>
      <c r="B9" s="13" t="s">
        <v>31</v>
      </c>
      <c r="C9" s="45">
        <f>RawData!$F$24</f>
        <v>17.559000000000001</v>
      </c>
      <c r="D9" s="13">
        <f>((D4*2)+(_xlfn.STDEV.S(C9,C10,C11))/3)</f>
        <v>1.5503083250943444E-2</v>
      </c>
      <c r="E9" s="13">
        <f t="shared" ref="E9" si="3">IF(D9=0,1,D9)</f>
        <v>1.5503083250943444E-2</v>
      </c>
      <c r="F9" s="13">
        <v>1</v>
      </c>
      <c r="G9" s="13">
        <f>SUM(C9:C11)</f>
        <v>52.662999999999997</v>
      </c>
      <c r="H9" s="13">
        <f t="shared" ref="H9" si="4">G9/E9</f>
        <v>3396.9371864654845</v>
      </c>
      <c r="I9" s="13">
        <f>E9</f>
        <v>1.5503083250943444E-2</v>
      </c>
      <c r="J9" s="37">
        <f>I10-I9*0.5</f>
        <v>17.546248458374528</v>
      </c>
      <c r="K9" s="37">
        <f>J9-I9*1</f>
        <v>17.530745375123583</v>
      </c>
      <c r="L9" s="37">
        <f>K9-I9*2</f>
        <v>17.499739208621698</v>
      </c>
      <c r="M9" s="37">
        <f>L9-I9*3</f>
        <v>17.453229958868867</v>
      </c>
      <c r="N9" s="37">
        <f>M9-I9*4</f>
        <v>17.391217625865092</v>
      </c>
      <c r="O9" s="13">
        <f>IF((C9)&lt;M9,12,IF(AND(C9&gt;=N9,C9&lt;M9),10,IF(AND(C9&gt;=M9,C9&lt;L9),7.75,IF(AND(C9&gt;=L9,C9&lt;K9),5.5,IF(AND(C9&gt;=K9,C9&lt;J9),3.25,IF(AND(C9&gt;=J9,C9&lt;=J10),1,IF(AND(C9&gt;J10,C9&lt;=K10),3.25,IF(AND(C9&gt;K10,C9&lt;=L10),5.5,IF(AND(C9&gt;L10,C9&lt;=M10),7.75,IF(AND(C9&gt;M10,C9&lt;=N10),10,12))))))))))</f>
        <v>1</v>
      </c>
      <c r="P9" s="22">
        <f>BaseScore!$G$14</f>
        <v>3.7647008405999998</v>
      </c>
      <c r="Q9" s="22">
        <f>EnvirScore!$H$9</f>
        <v>3.5571116567549996</v>
      </c>
      <c r="R9" s="22">
        <f t="shared" ref="R9:R11" si="5">O9+P9+Q9</f>
        <v>8.3218124973549994</v>
      </c>
      <c r="S9" s="24">
        <f>IF((S10)&gt;9,1,IF(AND(S10&gt;7,S10&lt;=8.99),2,IF(AND(S10&gt;4,S10&lt;=6.99),3,IF(AND(S10&gt;0,S10&lt;=3.99),4,0))))</f>
        <v>3</v>
      </c>
      <c r="T9" s="25">
        <f>IF((T10)&gt;9,1,IF(AND(T10&gt;7,T10&lt;=8.99),2,IF(AND(T10&gt;4,T10&lt;=6.99),3,IF(AND(T10&gt;0,T10&lt;=3.99),4,0))))</f>
        <v>3</v>
      </c>
      <c r="U9" s="26">
        <f>IF((U10)&gt;9,1,IF(AND(U10&gt;7,U10&lt;=8.99),2,IF(AND(U10&gt;4,U10&lt;=6.99),3,IF(AND(U10&gt;0,U10&lt;=3.99),4,0))))</f>
        <v>3</v>
      </c>
    </row>
    <row r="10" spans="1:21" x14ac:dyDescent="0.25">
      <c r="B10" t="s">
        <v>32</v>
      </c>
      <c r="C10" s="44">
        <f>RawData!$I$24</f>
        <v>17.553999999999998</v>
      </c>
      <c r="I10">
        <f>MEDIAN(C9:C11)</f>
        <v>17.553999999999998</v>
      </c>
      <c r="J10" s="36">
        <f>I10+I9*0.5</f>
        <v>17.561751541625469</v>
      </c>
      <c r="K10" s="36">
        <f>J10+I9*1</f>
        <v>17.577254624876414</v>
      </c>
      <c r="L10" s="36">
        <f>K10+I9*2</f>
        <v>17.608260791378299</v>
      </c>
      <c r="M10" s="36">
        <f>L10+I9*3</f>
        <v>17.65477004113113</v>
      </c>
      <c r="N10" s="36">
        <f>M10+I9*4</f>
        <v>17.716782374134905</v>
      </c>
      <c r="O10">
        <f>IF((C10)&lt;M9,12,IF(AND(C10&gt;=N9,C10&lt;M9),10,IF(AND(C10&gt;=M9,C10&lt;L9),7.75,IF(AND(C10&gt;=L9,C10&lt;K9),5.5,IF(AND(C10&gt;=K9,C10&lt;J9),3.25,IF(AND(C10&gt;=J9,C10&lt;=J10),1,IF(AND(C10&gt;J10,C10&lt;=K10),3.25,IF(AND(C10&gt;K10,C10&lt;=L10),5.5,IF(AND(C10&gt;L10,C10&lt;=M10),7.75,IF(AND(C10&gt;M10,C10&lt;=N10),10,12))))))))))</f>
        <v>1</v>
      </c>
      <c r="P10" s="22">
        <f>BaseScore!$G$14</f>
        <v>3.7647008405999998</v>
      </c>
      <c r="Q10" s="22">
        <f>EnvirScore!$H$9</f>
        <v>3.5571116567549996</v>
      </c>
      <c r="R10" s="22">
        <f t="shared" si="5"/>
        <v>8.3218124973549994</v>
      </c>
      <c r="S10" s="31">
        <f>((O9+P9)+(O10+P10)+(O11+P11))/3</f>
        <v>4.7647008405999998</v>
      </c>
      <c r="T10" s="31">
        <f>((O9+Q9)+(O10+Q10)+(O11+Q11))/3</f>
        <v>4.5571116567549996</v>
      </c>
      <c r="U10" s="30">
        <f>(SUM(S10:T10))/2</f>
        <v>4.6609062486774997</v>
      </c>
    </row>
    <row r="11" spans="1:21" x14ac:dyDescent="0.25">
      <c r="B11" t="s">
        <v>33</v>
      </c>
      <c r="C11" s="44">
        <f>RawData!$H$24</f>
        <v>17.55</v>
      </c>
      <c r="J11" s="36"/>
      <c r="K11" s="36"/>
      <c r="L11" s="36"/>
      <c r="M11" s="36"/>
      <c r="N11" s="36"/>
      <c r="O11">
        <f>IF((C11)&lt;M9,12,IF(AND(C11&gt;=N9,C11&lt;M9),10,IF(AND(C11&gt;=M9,C11&lt;L9),7.75,IF(AND(C11&gt;=L9,C11&lt;K9),5.5,IF(AND(C11&gt;=K9,C11&lt;J9),3.25,IF(AND(C11&gt;=J9,C11&lt;=J10),1,IF(AND(C11&gt;J10,C11&lt;=K10),3.25,IF(AND(C11&gt;K10,C11&lt;=L10),5.5,IF(AND(C11&gt;L10,C11&lt;=M10),7.75,IF(AND(C11&gt;M10,C11&lt;=N10),10,12))))))))))</f>
        <v>1</v>
      </c>
      <c r="P11" s="22">
        <f>BaseScore!$G$14</f>
        <v>3.7647008405999998</v>
      </c>
      <c r="Q11" s="22">
        <f>EnvirScore!$H$9</f>
        <v>3.5571116567549996</v>
      </c>
      <c r="R11" s="22">
        <f t="shared" si="5"/>
        <v>8.3218124973549994</v>
      </c>
      <c r="S11" s="11"/>
      <c r="T11" s="11"/>
      <c r="U11" s="11"/>
    </row>
    <row r="12" spans="1:21" x14ac:dyDescent="0.25">
      <c r="C12" s="38"/>
      <c r="J12" s="21"/>
      <c r="K12" s="21"/>
      <c r="L12" s="21"/>
      <c r="M12" s="21"/>
      <c r="N12" s="21"/>
      <c r="Q12" s="30"/>
    </row>
    <row r="13" spans="1:21" ht="15.75" thickBot="1" x14ac:dyDescent="0.3">
      <c r="A13" t="s">
        <v>145</v>
      </c>
      <c r="C13" s="38"/>
      <c r="J13" s="21"/>
      <c r="K13" s="21"/>
      <c r="L13" s="21"/>
      <c r="M13" s="21"/>
      <c r="N13" s="21"/>
      <c r="Q13" s="30"/>
    </row>
    <row r="14" spans="1:21" ht="15.75" thickBot="1" x14ac:dyDescent="0.3">
      <c r="A14" s="13" t="s">
        <v>20</v>
      </c>
      <c r="B14" s="13" t="s">
        <v>31</v>
      </c>
      <c r="C14" s="45">
        <f>RawData!$E$24</f>
        <v>17.545999999999999</v>
      </c>
      <c r="D14" s="13">
        <f>(_xlfn.STDEV.S(C14,C15,C16)+(D4*4)+(D9*2))/7</f>
        <v>4.3137627402580703E-2</v>
      </c>
      <c r="E14" s="13">
        <f t="shared" ref="E14" si="6">IF(D14=0,1,D14)</f>
        <v>4.3137627402580703E-2</v>
      </c>
      <c r="F14" s="13">
        <v>1</v>
      </c>
      <c r="G14" s="13">
        <f>SUM(C14:C16)</f>
        <v>53.064800000000005</v>
      </c>
      <c r="H14" s="13">
        <f t="shared" ref="H14" si="7">G14/E14</f>
        <v>1230.127923002678</v>
      </c>
      <c r="I14" s="13">
        <f>E14</f>
        <v>4.3137627402580703E-2</v>
      </c>
      <c r="J14" s="37">
        <f>I15-I14*0.5</f>
        <v>17.528431186298711</v>
      </c>
      <c r="K14" s="37">
        <f>J14-I14*1</f>
        <v>17.485293558896132</v>
      </c>
      <c r="L14" s="37">
        <f>K14-I14*2</f>
        <v>17.399018304090969</v>
      </c>
      <c r="M14" s="37">
        <f>L14-I14*3</f>
        <v>17.269605421883227</v>
      </c>
      <c r="N14" s="37">
        <f>M14-I14*4</f>
        <v>17.097054912272906</v>
      </c>
      <c r="O14" s="13">
        <f>IF((C14)&lt;M14,12,IF(AND(C14&gt;=N14,C14&lt;M14),10,IF(AND(C14&gt;=M14,C14&lt;L14),7.75,IF(AND(C14&gt;=L14,C14&lt;K14),5.5,IF(AND(C14&gt;=K14,C14&lt;J14),3.25,IF(AND(C14&gt;=J14,C14&lt;=J15),1,IF(AND(C14&gt;J15,C14&lt;=K15),3.25,IF(AND(C14&gt;K15,C14&lt;=L15),5.5,IF(AND(C14&gt;L15,C14&lt;=M15),7.75,IF(AND(C14&gt;M15,C14&lt;=N15),10,12))))))))))</f>
        <v>1</v>
      </c>
      <c r="P14" s="22">
        <f>BaseScore!$G$14</f>
        <v>3.7647008405999998</v>
      </c>
      <c r="Q14" s="22">
        <f>EnvirScore!$H$9</f>
        <v>3.5571116567549996</v>
      </c>
      <c r="R14" s="22">
        <f t="shared" ref="R14:R16" si="8">O14+P14+Q14</f>
        <v>8.3218124973549994</v>
      </c>
      <c r="S14" s="24">
        <f>IF((S15)&gt;9,1,IF(AND(S15&gt;7,S15&lt;=8.99),2,IF(AND(S15&gt;4,S15&lt;=6.99),3,IF(AND(S15&gt;0,S15&lt;=3.99),4,0))))</f>
        <v>2</v>
      </c>
      <c r="T14" s="25">
        <f>IF((T15)&gt;9,1,IF(AND(T15&gt;7,T15&lt;=8.99),2,IF(AND(T15&gt;4,T15&lt;=6.99),3,IF(AND(T15&gt;0,T15&lt;=3.99),4,0))))</f>
        <v>2</v>
      </c>
      <c r="U14" s="26">
        <f>IF((U15)&gt;9,1,IF(AND(U15&gt;7,U15&lt;=8.99),2,IF(AND(U15&gt;4,U15&lt;=6.99),3,IF(AND(U15&gt;0,U15&lt;=3.99),4,0))))</f>
        <v>2</v>
      </c>
    </row>
    <row r="15" spans="1:21" x14ac:dyDescent="0.25">
      <c r="B15" t="s">
        <v>32</v>
      </c>
      <c r="C15" s="44">
        <f>RawData!$H$24</f>
        <v>17.55</v>
      </c>
      <c r="I15" s="38">
        <f>MEDIAN(C14:C16)</f>
        <v>17.55</v>
      </c>
      <c r="J15" s="36">
        <f>I15+I14*0.5</f>
        <v>17.57156881370129</v>
      </c>
      <c r="K15" s="36">
        <f>J15+I14*1</f>
        <v>17.61470644110387</v>
      </c>
      <c r="L15" s="36">
        <f>K15+I14*2</f>
        <v>17.700981695909032</v>
      </c>
      <c r="M15" s="36">
        <f>L15+I14*3</f>
        <v>17.830394578116774</v>
      </c>
      <c r="N15" s="36">
        <f>M15+I14*4</f>
        <v>18.002945087727095</v>
      </c>
      <c r="O15">
        <f>IF((C15)&lt;M14,12,IF(AND(C15&gt;=N14,C15&lt;M14),10,IF(AND(C15&gt;=M14,C15&lt;L14),7.75,IF(AND(C15&gt;=L14,C15&lt;K14),5.5,IF(AND(C15&gt;=K14,C15&lt;J14),3.25,IF(AND(C15&gt;=J14,C15&lt;=J15),1,IF(AND(C15&gt;J15,C15&lt;=K15),3.25,IF(AND(C15&gt;K15,C15&lt;=L15),5.5,IF(AND(C15&gt;L15,C15&lt;=M15),7.75,IF(AND(C15&gt;M15,C15&lt;=N15),10,12))))))))))</f>
        <v>1</v>
      </c>
      <c r="P15" s="22">
        <f>BaseScore!$G$14</f>
        <v>3.7647008405999998</v>
      </c>
      <c r="Q15" s="22">
        <f>EnvirScore!$H$9</f>
        <v>3.5571116567549996</v>
      </c>
      <c r="R15" s="22">
        <f t="shared" si="8"/>
        <v>8.3218124973549994</v>
      </c>
      <c r="S15" s="31">
        <f>((O14+P14)+(O15+P15)+(O16+P16))/3</f>
        <v>7.7647008405999998</v>
      </c>
      <c r="T15" s="31">
        <f>((O14+Q14)+(O15+Q15)+(O16+Q16))/3</f>
        <v>7.5571116567550005</v>
      </c>
      <c r="U15" s="30">
        <f>(SUM(S15:T15))/2</f>
        <v>7.6609062486775006</v>
      </c>
    </row>
    <row r="16" spans="1:21" x14ac:dyDescent="0.25">
      <c r="B16" t="s">
        <v>33</v>
      </c>
      <c r="C16" s="44">
        <f>RawData!$J$25</f>
        <v>17.968800000000002</v>
      </c>
      <c r="J16" s="36"/>
      <c r="K16" s="36"/>
      <c r="L16" s="36"/>
      <c r="M16" s="36"/>
      <c r="N16" s="36"/>
      <c r="O16">
        <f>IF((C16)&lt;M14,12,IF(AND(C16&gt;=N14,C16&lt;M14),10,IF(AND(C16&gt;=M14,C16&lt;L14),7.75,IF(AND(C16&gt;=L14,C16&lt;K14),5.5,IF(AND(C16&gt;=K14,C16&lt;J14),3.25,IF(AND(C16&gt;=J14,C16&lt;=J15),1,IF(AND(C16&gt;J15,C16&lt;=K15),3.25,IF(AND(C16&gt;K15,C16&lt;=L15),5.5,IF(AND(C16&gt;L15,C16&lt;=M15),7.75,IF(AND(C16&gt;M15,C16&lt;=N15),10,12))))))))))</f>
        <v>10</v>
      </c>
      <c r="P16" s="22">
        <f>BaseScore!$G$14</f>
        <v>3.7647008405999998</v>
      </c>
      <c r="Q16" s="22">
        <f>EnvirScore!$H$9</f>
        <v>3.5571116567549996</v>
      </c>
      <c r="R16" s="22">
        <f t="shared" si="8"/>
        <v>17.321812497354998</v>
      </c>
      <c r="S16" s="11"/>
      <c r="T16" s="11"/>
      <c r="U16" s="11"/>
    </row>
    <row r="17" spans="1:21" x14ac:dyDescent="0.25">
      <c r="C17" s="38"/>
      <c r="J17" s="36"/>
      <c r="K17" s="36"/>
      <c r="L17" s="36"/>
      <c r="M17" s="36"/>
      <c r="N17" s="36"/>
      <c r="Q17" s="30"/>
    </row>
    <row r="18" spans="1:21" ht="15.75" thickBot="1" x14ac:dyDescent="0.3">
      <c r="A18" t="s">
        <v>146</v>
      </c>
      <c r="C18" s="38"/>
      <c r="J18" s="36"/>
      <c r="K18" s="36"/>
      <c r="L18" s="36"/>
      <c r="M18" s="36"/>
      <c r="N18" s="36"/>
      <c r="Q18" s="30"/>
    </row>
    <row r="19" spans="1:21" ht="15.75" thickBot="1" x14ac:dyDescent="0.3">
      <c r="A19" s="13" t="s">
        <v>20</v>
      </c>
      <c r="B19" s="13" t="s">
        <v>31</v>
      </c>
      <c r="C19" s="45">
        <f>RawData!$F$24</f>
        <v>17.559000000000001</v>
      </c>
      <c r="D19" s="13">
        <f>(_xlfn.STDEV.S(C19,C20,C21)+(D4*4)+(D9*2))/7</f>
        <v>9.2932441074031064E-2</v>
      </c>
      <c r="E19" s="13">
        <f t="shared" ref="E19" si="9">IF(D19=0,1,D19)</f>
        <v>9.2932441074031064E-2</v>
      </c>
      <c r="F19" s="13">
        <v>1</v>
      </c>
      <c r="G19" s="13">
        <f>SUM(C19:C21)</f>
        <v>53.685000000000002</v>
      </c>
      <c r="H19" s="13">
        <f t="shared" ref="H19" si="10">G19/E19</f>
        <v>577.67771275085636</v>
      </c>
      <c r="I19" s="13">
        <f>E19</f>
        <v>9.2932441074031064E-2</v>
      </c>
      <c r="J19" s="37">
        <f>I20-I19*0.5</f>
        <v>17.512533779462984</v>
      </c>
      <c r="K19" s="37">
        <f>J19-I19*1</f>
        <v>17.419601338388954</v>
      </c>
      <c r="L19" s="37">
        <f>K19-I19*2</f>
        <v>17.233736456240891</v>
      </c>
      <c r="M19" s="37">
        <f>L19-I19*3</f>
        <v>16.954939133018797</v>
      </c>
      <c r="N19" s="37">
        <f>M19-I19*4</f>
        <v>16.583209368722674</v>
      </c>
      <c r="O19" s="13">
        <f>IF((C19)&lt;M19,12,IF(AND(C19&gt;=N19,C19&lt;M19),10,IF(AND(C19&gt;=M19,C19&lt;L19),7.75,IF(AND(C19&gt;=L19,C19&lt;K19),5.5,IF(AND(C19&gt;=K19,C19&lt;J19),3.25,IF(AND(C19&gt;=J19,C19&lt;=J20),1,IF(AND(C19&gt;J20,C19&lt;=K20),3.25,IF(AND(C19&gt;K20,C19&lt;=L20),5.5,IF(AND(C19&gt;L20,C19&lt;=M20),7.75,IF(AND(C19&gt;M20,C19&lt;=N20),10,12))))))))))</f>
        <v>1</v>
      </c>
      <c r="P19" s="22">
        <f>BaseScore!$G$14</f>
        <v>3.7647008405999998</v>
      </c>
      <c r="Q19" s="22">
        <f>EnvirScore!$H$9</f>
        <v>3.5571116567549996</v>
      </c>
      <c r="R19" s="22">
        <f t="shared" ref="R19:R21" si="11">O19+P19+Q19</f>
        <v>8.3218124973549994</v>
      </c>
      <c r="S19" s="24">
        <f>IF((S20)&gt;9,1,IF(AND(S20&gt;7,S20&lt;=8.99),2,IF(AND(S20&gt;4,S20&lt;=6.99),3,IF(AND(S20&gt;0,S20&lt;=3.99),4,0))))</f>
        <v>2</v>
      </c>
      <c r="T19" s="25">
        <f>IF((T20)&gt;9,1,IF(AND(T20&gt;7,T20&lt;=8.99),2,IF(AND(T20&gt;4,T20&lt;=6.99),3,IF(AND(T20&gt;0,T20&lt;=3.99),4,0))))</f>
        <v>2</v>
      </c>
      <c r="U19" s="26">
        <f>IF((U20)&gt;9,1,IF(AND(U20&gt;7,U20&lt;=8.99),2,IF(AND(U20&gt;4,U20&lt;=6.99),3,IF(AND(U20&gt;0,U20&lt;=3.99),4,0))))</f>
        <v>2</v>
      </c>
    </row>
    <row r="20" spans="1:21" x14ac:dyDescent="0.25">
      <c r="B20" t="s">
        <v>32</v>
      </c>
      <c r="C20" s="44">
        <f>RawData!$G$24</f>
        <v>17.547999999999998</v>
      </c>
      <c r="I20">
        <f>MEDIAN(C19:C21)</f>
        <v>17.559000000000001</v>
      </c>
      <c r="J20" s="36">
        <f>I20+I19*0.5</f>
        <v>17.605466220537018</v>
      </c>
      <c r="K20" s="36">
        <f>J20+I19*1</f>
        <v>17.698398661611048</v>
      </c>
      <c r="L20" s="36">
        <f>K20+I19*2</f>
        <v>17.884263543759111</v>
      </c>
      <c r="M20" s="36">
        <f>L20+I19*3</f>
        <v>18.163060866981205</v>
      </c>
      <c r="N20" s="36">
        <f>M20+I19*4</f>
        <v>18.534790631277328</v>
      </c>
      <c r="O20">
        <f>IF((C20)&lt;M19,12,IF(AND(C20&gt;=N19,C20&lt;M19),10,IF(AND(C20&gt;=M19,C20&lt;L19),7.75,IF(AND(C20&gt;=L19,C20&lt;K19),5.5,IF(AND(C20&gt;=K19,C20&lt;J19),3.25,IF(AND(C20&gt;=J19,C20&lt;=J20),1,IF(AND(C20&gt;J20,C20&lt;=K20),3.25,IF(AND(C20&gt;K20,C20&lt;=L20),5.5,IF(AND(C20&gt;L20,C20&lt;=M20),7.75,IF(AND(C20&gt;M20,C20&lt;=N20),10,12))))))))))</f>
        <v>1</v>
      </c>
      <c r="P20" s="22">
        <f>BaseScore!$G$14</f>
        <v>3.7647008405999998</v>
      </c>
      <c r="Q20" s="22">
        <f>EnvirScore!$H$9</f>
        <v>3.5571116567549996</v>
      </c>
      <c r="R20" s="22">
        <f t="shared" si="11"/>
        <v>8.3218124973549994</v>
      </c>
      <c r="S20" s="31">
        <f>((O19+P19)+(O20+P20)+(O21+P21))/3</f>
        <v>8.4313675072666658</v>
      </c>
      <c r="T20" s="31">
        <f>((O19+Q19)+(O20+Q20)+(O21+Q21))/3</f>
        <v>8.2237783234216675</v>
      </c>
      <c r="U20" s="30">
        <f>(SUM(S20:T20))/2</f>
        <v>8.3275729153441667</v>
      </c>
    </row>
    <row r="21" spans="1:21" x14ac:dyDescent="0.25">
      <c r="B21" t="s">
        <v>33</v>
      </c>
      <c r="C21" s="44">
        <f>RawData!$J$26</f>
        <v>18.578000000000003</v>
      </c>
      <c r="J21" s="21"/>
      <c r="K21" s="21"/>
      <c r="L21" s="21"/>
      <c r="M21" s="21"/>
      <c r="N21" s="21"/>
      <c r="O21">
        <f>IF((C21)&lt;M19,12,IF(AND(C21&gt;=N19,C21&lt;M19),10,IF(AND(C21&gt;=M19,C21&lt;L19),7.75,IF(AND(C21&gt;=L19,C21&lt;K19),5.5,IF(AND(C21&gt;=K19,C21&lt;J19),3.25,IF(AND(C21&gt;=J19,C21&lt;=J20),1,IF(AND(C21&gt;J20,C21&lt;=K20),3.25,IF(AND(C21&gt;K20,C21&lt;=L20),5.5,IF(AND(C21&gt;L20,C21&lt;=M20),7.75,IF(AND(C21&gt;M20,C21&lt;=N20),10,12))))))))))</f>
        <v>12</v>
      </c>
      <c r="P21" s="22">
        <f>BaseScore!$G$14</f>
        <v>3.7647008405999998</v>
      </c>
      <c r="Q21" s="22">
        <f>EnvirScore!$H$9</f>
        <v>3.5571116567549996</v>
      </c>
      <c r="R21" s="22">
        <f t="shared" si="11"/>
        <v>19.321812497354998</v>
      </c>
      <c r="S21" s="11"/>
      <c r="T21" s="11"/>
      <c r="U21" s="11"/>
    </row>
    <row r="22" spans="1:21" x14ac:dyDescent="0.25">
      <c r="C22" s="38"/>
      <c r="J22" s="21"/>
      <c r="K22" s="21"/>
      <c r="L22" s="21"/>
      <c r="M22" s="21"/>
      <c r="N22" s="21"/>
    </row>
    <row r="23" spans="1:21" ht="15.75" thickBot="1" x14ac:dyDescent="0.3">
      <c r="A23" t="s">
        <v>147</v>
      </c>
      <c r="C23" s="38"/>
      <c r="J23" s="36"/>
      <c r="K23" s="36"/>
      <c r="L23" s="36"/>
      <c r="M23" s="36"/>
      <c r="N23" s="36"/>
      <c r="Q23" s="30"/>
    </row>
    <row r="24" spans="1:21" ht="15.75" thickBot="1" x14ac:dyDescent="0.3">
      <c r="A24" s="13" t="s">
        <v>20</v>
      </c>
      <c r="B24" s="13" t="s">
        <v>31</v>
      </c>
      <c r="C24" s="45">
        <f>RawData!$H$24</f>
        <v>17.55</v>
      </c>
      <c r="D24" s="13">
        <f>(_xlfn.STDEV.S(C24,C25,C26)+(D9*4)+(D14*2))/7</f>
        <v>0.22615254265991483</v>
      </c>
      <c r="E24" s="13">
        <f t="shared" ref="E24" si="12">IF(D24=0,1,D24)</f>
        <v>0.22615254265991483</v>
      </c>
      <c r="F24" s="13">
        <v>1</v>
      </c>
      <c r="G24" s="13">
        <f>SUM(C24:C26)</f>
        <v>55.148600000000002</v>
      </c>
      <c r="H24" s="13">
        <f t="shared" ref="H24" si="13">G24/E24</f>
        <v>243.85575926480618</v>
      </c>
      <c r="I24" s="13">
        <f>E24</f>
        <v>0.22615254265991483</v>
      </c>
      <c r="J24" s="37">
        <f>I25-I24*0.5</f>
        <v>17.445923728670042</v>
      </c>
      <c r="K24" s="37">
        <f>J24-I24*1</f>
        <v>17.219771186010128</v>
      </c>
      <c r="L24" s="37">
        <f>K24-I24*2</f>
        <v>16.767466100690299</v>
      </c>
      <c r="M24" s="37">
        <f>L24-I24*3</f>
        <v>16.089008472710553</v>
      </c>
      <c r="N24" s="37">
        <f>M24-I24*4</f>
        <v>15.184398302070894</v>
      </c>
      <c r="O24" s="13">
        <f>IF((C24)&lt;M24,12,IF(AND(C24&gt;=N24,C24&lt;M24),10,IF(AND(C24&gt;=M24,C24&lt;L24),7.75,IF(AND(C24&gt;=L24,C24&lt;K24),5.5,IF(AND(C24&gt;=K24,C24&lt;J24),3.25,IF(AND(C24&gt;=J24,C24&lt;=J25),1,IF(AND(C24&gt;J25,C24&lt;=K25),3.25,IF(AND(C24&gt;K25,C24&lt;=L25),5.5,IF(AND(C24&gt;L25,C24&lt;=M25),7.75,IF(AND(C24&gt;M25,C24&lt;=N25),10,12))))))))))</f>
        <v>1</v>
      </c>
      <c r="P24" s="22">
        <f>BaseScore!$G$14</f>
        <v>3.7647008405999998</v>
      </c>
      <c r="Q24" s="22">
        <f>EnvirScore!$H$9</f>
        <v>3.5571116567549996</v>
      </c>
      <c r="R24" s="22">
        <f t="shared" ref="R24:R26" si="14">O24+P24+Q24</f>
        <v>8.3218124973549994</v>
      </c>
      <c r="S24" s="24">
        <f>IF((S25)&gt;9,1,IF(AND(S25&gt;7,S25&lt;=8.99),2,IF(AND(S25&gt;4,S25&lt;=6.99),3,IF(AND(S25&gt;0,S25&lt;=3.99),4,0))))</f>
        <v>2</v>
      </c>
      <c r="T24" s="25">
        <f>IF((T25)&gt;9,1,IF(AND(T25&gt;7,T25&lt;=8.99),2,IF(AND(T25&gt;4,T25&lt;=6.99),3,IF(AND(T25&gt;0,T25&lt;=3.99),4,0))))</f>
        <v>2</v>
      </c>
      <c r="U24" s="26">
        <f>IF((U25)&gt;9,1,IF(AND(U25&gt;7,U25&lt;=8.99),2,IF(AND(U25&gt;4,U25&lt;=6.99),3,IF(AND(U25&gt;0,U25&lt;=3.99),4,0))))</f>
        <v>2</v>
      </c>
    </row>
    <row r="25" spans="1:21" x14ac:dyDescent="0.25">
      <c r="B25" t="s">
        <v>32</v>
      </c>
      <c r="C25" s="44">
        <f>RawData!$F$24</f>
        <v>17.559000000000001</v>
      </c>
      <c r="I25">
        <f>MEDIAN(C24:C26)</f>
        <v>17.559000000000001</v>
      </c>
      <c r="J25" s="36">
        <f>I25+I24*0.5</f>
        <v>17.67207627132996</v>
      </c>
      <c r="K25" s="36">
        <f>J25+I24*1</f>
        <v>17.898228813989874</v>
      </c>
      <c r="L25" s="36">
        <f>K25+I24*2</f>
        <v>18.350533899309703</v>
      </c>
      <c r="M25" s="36">
        <f>L25+I24*3</f>
        <v>19.028991527289449</v>
      </c>
      <c r="N25" s="36">
        <f>M25+I24*4</f>
        <v>19.93360169792911</v>
      </c>
      <c r="O25">
        <f>IF((C25)&lt;M24,12,IF(AND(C25&gt;=N24,C25&lt;M24),10,IF(AND(C25&gt;=M24,C25&lt;L24),7.75,IF(AND(C25&gt;=L24,C25&lt;K24),5.5,IF(AND(C25&gt;=K24,C25&lt;J24),3.25,IF(AND(C25&gt;=J24,C25&lt;=J25),1,IF(AND(C25&gt;J25,C25&lt;=K25),3.25,IF(AND(C25&gt;K25,C25&lt;=L25),5.5,IF(AND(C25&gt;L25,C25&lt;=M25),7.75,IF(AND(C25&gt;M25,C25&lt;=N25),10,12))))))))))</f>
        <v>1</v>
      </c>
      <c r="P25" s="22">
        <f>BaseScore!$G$14</f>
        <v>3.7647008405999998</v>
      </c>
      <c r="Q25" s="22">
        <f>EnvirScore!$H$9</f>
        <v>3.5571116567549996</v>
      </c>
      <c r="R25" s="22">
        <f t="shared" si="14"/>
        <v>8.3218124973549994</v>
      </c>
      <c r="S25" s="31">
        <f>((O24+P24)+(O25+P25)+(O26+P26))/3</f>
        <v>8.4313675072666658</v>
      </c>
      <c r="T25" s="31">
        <f>((O24+Q24)+(O25+Q25)+(O26+Q26))/3</f>
        <v>8.2237783234216675</v>
      </c>
      <c r="U25" s="30">
        <f>(SUM(S25:T25))/2</f>
        <v>8.3275729153441667</v>
      </c>
    </row>
    <row r="26" spans="1:21" x14ac:dyDescent="0.25">
      <c r="B26" t="s">
        <v>33</v>
      </c>
      <c r="C26" s="44">
        <f>RawData!$J$27</f>
        <v>20.0396</v>
      </c>
      <c r="J26" s="21"/>
      <c r="K26" s="21"/>
      <c r="L26" s="21"/>
      <c r="M26" s="21"/>
      <c r="N26" s="21"/>
      <c r="O26">
        <f>IF((C26)&lt;M24,12,IF(AND(C26&gt;=N24,C26&lt;M24),10,IF(AND(C26&gt;=M24,C26&lt;L24),7.75,IF(AND(C26&gt;=L24,C26&lt;K24),5.5,IF(AND(C26&gt;=K24,C26&lt;J24),3.25,IF(AND(C26&gt;=J24,C26&lt;=J25),1,IF(AND(C26&gt;J25,C26&lt;=K25),3.25,IF(AND(C26&gt;K25,C26&lt;=L25),5.5,IF(AND(C26&gt;L25,C26&lt;=M25),7.75,IF(AND(C26&gt;M25,C26&lt;=N25),10,12))))))))))</f>
        <v>12</v>
      </c>
      <c r="P26" s="22">
        <f>BaseScore!$G$14</f>
        <v>3.7647008405999998</v>
      </c>
      <c r="Q26" s="22">
        <f>EnvirScore!$H$9</f>
        <v>3.5571116567549996</v>
      </c>
      <c r="R26" s="22">
        <f t="shared" si="14"/>
        <v>19.321812497354998</v>
      </c>
      <c r="S26" s="11"/>
      <c r="T26" s="11"/>
      <c r="U26" s="11"/>
    </row>
  </sheetData>
  <conditionalFormatting sqref="U9">
    <cfRule type="cellIs" dxfId="179" priority="57" operator="equal">
      <formula>1</formula>
    </cfRule>
    <cfRule type="cellIs" dxfId="178" priority="58" operator="equal">
      <formula>2</formula>
    </cfRule>
    <cfRule type="cellIs" dxfId="177" priority="59" operator="equal">
      <formula>3</formula>
    </cfRule>
    <cfRule type="cellIs" dxfId="176" priority="60" operator="equal">
      <formula>4</formula>
    </cfRule>
  </conditionalFormatting>
  <conditionalFormatting sqref="S9">
    <cfRule type="cellIs" dxfId="175" priority="53" operator="equal">
      <formula>1</formula>
    </cfRule>
    <cfRule type="cellIs" dxfId="174" priority="54" operator="equal">
      <formula>2</formula>
    </cfRule>
    <cfRule type="cellIs" dxfId="173" priority="55" operator="equal">
      <formula>3</formula>
    </cfRule>
    <cfRule type="cellIs" dxfId="172" priority="56" operator="equal">
      <formula>4</formula>
    </cfRule>
  </conditionalFormatting>
  <conditionalFormatting sqref="T9">
    <cfRule type="cellIs" dxfId="171" priority="49" operator="equal">
      <formula>1</formula>
    </cfRule>
    <cfRule type="cellIs" dxfId="170" priority="50" operator="equal">
      <formula>2</formula>
    </cfRule>
    <cfRule type="cellIs" dxfId="169" priority="51" operator="equal">
      <formula>3</formula>
    </cfRule>
    <cfRule type="cellIs" dxfId="168" priority="52" operator="equal">
      <formula>4</formula>
    </cfRule>
  </conditionalFormatting>
  <conditionalFormatting sqref="U4">
    <cfRule type="cellIs" dxfId="167" priority="45" operator="equal">
      <formula>1</formula>
    </cfRule>
    <cfRule type="cellIs" dxfId="166" priority="46" operator="equal">
      <formula>2</formula>
    </cfRule>
    <cfRule type="cellIs" dxfId="165" priority="47" operator="equal">
      <formula>3</formula>
    </cfRule>
    <cfRule type="cellIs" dxfId="164" priority="48" operator="equal">
      <formula>4</formula>
    </cfRule>
  </conditionalFormatting>
  <conditionalFormatting sqref="S4">
    <cfRule type="cellIs" dxfId="163" priority="41" operator="equal">
      <formula>1</formula>
    </cfRule>
    <cfRule type="cellIs" dxfId="162" priority="42" operator="equal">
      <formula>2</formula>
    </cfRule>
    <cfRule type="cellIs" dxfId="161" priority="43" operator="equal">
      <formula>3</formula>
    </cfRule>
    <cfRule type="cellIs" dxfId="160" priority="44" operator="equal">
      <formula>4</formula>
    </cfRule>
  </conditionalFormatting>
  <conditionalFormatting sqref="T4">
    <cfRule type="cellIs" dxfId="159" priority="37" operator="equal">
      <formula>1</formula>
    </cfRule>
    <cfRule type="cellIs" dxfId="158" priority="38" operator="equal">
      <formula>2</formula>
    </cfRule>
    <cfRule type="cellIs" dxfId="157" priority="39" operator="equal">
      <formula>3</formula>
    </cfRule>
    <cfRule type="cellIs" dxfId="156" priority="40" operator="equal">
      <formula>4</formula>
    </cfRule>
  </conditionalFormatting>
  <conditionalFormatting sqref="U14">
    <cfRule type="cellIs" dxfId="155" priority="33" operator="equal">
      <formula>1</formula>
    </cfRule>
    <cfRule type="cellIs" dxfId="154" priority="34" operator="equal">
      <formula>2</formula>
    </cfRule>
    <cfRule type="cellIs" dxfId="153" priority="35" operator="equal">
      <formula>3</formula>
    </cfRule>
    <cfRule type="cellIs" dxfId="152" priority="36" operator="equal">
      <formula>4</formula>
    </cfRule>
  </conditionalFormatting>
  <conditionalFormatting sqref="S14">
    <cfRule type="cellIs" dxfId="151" priority="29" operator="equal">
      <formula>1</formula>
    </cfRule>
    <cfRule type="cellIs" dxfId="150" priority="30" operator="equal">
      <formula>2</formula>
    </cfRule>
    <cfRule type="cellIs" dxfId="149" priority="31" operator="equal">
      <formula>3</formula>
    </cfRule>
    <cfRule type="cellIs" dxfId="148" priority="32" operator="equal">
      <formula>4</formula>
    </cfRule>
  </conditionalFormatting>
  <conditionalFormatting sqref="T14">
    <cfRule type="cellIs" dxfId="147" priority="25" operator="equal">
      <formula>1</formula>
    </cfRule>
    <cfRule type="cellIs" dxfId="146" priority="26" operator="equal">
      <formula>2</formula>
    </cfRule>
    <cfRule type="cellIs" dxfId="145" priority="27" operator="equal">
      <formula>3</formula>
    </cfRule>
    <cfRule type="cellIs" dxfId="144" priority="28" operator="equal">
      <formula>4</formula>
    </cfRule>
  </conditionalFormatting>
  <conditionalFormatting sqref="U19">
    <cfRule type="cellIs" dxfId="143" priority="21" operator="equal">
      <formula>1</formula>
    </cfRule>
    <cfRule type="cellIs" dxfId="142" priority="22" operator="equal">
      <formula>2</formula>
    </cfRule>
    <cfRule type="cellIs" dxfId="141" priority="23" operator="equal">
      <formula>3</formula>
    </cfRule>
    <cfRule type="cellIs" dxfId="140" priority="24" operator="equal">
      <formula>4</formula>
    </cfRule>
  </conditionalFormatting>
  <conditionalFormatting sqref="S19">
    <cfRule type="cellIs" dxfId="139" priority="17" operator="equal">
      <formula>1</formula>
    </cfRule>
    <cfRule type="cellIs" dxfId="138" priority="18" operator="equal">
      <formula>2</formula>
    </cfRule>
    <cfRule type="cellIs" dxfId="137" priority="19" operator="equal">
      <formula>3</formula>
    </cfRule>
    <cfRule type="cellIs" dxfId="136" priority="20" operator="equal">
      <formula>4</formula>
    </cfRule>
  </conditionalFormatting>
  <conditionalFormatting sqref="T19">
    <cfRule type="cellIs" dxfId="135" priority="13" operator="equal">
      <formula>1</formula>
    </cfRule>
    <cfRule type="cellIs" dxfId="134" priority="14" operator="equal">
      <formula>2</formula>
    </cfRule>
    <cfRule type="cellIs" dxfId="133" priority="15" operator="equal">
      <formula>3</formula>
    </cfRule>
    <cfRule type="cellIs" dxfId="132" priority="16" operator="equal">
      <formula>4</formula>
    </cfRule>
  </conditionalFormatting>
  <conditionalFormatting sqref="U24">
    <cfRule type="cellIs" dxfId="131" priority="9" operator="equal">
      <formula>1</formula>
    </cfRule>
    <cfRule type="cellIs" dxfId="130" priority="10" operator="equal">
      <formula>2</formula>
    </cfRule>
    <cfRule type="cellIs" dxfId="129" priority="11" operator="equal">
      <formula>3</formula>
    </cfRule>
    <cfRule type="cellIs" dxfId="128" priority="12" operator="equal">
      <formula>4</formula>
    </cfRule>
  </conditionalFormatting>
  <conditionalFormatting sqref="S24">
    <cfRule type="cellIs" dxfId="127" priority="5" operator="equal">
      <formula>1</formula>
    </cfRule>
    <cfRule type="cellIs" dxfId="126" priority="6" operator="equal">
      <formula>2</formula>
    </cfRule>
    <cfRule type="cellIs" dxfId="125" priority="7" operator="equal">
      <formula>3</formula>
    </cfRule>
    <cfRule type="cellIs" dxfId="124" priority="8" operator="equal">
      <formula>4</formula>
    </cfRule>
  </conditionalFormatting>
  <conditionalFormatting sqref="T24">
    <cfRule type="cellIs" dxfId="123" priority="1" operator="equal">
      <formula>1</formula>
    </cfRule>
    <cfRule type="cellIs" dxfId="122" priority="2" operator="equal">
      <formula>2</formula>
    </cfRule>
    <cfRule type="cellIs" dxfId="121" priority="3" operator="equal">
      <formula>3</formula>
    </cfRule>
    <cfRule type="cellIs" dxfId="120" priority="4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36" sqref="J36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6" max="16" width="10.7109375" customWidth="1"/>
    <col min="17" max="18" width="11.28515625" customWidth="1"/>
    <col min="19" max="21" width="11.42578125" customWidth="1"/>
  </cols>
  <sheetData>
    <row r="1" spans="1:21" x14ac:dyDescent="0.25">
      <c r="A1" t="s">
        <v>150</v>
      </c>
    </row>
    <row r="2" spans="1:21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149</v>
      </c>
      <c r="O2" s="18" t="s">
        <v>29</v>
      </c>
      <c r="P2" s="19" t="s">
        <v>65</v>
      </c>
      <c r="Q2" s="19" t="s">
        <v>66</v>
      </c>
      <c r="R2" s="19" t="s">
        <v>2</v>
      </c>
      <c r="S2" s="19" t="s">
        <v>75</v>
      </c>
      <c r="T2" s="19" t="s">
        <v>76</v>
      </c>
      <c r="U2" s="19" t="s">
        <v>1</v>
      </c>
    </row>
    <row r="3" spans="1:21" ht="15.75" thickBot="1" x14ac:dyDescent="0.3">
      <c r="A3" t="s">
        <v>83</v>
      </c>
      <c r="J3" s="36"/>
      <c r="K3" s="36"/>
      <c r="L3" s="36"/>
      <c r="M3" s="36"/>
      <c r="N3" s="36"/>
    </row>
    <row r="4" spans="1:21" ht="15.75" thickBot="1" x14ac:dyDescent="0.3">
      <c r="A4" s="13" t="s">
        <v>20</v>
      </c>
      <c r="B4" s="13" t="s">
        <v>31</v>
      </c>
      <c r="C4" s="45">
        <f>RawData!$E$29</f>
        <v>43.884999999999998</v>
      </c>
      <c r="D4" s="13">
        <f>_xlfn.STDEV.S(C4,C5,C6)</f>
        <v>1.2999999999998397E-2</v>
      </c>
      <c r="E4" s="13">
        <f t="shared" ref="E4" si="0">IF(D4=0,1,D4)</f>
        <v>1.2999999999998397E-2</v>
      </c>
      <c r="F4" s="13">
        <v>1</v>
      </c>
      <c r="G4" s="13">
        <f>SUM(C4:C6)</f>
        <v>131.631</v>
      </c>
      <c r="H4" s="13">
        <f t="shared" ref="H4" si="1">G4/E4</f>
        <v>10125.461538462787</v>
      </c>
      <c r="I4" s="13">
        <f>E4</f>
        <v>1.2999999999998397E-2</v>
      </c>
      <c r="J4" s="37">
        <f>I5-I4*0.5</f>
        <v>43.877499999999998</v>
      </c>
      <c r="K4" s="37">
        <f>J4-I4*1</f>
        <v>43.8645</v>
      </c>
      <c r="L4" s="37">
        <f>K4-I4*2</f>
        <v>43.838500000000003</v>
      </c>
      <c r="M4" s="37">
        <f>L4-I4*3</f>
        <v>43.799500000000009</v>
      </c>
      <c r="N4" s="37">
        <f>M4-I4*4</f>
        <v>43.747500000000016</v>
      </c>
      <c r="O4" s="13">
        <f>IF((C4)&lt;M4,12,IF(AND(C4&gt;=N4,C4&lt;M4),10,IF(AND(C4&gt;=M4,C4&lt;L4),7.75,IF(AND(C4&gt;=L4,C4&lt;K4),5.5,IF(AND(C4&gt;=K4,C4&lt;J4),3.25,IF(AND(C4&gt;=J4,C4&lt;=J5),1,IF(AND(C4&gt;J5,C4&lt;=K5),3.25,IF(AND(C4&gt;K5,C4&lt;=L5),5.5,IF(AND(C4&gt;L5,C4&lt;=M5),7.75,IF(AND(C4&gt;M5,C4&lt;=N5),10,12))))))))))</f>
        <v>1</v>
      </c>
      <c r="P4" s="22">
        <f>BaseScore!$G$14</f>
        <v>3.7647008405999998</v>
      </c>
      <c r="Q4" s="22">
        <f>EnvirScore!$H$9</f>
        <v>3.5571116567549996</v>
      </c>
      <c r="R4" s="22">
        <f t="shared" ref="R4:R6" si="2">O4+P4+Q4</f>
        <v>8.3218124973549994</v>
      </c>
      <c r="S4" s="24">
        <f>IF((S5)&gt;9,1,IF(AND(S5&gt;7,S5&lt;=8.99),2,IF(AND(S5&gt;4,S5&lt;=6.99),3,IF(AND(S5&gt;0,S5&lt;=3.99),4,0))))</f>
        <v>3</v>
      </c>
      <c r="T4" s="25">
        <f>IF((T5)&gt;9,1,IF(AND(T5&gt;7,T5&lt;=8.99),2,IF(AND(T5&gt;4,T5&lt;=6.99),3,IF(AND(T5&gt;0,T5&lt;=3.99),4,0))))</f>
        <v>3</v>
      </c>
      <c r="U4" s="26">
        <f>IF((U5)&gt;9,1,IF(AND(U5&gt;7,U5&lt;=8.99),2,IF(AND(U5&gt;4,U5&lt;=6.99),3,IF(AND(U5&gt;0,U5&lt;=3.99),4,0))))</f>
        <v>3</v>
      </c>
    </row>
    <row r="5" spans="1:21" x14ac:dyDescent="0.25">
      <c r="B5" t="s">
        <v>32</v>
      </c>
      <c r="C5" s="38">
        <f>RawData!$F$29</f>
        <v>43.862000000000002</v>
      </c>
      <c r="I5">
        <f>MEDIAN(C4:C6)</f>
        <v>43.884</v>
      </c>
      <c r="J5" s="36">
        <f>I5+I4*0.5</f>
        <v>43.890500000000003</v>
      </c>
      <c r="K5" s="36">
        <f>J5+I4*1</f>
        <v>43.903500000000001</v>
      </c>
      <c r="L5" s="36">
        <f>K5+I4*2</f>
        <v>43.929499999999997</v>
      </c>
      <c r="M5" s="36">
        <f>L5+I4*3</f>
        <v>43.968499999999992</v>
      </c>
      <c r="N5" s="36">
        <f>M5+I4*4</f>
        <v>44.020499999999984</v>
      </c>
      <c r="O5">
        <f>IF((C5)&lt;M4,12,IF(AND(C5&gt;=N4,C5&lt;M4),10,IF(AND(C5&gt;=M4,C5&lt;L4),7.75,IF(AND(C5&gt;=L4,C5&lt;K4),5.5,IF(AND(C5&gt;=K4,C5&lt;J4),3.25,IF(AND(C5&gt;=J4,C5&lt;=J5),1,IF(AND(C5&gt;J5,C5&lt;=K5),3.25,IF(AND(C5&gt;K5,C5&lt;=L5),5.5,IF(AND(C5&gt;L5,C5&lt;=M5),7.75,IF(AND(C5&gt;M5,C5&lt;=N5),10,12))))))))))</f>
        <v>5.5</v>
      </c>
      <c r="P5" s="22">
        <f>BaseScore!$G$14</f>
        <v>3.7647008405999998</v>
      </c>
      <c r="Q5" s="22">
        <f>EnvirScore!$H$9</f>
        <v>3.5571116567549996</v>
      </c>
      <c r="R5" s="22">
        <f t="shared" si="2"/>
        <v>12.821812497354999</v>
      </c>
      <c r="S5" s="31">
        <f>((O4+P4)+(O5+P5)+(O6+P6))/3</f>
        <v>6.2647008405999998</v>
      </c>
      <c r="T5" s="31">
        <f>((O4+Q4)+(O5+Q5)+(O6+Q6))/3</f>
        <v>6.0571116567550005</v>
      </c>
      <c r="U5" s="30">
        <f>(SUM(S5:T5))/2</f>
        <v>6.1609062486775006</v>
      </c>
    </row>
    <row r="6" spans="1:21" x14ac:dyDescent="0.25">
      <c r="B6" t="s">
        <v>33</v>
      </c>
      <c r="C6" s="38">
        <f>RawData!$G$29</f>
        <v>43.884</v>
      </c>
      <c r="J6" s="36"/>
      <c r="K6" s="36"/>
      <c r="L6" s="36"/>
      <c r="M6" s="36"/>
      <c r="N6" s="36"/>
      <c r="O6">
        <f>IF((C6)&lt;M4,12,IF(AND(C6&gt;=N4,C6&lt;M4),10,IF(AND(C6&gt;=M4,C6&lt;L4),7.75,IF(AND(C6&gt;=L4,C6&lt;K4),5.5,IF(AND(C6&gt;=K4,C6&lt;J4),3.25,IF(AND(C6&gt;=J4,C6&lt;=J5),1,IF(AND(C6&gt;J5,C6&lt;=K5),3.25,IF(AND(C6&gt;K5,C6&lt;=L5),5.5,IF(AND(C6&gt;L5,C6&lt;=M5),7.75,IF(AND(C6&gt;M5,C6&lt;=N5),10,12))))))))))</f>
        <v>1</v>
      </c>
      <c r="P6" s="22">
        <f>BaseScore!$G$14</f>
        <v>3.7647008405999998</v>
      </c>
      <c r="Q6" s="22">
        <f>EnvirScore!$H$9</f>
        <v>3.5571116567549996</v>
      </c>
      <c r="R6" s="22">
        <f t="shared" si="2"/>
        <v>8.3218124973549994</v>
      </c>
      <c r="S6" s="11"/>
      <c r="T6" s="11"/>
      <c r="U6" s="11"/>
    </row>
    <row r="7" spans="1:21" x14ac:dyDescent="0.25">
      <c r="C7" s="38"/>
      <c r="J7" s="36"/>
      <c r="K7" s="36"/>
      <c r="L7" s="36"/>
      <c r="M7" s="36"/>
      <c r="N7" s="36"/>
      <c r="Q7" s="30"/>
    </row>
    <row r="8" spans="1:21" ht="15.75" thickBot="1" x14ac:dyDescent="0.3">
      <c r="A8" t="s">
        <v>84</v>
      </c>
      <c r="C8" s="38"/>
      <c r="J8" s="36"/>
      <c r="K8" s="36"/>
      <c r="L8" s="36"/>
      <c r="M8" s="36"/>
      <c r="N8" s="36"/>
      <c r="Q8" s="30"/>
    </row>
    <row r="9" spans="1:21" ht="15.75" thickBot="1" x14ac:dyDescent="0.3">
      <c r="A9" s="13" t="s">
        <v>20</v>
      </c>
      <c r="B9" s="13" t="s">
        <v>31</v>
      </c>
      <c r="C9" s="45">
        <f>RawData!$F$29</f>
        <v>43.862000000000002</v>
      </c>
      <c r="D9" s="13">
        <f>((D4*2)+(_xlfn.STDEV.S(C9,C10,C11))/3)</f>
        <v>2.9906310184718191E-2</v>
      </c>
      <c r="E9" s="13">
        <f t="shared" ref="E9" si="3">IF(D9=0,1,D9)</f>
        <v>2.9906310184718191E-2</v>
      </c>
      <c r="F9" s="13">
        <v>1</v>
      </c>
      <c r="G9" s="13">
        <f>SUM(C9:C11)</f>
        <v>131.626</v>
      </c>
      <c r="H9" s="13">
        <f t="shared" ref="H9" si="4">G9/E9</f>
        <v>4401.2784989857928</v>
      </c>
      <c r="I9" s="13">
        <f>E9</f>
        <v>2.9906310184718191E-2</v>
      </c>
      <c r="J9" s="37">
        <f>I10-I9*0.5</f>
        <v>43.865046844907646</v>
      </c>
      <c r="K9" s="37">
        <f>J9-I9*1</f>
        <v>43.835140534722925</v>
      </c>
      <c r="L9" s="37">
        <f>K9-I9*2</f>
        <v>43.77532791435349</v>
      </c>
      <c r="M9" s="37">
        <f>L9-I9*3</f>
        <v>43.685608983799334</v>
      </c>
      <c r="N9" s="37">
        <f>M9-I9*4</f>
        <v>43.565983743060464</v>
      </c>
      <c r="O9" s="13">
        <f>IF((C9)&lt;M9,12,IF(AND(C9&gt;=N9,C9&lt;M9),10,IF(AND(C9&gt;=M9,C9&lt;L9),7.75,IF(AND(C9&gt;=L9,C9&lt;K9),5.5,IF(AND(C9&gt;=K9,C9&lt;J9),3.25,IF(AND(C9&gt;=J9,C9&lt;=J10),1,IF(AND(C9&gt;J10,C9&lt;=K10),3.25,IF(AND(C9&gt;K10,C9&lt;=L10),5.5,IF(AND(C9&gt;L10,C9&lt;=M10),7.75,IF(AND(C9&gt;M10,C9&lt;=N10),10,12))))))))))</f>
        <v>3.25</v>
      </c>
      <c r="P9" s="22">
        <f>BaseScore!$G$14</f>
        <v>3.7647008405999998</v>
      </c>
      <c r="Q9" s="22">
        <f>EnvirScore!$H$9</f>
        <v>3.5571116567549996</v>
      </c>
      <c r="R9" s="22">
        <f t="shared" ref="R9:R11" si="5">O9+P9+Q9</f>
        <v>10.571812497354999</v>
      </c>
      <c r="S9" s="24">
        <f>IF((S10)&gt;9,1,IF(AND(S10&gt;7,S10&lt;=8.99),2,IF(AND(S10&gt;4,S10&lt;=6.99),3,IF(AND(S10&gt;0,S10&lt;=3.99),4,0))))</f>
        <v>3</v>
      </c>
      <c r="T9" s="25">
        <f>IF((T10)&gt;9,1,IF(AND(T10&gt;7,T10&lt;=8.99),2,IF(AND(T10&gt;4,T10&lt;=6.99),3,IF(AND(T10&gt;0,T10&lt;=3.99),4,0))))</f>
        <v>3</v>
      </c>
      <c r="U9" s="26">
        <f>IF((U10)&gt;9,1,IF(AND(U10&gt;7,U10&lt;=8.99),2,IF(AND(U10&gt;4,U10&lt;=6.99),3,IF(AND(U10&gt;0,U10&lt;=3.99),4,0))))</f>
        <v>3</v>
      </c>
    </row>
    <row r="10" spans="1:21" x14ac:dyDescent="0.25">
      <c r="B10" t="s">
        <v>32</v>
      </c>
      <c r="C10" s="44">
        <f>RawData!$I$29</f>
        <v>43.884</v>
      </c>
      <c r="I10">
        <f>MEDIAN(C9:C11)</f>
        <v>43.88</v>
      </c>
      <c r="J10" s="36">
        <f>I10+I9*0.5</f>
        <v>43.89495315509236</v>
      </c>
      <c r="K10" s="36">
        <f>J10+I9*1</f>
        <v>43.924859465277081</v>
      </c>
      <c r="L10" s="36">
        <f>K10+I9*2</f>
        <v>43.984672085646515</v>
      </c>
      <c r="M10" s="36">
        <f>L10+I9*3</f>
        <v>44.074391016200671</v>
      </c>
      <c r="N10" s="36">
        <f>M10+I9*4</f>
        <v>44.194016256939541</v>
      </c>
      <c r="O10">
        <f>IF((C10)&lt;M9,12,IF(AND(C10&gt;=N9,C10&lt;M9),10,IF(AND(C10&gt;=M9,C10&lt;L9),7.75,IF(AND(C10&gt;=L9,C10&lt;K9),5.5,IF(AND(C10&gt;=K9,C10&lt;J9),3.25,IF(AND(C10&gt;=J9,C10&lt;=J10),1,IF(AND(C10&gt;J10,C10&lt;=K10),3.25,IF(AND(C10&gt;K10,C10&lt;=L10),5.5,IF(AND(C10&gt;L10,C10&lt;=M10),7.75,IF(AND(C10&gt;M10,C10&lt;=N10),10,12))))))))))</f>
        <v>1</v>
      </c>
      <c r="P10" s="22">
        <f>BaseScore!$G$14</f>
        <v>3.7647008405999998</v>
      </c>
      <c r="Q10" s="22">
        <f>EnvirScore!$H$9</f>
        <v>3.5571116567549996</v>
      </c>
      <c r="R10" s="22">
        <f t="shared" si="5"/>
        <v>8.3218124973549994</v>
      </c>
      <c r="S10" s="31">
        <f>((O9+P9)+(O10+P10)+(O11+P11))/3</f>
        <v>5.5147008405999998</v>
      </c>
      <c r="T10" s="31">
        <f>((O9+Q9)+(O10+Q10)+(O11+Q11))/3</f>
        <v>5.3071116567549996</v>
      </c>
      <c r="U10" s="30">
        <f>(SUM(S10:T10))/2</f>
        <v>5.4109062486774997</v>
      </c>
    </row>
    <row r="11" spans="1:21" x14ac:dyDescent="0.25">
      <c r="B11" t="s">
        <v>33</v>
      </c>
      <c r="C11" s="44">
        <f>RawData!$H$29</f>
        <v>43.88</v>
      </c>
      <c r="J11" s="36"/>
      <c r="K11" s="36"/>
      <c r="L11" s="36"/>
      <c r="M11" s="36"/>
      <c r="N11" s="36"/>
      <c r="O11">
        <f>IF((C11)&lt;M9,12,IF(AND(C11&gt;=N9,C11&lt;M9),10,IF(AND(C11&gt;=M9,C11&lt;L9),7.75,IF(AND(C11&gt;=L9,C11&lt;K9),5.5,IF(AND(C11&gt;=K9,C11&lt;J9),3.25,IF(AND(C11&gt;=J9,C11&lt;=J10),1,IF(AND(C11&gt;J10,C11&lt;=K10),3.25,IF(AND(C11&gt;K10,C11&lt;=L10),5.5,IF(AND(C11&gt;L10,C11&lt;=M10),7.75,IF(AND(C11&gt;M10,C11&lt;=N10),10,12))))))))))</f>
        <v>1</v>
      </c>
      <c r="P11" s="22">
        <f>BaseScore!$G$14</f>
        <v>3.7647008405999998</v>
      </c>
      <c r="Q11" s="22">
        <f>EnvirScore!$H$9</f>
        <v>3.5571116567549996</v>
      </c>
      <c r="R11" s="22">
        <f t="shared" si="5"/>
        <v>8.3218124973549994</v>
      </c>
      <c r="S11" s="11"/>
      <c r="T11" s="11"/>
      <c r="U11" s="11"/>
    </row>
    <row r="12" spans="1:21" x14ac:dyDescent="0.25">
      <c r="C12" s="38"/>
      <c r="J12" s="21"/>
      <c r="K12" s="21"/>
      <c r="L12" s="21"/>
      <c r="M12" s="21"/>
      <c r="N12" s="21"/>
      <c r="Q12" s="30"/>
    </row>
    <row r="13" spans="1:21" ht="15.75" thickBot="1" x14ac:dyDescent="0.3">
      <c r="A13" t="s">
        <v>145</v>
      </c>
      <c r="C13" s="38"/>
      <c r="J13" s="21"/>
      <c r="K13" s="21"/>
      <c r="L13" s="21"/>
      <c r="M13" s="21"/>
      <c r="N13" s="21"/>
      <c r="Q13" s="30"/>
    </row>
    <row r="14" spans="1:21" ht="15.75" thickBot="1" x14ac:dyDescent="0.3">
      <c r="A14" s="13" t="s">
        <v>20</v>
      </c>
      <c r="B14" s="13" t="s">
        <v>31</v>
      </c>
      <c r="C14" s="45">
        <f>RawData!$E$29</f>
        <v>43.884999999999998</v>
      </c>
      <c r="D14" s="13">
        <f>(_xlfn.STDEV.S(C14,C15,C16)+(D4*4)+(D9*2))/7</f>
        <v>4.9106813927473257E-2</v>
      </c>
      <c r="E14" s="13">
        <f t="shared" ref="E14" si="6">IF(D14=0,1,D14)</f>
        <v>4.9106813927473257E-2</v>
      </c>
      <c r="F14" s="13">
        <v>1</v>
      </c>
      <c r="G14" s="13">
        <f>SUM(C14:C16)</f>
        <v>132.04919999999998</v>
      </c>
      <c r="H14" s="13">
        <f t="shared" ref="H14" si="7">G14/E14</f>
        <v>2689.0199025134443</v>
      </c>
      <c r="I14" s="13">
        <f>E14</f>
        <v>4.9106813927473257E-2</v>
      </c>
      <c r="J14" s="37">
        <f>I15-I14*0.5</f>
        <v>43.860446593036258</v>
      </c>
      <c r="K14" s="37">
        <f>J14-I14*1</f>
        <v>43.811339779108785</v>
      </c>
      <c r="L14" s="37">
        <f>K14-I14*2</f>
        <v>43.713126151253839</v>
      </c>
      <c r="M14" s="37">
        <f>L14-I14*3</f>
        <v>43.56580570947142</v>
      </c>
      <c r="N14" s="37">
        <f>M14-I14*4</f>
        <v>43.369378453761527</v>
      </c>
      <c r="O14" s="13">
        <f>IF((C14)&lt;M14,12,IF(AND(C14&gt;=N14,C14&lt;M14),10,IF(AND(C14&gt;=M14,C14&lt;L14),7.75,IF(AND(C14&gt;=L14,C14&lt;K14),5.5,IF(AND(C14&gt;=K14,C14&lt;J14),3.25,IF(AND(C14&gt;=J14,C14&lt;=J15),1,IF(AND(C14&gt;J15,C14&lt;=K15),3.25,IF(AND(C14&gt;K15,C14&lt;=L15),5.5,IF(AND(C14&gt;L15,C14&lt;=M15),7.75,IF(AND(C14&gt;M15,C14&lt;=N15),10,12))))))))))</f>
        <v>1</v>
      </c>
      <c r="P14" s="22">
        <f>BaseScore!$G$14</f>
        <v>3.7647008405999998</v>
      </c>
      <c r="Q14" s="22">
        <f>EnvirScore!$H$9</f>
        <v>3.5571116567549996</v>
      </c>
      <c r="R14" s="22">
        <f t="shared" ref="R14:R16" si="8">O14+P14+Q14</f>
        <v>8.3218124973549994</v>
      </c>
      <c r="S14" s="24">
        <f>IF((S15)&gt;9,1,IF(AND(S15&gt;7,S15&lt;=8.99),2,IF(AND(S15&gt;4,S15&lt;=6.99),3,IF(AND(S15&gt;0,S15&lt;=3.99),4,0))))</f>
        <v>2</v>
      </c>
      <c r="T14" s="25">
        <f>IF((T15)&gt;9,1,IF(AND(T15&gt;7,T15&lt;=8.99),2,IF(AND(T15&gt;4,T15&lt;=6.99),3,IF(AND(T15&gt;0,T15&lt;=3.99),4,0))))</f>
        <v>2</v>
      </c>
      <c r="U14" s="26">
        <f>IF((U15)&gt;9,1,IF(AND(U15&gt;7,U15&lt;=8.99),2,IF(AND(U15&gt;4,U15&lt;=6.99),3,IF(AND(U15&gt;0,U15&lt;=3.99),4,0))))</f>
        <v>2</v>
      </c>
    </row>
    <row r="15" spans="1:21" x14ac:dyDescent="0.25">
      <c r="B15" t="s">
        <v>32</v>
      </c>
      <c r="C15" s="44">
        <f>RawData!$H$29</f>
        <v>43.88</v>
      </c>
      <c r="I15" s="38">
        <f>MEDIAN(C14:C16)</f>
        <v>43.884999999999998</v>
      </c>
      <c r="J15" s="36">
        <f>I15+I14*0.5</f>
        <v>43.909553406963738</v>
      </c>
      <c r="K15" s="36">
        <f>J15+I14*1</f>
        <v>43.958660220891211</v>
      </c>
      <c r="L15" s="36">
        <f>K15+I14*2</f>
        <v>44.056873848746157</v>
      </c>
      <c r="M15" s="36">
        <f>L15+I14*3</f>
        <v>44.204194290528577</v>
      </c>
      <c r="N15" s="36">
        <f>M15+I14*4</f>
        <v>44.400621546238469</v>
      </c>
      <c r="O15">
        <f>IF((C15)&lt;M14,12,IF(AND(C15&gt;=N14,C15&lt;M14),10,IF(AND(C15&gt;=M14,C15&lt;L14),7.75,IF(AND(C15&gt;=L14,C15&lt;K14),5.5,IF(AND(C15&gt;=K14,C15&lt;J14),3.25,IF(AND(C15&gt;=J14,C15&lt;=J15),1,IF(AND(C15&gt;J15,C15&lt;=K15),3.25,IF(AND(C15&gt;K15,C15&lt;=L15),5.5,IF(AND(C15&gt;L15,C15&lt;=M15),7.75,IF(AND(C15&gt;M15,C15&lt;=N15),10,12))))))))))</f>
        <v>1</v>
      </c>
      <c r="P15" s="22">
        <f>BaseScore!$G$14</f>
        <v>3.7647008405999998</v>
      </c>
      <c r="Q15" s="22">
        <f>EnvirScore!$H$9</f>
        <v>3.5571116567549996</v>
      </c>
      <c r="R15" s="22">
        <f t="shared" si="8"/>
        <v>8.3218124973549994</v>
      </c>
      <c r="S15" s="31">
        <f>((O14+P14)+(O15+P15)+(O16+P16))/3</f>
        <v>7.7647008405999998</v>
      </c>
      <c r="T15" s="31">
        <f>((O14+Q14)+(O15+Q15)+(O16+Q16))/3</f>
        <v>7.5571116567550005</v>
      </c>
      <c r="U15" s="30">
        <f>(SUM(S15:T15))/2</f>
        <v>7.6609062486775006</v>
      </c>
    </row>
    <row r="16" spans="1:21" x14ac:dyDescent="0.25">
      <c r="B16" t="s">
        <v>33</v>
      </c>
      <c r="C16" s="44">
        <f>RawData!$J$30</f>
        <v>44.284199999999991</v>
      </c>
      <c r="J16" s="36"/>
      <c r="K16" s="36"/>
      <c r="L16" s="36"/>
      <c r="M16" s="36"/>
      <c r="N16" s="36"/>
      <c r="O16">
        <f>IF((C16)&lt;M14,12,IF(AND(C16&gt;=N14,C16&lt;M14),10,IF(AND(C16&gt;=M14,C16&lt;L14),7.75,IF(AND(C16&gt;=L14,C16&lt;K14),5.5,IF(AND(C16&gt;=K14,C16&lt;J14),3.25,IF(AND(C16&gt;=J14,C16&lt;=J15),1,IF(AND(C16&gt;J15,C16&lt;=K15),3.25,IF(AND(C16&gt;K15,C16&lt;=L15),5.5,IF(AND(C16&gt;L15,C16&lt;=M15),7.75,IF(AND(C16&gt;M15,C16&lt;=N15),10,12))))))))))</f>
        <v>10</v>
      </c>
      <c r="P16" s="22">
        <f>BaseScore!$G$14</f>
        <v>3.7647008405999998</v>
      </c>
      <c r="Q16" s="22">
        <f>EnvirScore!$H$9</f>
        <v>3.5571116567549996</v>
      </c>
      <c r="R16" s="22">
        <f t="shared" si="8"/>
        <v>17.321812497354998</v>
      </c>
      <c r="S16" s="11"/>
      <c r="T16" s="11"/>
      <c r="U16" s="11"/>
    </row>
    <row r="17" spans="1:21" x14ac:dyDescent="0.25">
      <c r="C17" s="38"/>
      <c r="J17" s="36"/>
      <c r="K17" s="36"/>
      <c r="L17" s="36"/>
      <c r="M17" s="36"/>
      <c r="N17" s="36"/>
      <c r="Q17" s="30"/>
    </row>
    <row r="18" spans="1:21" ht="15.75" thickBot="1" x14ac:dyDescent="0.3">
      <c r="A18" t="s">
        <v>146</v>
      </c>
      <c r="C18" s="38"/>
      <c r="J18" s="36"/>
      <c r="K18" s="36"/>
      <c r="L18" s="36"/>
      <c r="M18" s="36"/>
      <c r="N18" s="36"/>
      <c r="Q18" s="30"/>
    </row>
    <row r="19" spans="1:21" ht="15.75" thickBot="1" x14ac:dyDescent="0.3">
      <c r="A19" s="13" t="s">
        <v>20</v>
      </c>
      <c r="B19" s="13" t="s">
        <v>31</v>
      </c>
      <c r="C19" s="45">
        <f>RawData!$F$29</f>
        <v>43.862000000000002</v>
      </c>
      <c r="D19" s="13">
        <f>(_xlfn.STDEV.S(C19,C20,C21)+(D4*4)+(D9*2))/7</f>
        <v>9.9934667397417562E-2</v>
      </c>
      <c r="E19" s="13">
        <f t="shared" ref="E19" si="9">IF(D19=0,1,D19)</f>
        <v>9.9934667397417562E-2</v>
      </c>
      <c r="F19" s="13">
        <v>1</v>
      </c>
      <c r="G19" s="13">
        <f>SUM(C19:C21)</f>
        <v>132.63679999999999</v>
      </c>
      <c r="H19" s="13">
        <f t="shared" ref="H19" si="10">G19/E19</f>
        <v>1327.2351172444839</v>
      </c>
      <c r="I19" s="13">
        <f>E19</f>
        <v>9.9934667397417562E-2</v>
      </c>
      <c r="J19" s="37">
        <f>I20-I19*0.5</f>
        <v>43.83403266630129</v>
      </c>
      <c r="K19" s="37">
        <f>J19-I19*1</f>
        <v>43.73409799890387</v>
      </c>
      <c r="L19" s="37">
        <f>K19-I19*2</f>
        <v>43.534228664109037</v>
      </c>
      <c r="M19" s="37">
        <f>L19-I19*3</f>
        <v>43.234424661916783</v>
      </c>
      <c r="N19" s="37">
        <f>M19-I19*4</f>
        <v>42.83468599232711</v>
      </c>
      <c r="O19" s="13">
        <f>IF((C19)&lt;M19,12,IF(AND(C19&gt;=N19,C19&lt;M19),10,IF(AND(C19&gt;=M19,C19&lt;L19),7.75,IF(AND(C19&gt;=L19,C19&lt;K19),5.5,IF(AND(C19&gt;=K19,C19&lt;J19),3.25,IF(AND(C19&gt;=J19,C19&lt;=J20),1,IF(AND(C19&gt;J20,C19&lt;=K20),3.25,IF(AND(C19&gt;K20,C19&lt;=L20),5.5,IF(AND(C19&gt;L20,C19&lt;=M20),7.75,IF(AND(C19&gt;M20,C19&lt;=N20),10,12))))))))))</f>
        <v>1</v>
      </c>
      <c r="P19" s="22">
        <f>BaseScore!$G$14</f>
        <v>3.7647008405999998</v>
      </c>
      <c r="Q19" s="22">
        <f>EnvirScore!$H$9</f>
        <v>3.5571116567549996</v>
      </c>
      <c r="R19" s="22">
        <f t="shared" ref="R19:R21" si="11">O19+P19+Q19</f>
        <v>8.3218124973549994</v>
      </c>
      <c r="S19" s="24">
        <f>IF((S20)&gt;9,1,IF(AND(S20&gt;7,S20&lt;=8.99),2,IF(AND(S20&gt;4,S20&lt;=6.99),3,IF(AND(S20&gt;0,S20&lt;=3.99),4,0))))</f>
        <v>2</v>
      </c>
      <c r="T19" s="25">
        <f>IF((T20)&gt;9,1,IF(AND(T20&gt;7,T20&lt;=8.99),2,IF(AND(T20&gt;4,T20&lt;=6.99),3,IF(AND(T20&gt;0,T20&lt;=3.99),4,0))))</f>
        <v>2</v>
      </c>
      <c r="U19" s="26">
        <f>IF((U20)&gt;9,1,IF(AND(U20&gt;7,U20&lt;=8.99),2,IF(AND(U20&gt;4,U20&lt;=6.99),3,IF(AND(U20&gt;0,U20&lt;=3.99),4,0))))</f>
        <v>2</v>
      </c>
    </row>
    <row r="20" spans="1:21" x14ac:dyDescent="0.25">
      <c r="B20" t="s">
        <v>32</v>
      </c>
      <c r="C20" s="44">
        <f>RawData!$G$29</f>
        <v>43.884</v>
      </c>
      <c r="I20">
        <f>MEDIAN(C19:C21)</f>
        <v>43.884</v>
      </c>
      <c r="J20" s="36">
        <f>I20+I19*0.5</f>
        <v>43.93396733369871</v>
      </c>
      <c r="K20" s="36">
        <f>J20+I19*1</f>
        <v>44.033902001096131</v>
      </c>
      <c r="L20" s="36">
        <f>K20+I19*2</f>
        <v>44.233771335890964</v>
      </c>
      <c r="M20" s="36">
        <f>L20+I19*3</f>
        <v>44.533575338083217</v>
      </c>
      <c r="N20" s="36">
        <f>M20+I19*4</f>
        <v>44.933314007672891</v>
      </c>
      <c r="O20">
        <f>IF((C20)&lt;M19,12,IF(AND(C20&gt;=N19,C20&lt;M19),10,IF(AND(C20&gt;=M19,C20&lt;L19),7.75,IF(AND(C20&gt;=L19,C20&lt;K19),5.5,IF(AND(C20&gt;=K19,C20&lt;J19),3.25,IF(AND(C20&gt;=J19,C20&lt;=J20),1,IF(AND(C20&gt;J20,C20&lt;=K20),3.25,IF(AND(C20&gt;K20,C20&lt;=L20),5.5,IF(AND(C20&gt;L20,C20&lt;=M20),7.75,IF(AND(C20&gt;M20,C20&lt;=N20),10,12))))))))))</f>
        <v>1</v>
      </c>
      <c r="P20" s="22">
        <f>BaseScore!$G$14</f>
        <v>3.7647008405999998</v>
      </c>
      <c r="Q20" s="22">
        <f>EnvirScore!$H$9</f>
        <v>3.5571116567549996</v>
      </c>
      <c r="R20" s="22">
        <f t="shared" si="11"/>
        <v>8.3218124973549994</v>
      </c>
      <c r="S20" s="31">
        <f>((O19+P19)+(O20+P20)+(O21+P21))/3</f>
        <v>7.7647008405999998</v>
      </c>
      <c r="T20" s="31">
        <f>((O19+Q19)+(O20+Q20)+(O21+Q21))/3</f>
        <v>7.5571116567550005</v>
      </c>
      <c r="U20" s="30">
        <f>(SUM(S20:T20))/2</f>
        <v>7.6609062486775006</v>
      </c>
    </row>
    <row r="21" spans="1:21" x14ac:dyDescent="0.25">
      <c r="B21" t="s">
        <v>33</v>
      </c>
      <c r="C21" s="44">
        <f>RawData!$J$31</f>
        <v>44.890799999999999</v>
      </c>
      <c r="J21" s="21"/>
      <c r="K21" s="21"/>
      <c r="L21" s="21"/>
      <c r="M21" s="21"/>
      <c r="N21" s="21"/>
      <c r="O21">
        <f>IF((C21)&lt;M19,12,IF(AND(C21&gt;=N19,C21&lt;M19),10,IF(AND(C21&gt;=M19,C21&lt;L19),7.75,IF(AND(C21&gt;=L19,C21&lt;K19),5.5,IF(AND(C21&gt;=K19,C21&lt;J19),3.25,IF(AND(C21&gt;=J19,C21&lt;=J20),1,IF(AND(C21&gt;J20,C21&lt;=K20),3.25,IF(AND(C21&gt;K20,C21&lt;=L20),5.5,IF(AND(C21&gt;L20,C21&lt;=M20),7.75,IF(AND(C21&gt;M20,C21&lt;=N20),10,12))))))))))</f>
        <v>10</v>
      </c>
      <c r="P21" s="22">
        <f>BaseScore!$G$14</f>
        <v>3.7647008405999998</v>
      </c>
      <c r="Q21" s="22">
        <f>EnvirScore!$H$9</f>
        <v>3.5571116567549996</v>
      </c>
      <c r="R21" s="22">
        <f t="shared" si="11"/>
        <v>17.321812497354998</v>
      </c>
      <c r="S21" s="11"/>
      <c r="T21" s="11"/>
      <c r="U21" s="11"/>
    </row>
    <row r="22" spans="1:21" x14ac:dyDescent="0.25">
      <c r="C22" s="38"/>
      <c r="J22" s="21"/>
      <c r="K22" s="21"/>
      <c r="L22" s="21"/>
      <c r="M22" s="21"/>
      <c r="N22" s="21"/>
    </row>
    <row r="23" spans="1:21" ht="15.75" thickBot="1" x14ac:dyDescent="0.3">
      <c r="A23" t="s">
        <v>147</v>
      </c>
      <c r="C23" s="38"/>
      <c r="J23" s="36"/>
      <c r="K23" s="36"/>
      <c r="L23" s="36"/>
      <c r="M23" s="36"/>
      <c r="N23" s="36"/>
      <c r="Q23" s="30"/>
    </row>
    <row r="24" spans="1:21" ht="15.75" thickBot="1" x14ac:dyDescent="0.3">
      <c r="A24" s="13" t="s">
        <v>20</v>
      </c>
      <c r="B24" s="13" t="s">
        <v>31</v>
      </c>
      <c r="C24" s="45">
        <f>RawData!$H$29</f>
        <v>43.88</v>
      </c>
      <c r="D24" s="13">
        <f>(_xlfn.STDEV.S(C24,C25,C26)+(D9*4)+(D14*2))/7</f>
        <v>0.23657807849581811</v>
      </c>
      <c r="E24" s="13">
        <f t="shared" ref="E24" si="12">IF(D24=0,1,D24)</f>
        <v>0.23657807849581811</v>
      </c>
      <c r="F24" s="13">
        <v>1</v>
      </c>
      <c r="G24" s="13">
        <f>SUM(C24:C26)</f>
        <v>134.10400000000001</v>
      </c>
      <c r="H24" s="13">
        <f t="shared" ref="H24" si="13">G24/E24</f>
        <v>566.84880041567556</v>
      </c>
      <c r="I24" s="13">
        <f>E24</f>
        <v>0.23657807849581811</v>
      </c>
      <c r="J24" s="37">
        <f>I25-I24*0.5</f>
        <v>43.76171096075209</v>
      </c>
      <c r="K24" s="37">
        <f>J24-I24*1</f>
        <v>43.525132882256273</v>
      </c>
      <c r="L24" s="37">
        <f>K24-I24*2</f>
        <v>43.051976725264637</v>
      </c>
      <c r="M24" s="37">
        <f>L24-I24*3</f>
        <v>42.342242489777185</v>
      </c>
      <c r="N24" s="37">
        <f>M24-I24*4</f>
        <v>41.395930175793914</v>
      </c>
      <c r="O24" s="13">
        <f>IF((C24)&lt;M24,12,IF(AND(C24&gt;=N24,C24&lt;M24),10,IF(AND(C24&gt;=M24,C24&lt;L24),7.75,IF(AND(C24&gt;=L24,C24&lt;K24),5.5,IF(AND(C24&gt;=K24,C24&lt;J24),3.25,IF(AND(C24&gt;=J24,C24&lt;=J25),1,IF(AND(C24&gt;J25,C24&lt;=K25),3.25,IF(AND(C24&gt;K25,C24&lt;=L25),5.5,IF(AND(C24&gt;L25,C24&lt;=M25),7.75,IF(AND(C24&gt;M25,C24&lt;=N25),10,12))))))))))</f>
        <v>1</v>
      </c>
      <c r="P24" s="22">
        <f>BaseScore!$G$14</f>
        <v>3.7647008405999998</v>
      </c>
      <c r="Q24" s="22">
        <f>EnvirScore!$H$9</f>
        <v>3.5571116567549996</v>
      </c>
      <c r="R24" s="22">
        <f t="shared" ref="R24:R26" si="14">O24+P24+Q24</f>
        <v>8.3218124973549994</v>
      </c>
      <c r="S24" s="24">
        <f>IF((S25)&gt;9,1,IF(AND(S25&gt;7,S25&lt;=8.99),2,IF(AND(S25&gt;4,S25&lt;=6.99),3,IF(AND(S25&gt;0,S25&lt;=3.99),4,0))))</f>
        <v>2</v>
      </c>
      <c r="T24" s="25">
        <f>IF((T25)&gt;9,1,IF(AND(T25&gt;7,T25&lt;=8.99),2,IF(AND(T25&gt;4,T25&lt;=6.99),3,IF(AND(T25&gt;0,T25&lt;=3.99),4,0))))</f>
        <v>2</v>
      </c>
      <c r="U24" s="26">
        <f>IF((U25)&gt;9,1,IF(AND(U25&gt;7,U25&lt;=8.99),2,IF(AND(U25&gt;4,U25&lt;=6.99),3,IF(AND(U25&gt;0,U25&lt;=3.99),4,0))))</f>
        <v>2</v>
      </c>
    </row>
    <row r="25" spans="1:21" x14ac:dyDescent="0.25">
      <c r="B25" t="s">
        <v>32</v>
      </c>
      <c r="C25" s="44">
        <f>RawData!$F$29</f>
        <v>43.862000000000002</v>
      </c>
      <c r="I25">
        <f>MEDIAN(C24:C26)</f>
        <v>43.88</v>
      </c>
      <c r="J25" s="36">
        <f>I25+I24*0.5</f>
        <v>43.998289039247915</v>
      </c>
      <c r="K25" s="36">
        <f>J25+I24*1</f>
        <v>44.234867117743732</v>
      </c>
      <c r="L25" s="36">
        <f>K25+I24*2</f>
        <v>44.708023274735368</v>
      </c>
      <c r="M25" s="36">
        <f>L25+I24*3</f>
        <v>45.41775751022282</v>
      </c>
      <c r="N25" s="36">
        <f>M25+I24*4</f>
        <v>46.364069824206091</v>
      </c>
      <c r="O25">
        <f>IF((C25)&lt;M24,12,IF(AND(C25&gt;=N24,C25&lt;M24),10,IF(AND(C25&gt;=M24,C25&lt;L24),7.75,IF(AND(C25&gt;=L24,C25&lt;K24),5.5,IF(AND(C25&gt;=K24,C25&lt;J24),3.25,IF(AND(C25&gt;=J24,C25&lt;=J25),1,IF(AND(C25&gt;J25,C25&lt;=K25),3.25,IF(AND(C25&gt;K25,C25&lt;=L25),5.5,IF(AND(C25&gt;L25,C25&lt;=M25),7.75,IF(AND(C25&gt;M25,C25&lt;=N25),10,12))))))))))</f>
        <v>1</v>
      </c>
      <c r="P25" s="22">
        <f>BaseScore!$G$14</f>
        <v>3.7647008405999998</v>
      </c>
      <c r="Q25" s="22">
        <f>EnvirScore!$H$9</f>
        <v>3.5571116567549996</v>
      </c>
      <c r="R25" s="22">
        <f t="shared" si="14"/>
        <v>8.3218124973549994</v>
      </c>
      <c r="S25" s="31">
        <f>((O24+P24)+(O25+P25)+(O26+P26))/3</f>
        <v>7.7647008405999998</v>
      </c>
      <c r="T25" s="31">
        <f>((O24+Q24)+(O25+Q25)+(O26+Q26))/3</f>
        <v>7.5571116567550005</v>
      </c>
      <c r="U25" s="30">
        <f>(SUM(S25:T25))/2</f>
        <v>7.6609062486775006</v>
      </c>
    </row>
    <row r="26" spans="1:21" x14ac:dyDescent="0.25">
      <c r="B26" t="s">
        <v>33</v>
      </c>
      <c r="C26" s="44">
        <f>RawData!$J$32</f>
        <v>46.362000000000002</v>
      </c>
      <c r="J26" s="21"/>
      <c r="K26" s="21"/>
      <c r="L26" s="21"/>
      <c r="M26" s="21"/>
      <c r="N26" s="21"/>
      <c r="O26">
        <f>IF((C26)&lt;M24,12,IF(AND(C26&gt;=N24,C26&lt;M24),10,IF(AND(C26&gt;=M24,C26&lt;L24),7.75,IF(AND(C26&gt;=L24,C26&lt;K24),5.5,IF(AND(C26&gt;=K24,C26&lt;J24),3.25,IF(AND(C26&gt;=J24,C26&lt;=J25),1,IF(AND(C26&gt;J25,C26&lt;=K25),3.25,IF(AND(C26&gt;K25,C26&lt;=L25),5.5,IF(AND(C26&gt;L25,C26&lt;=M25),7.75,IF(AND(C26&gt;M25,C26&lt;=N25),10,12))))))))))</f>
        <v>10</v>
      </c>
      <c r="P26" s="22">
        <f>BaseScore!$G$14</f>
        <v>3.7647008405999998</v>
      </c>
      <c r="Q26" s="22">
        <f>EnvirScore!$H$9</f>
        <v>3.5571116567549996</v>
      </c>
      <c r="R26" s="22">
        <f t="shared" si="14"/>
        <v>17.321812497354998</v>
      </c>
      <c r="S26" s="11"/>
      <c r="T26" s="11"/>
      <c r="U26" s="11"/>
    </row>
  </sheetData>
  <conditionalFormatting sqref="U9">
    <cfRule type="cellIs" dxfId="239" priority="57" operator="equal">
      <formula>1</formula>
    </cfRule>
    <cfRule type="cellIs" dxfId="238" priority="58" operator="equal">
      <formula>2</formula>
    </cfRule>
    <cfRule type="cellIs" dxfId="237" priority="59" operator="equal">
      <formula>3</formula>
    </cfRule>
    <cfRule type="cellIs" dxfId="236" priority="60" operator="equal">
      <formula>4</formula>
    </cfRule>
  </conditionalFormatting>
  <conditionalFormatting sqref="S9">
    <cfRule type="cellIs" dxfId="235" priority="53" operator="equal">
      <formula>1</formula>
    </cfRule>
    <cfRule type="cellIs" dxfId="234" priority="54" operator="equal">
      <formula>2</formula>
    </cfRule>
    <cfRule type="cellIs" dxfId="233" priority="55" operator="equal">
      <formula>3</formula>
    </cfRule>
    <cfRule type="cellIs" dxfId="232" priority="56" operator="equal">
      <formula>4</formula>
    </cfRule>
  </conditionalFormatting>
  <conditionalFormatting sqref="T9">
    <cfRule type="cellIs" dxfId="231" priority="49" operator="equal">
      <formula>1</formula>
    </cfRule>
    <cfRule type="cellIs" dxfId="230" priority="50" operator="equal">
      <formula>2</formula>
    </cfRule>
    <cfRule type="cellIs" dxfId="229" priority="51" operator="equal">
      <formula>3</formula>
    </cfRule>
    <cfRule type="cellIs" dxfId="228" priority="52" operator="equal">
      <formula>4</formula>
    </cfRule>
  </conditionalFormatting>
  <conditionalFormatting sqref="U4">
    <cfRule type="cellIs" dxfId="227" priority="45" operator="equal">
      <formula>1</formula>
    </cfRule>
    <cfRule type="cellIs" dxfId="226" priority="46" operator="equal">
      <formula>2</formula>
    </cfRule>
    <cfRule type="cellIs" dxfId="225" priority="47" operator="equal">
      <formula>3</formula>
    </cfRule>
    <cfRule type="cellIs" dxfId="224" priority="48" operator="equal">
      <formula>4</formula>
    </cfRule>
  </conditionalFormatting>
  <conditionalFormatting sqref="S4">
    <cfRule type="cellIs" dxfId="223" priority="41" operator="equal">
      <formula>1</formula>
    </cfRule>
    <cfRule type="cellIs" dxfId="222" priority="42" operator="equal">
      <formula>2</formula>
    </cfRule>
    <cfRule type="cellIs" dxfId="221" priority="43" operator="equal">
      <formula>3</formula>
    </cfRule>
    <cfRule type="cellIs" dxfId="220" priority="44" operator="equal">
      <formula>4</formula>
    </cfRule>
  </conditionalFormatting>
  <conditionalFormatting sqref="T4">
    <cfRule type="cellIs" dxfId="219" priority="37" operator="equal">
      <formula>1</formula>
    </cfRule>
    <cfRule type="cellIs" dxfId="218" priority="38" operator="equal">
      <formula>2</formula>
    </cfRule>
    <cfRule type="cellIs" dxfId="217" priority="39" operator="equal">
      <formula>3</formula>
    </cfRule>
    <cfRule type="cellIs" dxfId="216" priority="40" operator="equal">
      <formula>4</formula>
    </cfRule>
  </conditionalFormatting>
  <conditionalFormatting sqref="U14">
    <cfRule type="cellIs" dxfId="215" priority="33" operator="equal">
      <formula>1</formula>
    </cfRule>
    <cfRule type="cellIs" dxfId="214" priority="34" operator="equal">
      <formula>2</formula>
    </cfRule>
    <cfRule type="cellIs" dxfId="213" priority="35" operator="equal">
      <formula>3</formula>
    </cfRule>
    <cfRule type="cellIs" dxfId="212" priority="36" operator="equal">
      <formula>4</formula>
    </cfRule>
  </conditionalFormatting>
  <conditionalFormatting sqref="S14">
    <cfRule type="cellIs" dxfId="211" priority="29" operator="equal">
      <formula>1</formula>
    </cfRule>
    <cfRule type="cellIs" dxfId="210" priority="30" operator="equal">
      <formula>2</formula>
    </cfRule>
    <cfRule type="cellIs" dxfId="209" priority="31" operator="equal">
      <formula>3</formula>
    </cfRule>
    <cfRule type="cellIs" dxfId="208" priority="32" operator="equal">
      <formula>4</formula>
    </cfRule>
  </conditionalFormatting>
  <conditionalFormatting sqref="T14">
    <cfRule type="cellIs" dxfId="207" priority="25" operator="equal">
      <formula>1</formula>
    </cfRule>
    <cfRule type="cellIs" dxfId="206" priority="26" operator="equal">
      <formula>2</formula>
    </cfRule>
    <cfRule type="cellIs" dxfId="205" priority="27" operator="equal">
      <formula>3</formula>
    </cfRule>
    <cfRule type="cellIs" dxfId="204" priority="28" operator="equal">
      <formula>4</formula>
    </cfRule>
  </conditionalFormatting>
  <conditionalFormatting sqref="U19">
    <cfRule type="cellIs" dxfId="203" priority="21" operator="equal">
      <formula>1</formula>
    </cfRule>
    <cfRule type="cellIs" dxfId="202" priority="22" operator="equal">
      <formula>2</formula>
    </cfRule>
    <cfRule type="cellIs" dxfId="201" priority="23" operator="equal">
      <formula>3</formula>
    </cfRule>
    <cfRule type="cellIs" dxfId="200" priority="24" operator="equal">
      <formula>4</formula>
    </cfRule>
  </conditionalFormatting>
  <conditionalFormatting sqref="S19">
    <cfRule type="cellIs" dxfId="199" priority="17" operator="equal">
      <formula>1</formula>
    </cfRule>
    <cfRule type="cellIs" dxfId="198" priority="18" operator="equal">
      <formula>2</formula>
    </cfRule>
    <cfRule type="cellIs" dxfId="197" priority="19" operator="equal">
      <formula>3</formula>
    </cfRule>
    <cfRule type="cellIs" dxfId="196" priority="20" operator="equal">
      <formula>4</formula>
    </cfRule>
  </conditionalFormatting>
  <conditionalFormatting sqref="T19">
    <cfRule type="cellIs" dxfId="195" priority="13" operator="equal">
      <formula>1</formula>
    </cfRule>
    <cfRule type="cellIs" dxfId="194" priority="14" operator="equal">
      <formula>2</formula>
    </cfRule>
    <cfRule type="cellIs" dxfId="193" priority="15" operator="equal">
      <formula>3</formula>
    </cfRule>
    <cfRule type="cellIs" dxfId="192" priority="16" operator="equal">
      <formula>4</formula>
    </cfRule>
  </conditionalFormatting>
  <conditionalFormatting sqref="U24">
    <cfRule type="cellIs" dxfId="191" priority="9" operator="equal">
      <formula>1</formula>
    </cfRule>
    <cfRule type="cellIs" dxfId="190" priority="10" operator="equal">
      <formula>2</formula>
    </cfRule>
    <cfRule type="cellIs" dxfId="189" priority="11" operator="equal">
      <formula>3</formula>
    </cfRule>
    <cfRule type="cellIs" dxfId="188" priority="12" operator="equal">
      <formula>4</formula>
    </cfRule>
  </conditionalFormatting>
  <conditionalFormatting sqref="S24">
    <cfRule type="cellIs" dxfId="187" priority="5" operator="equal">
      <formula>1</formula>
    </cfRule>
    <cfRule type="cellIs" dxfId="186" priority="6" operator="equal">
      <formula>2</formula>
    </cfRule>
    <cfRule type="cellIs" dxfId="185" priority="7" operator="equal">
      <formula>3</formula>
    </cfRule>
    <cfRule type="cellIs" dxfId="184" priority="8" operator="equal">
      <formula>4</formula>
    </cfRule>
  </conditionalFormatting>
  <conditionalFormatting sqref="T24">
    <cfRule type="cellIs" dxfId="183" priority="1" operator="equal">
      <formula>1</formula>
    </cfRule>
    <cfRule type="cellIs" dxfId="182" priority="2" operator="equal">
      <formula>2</formula>
    </cfRule>
    <cfRule type="cellIs" dxfId="181" priority="3" operator="equal">
      <formula>3</formula>
    </cfRule>
    <cfRule type="cellIs" dxfId="180" priority="4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3.140625" customWidth="1"/>
    <col min="2" max="2" width="16.5703125" customWidth="1"/>
    <col min="3" max="3" width="23.5703125" bestFit="1" customWidth="1"/>
  </cols>
  <sheetData>
    <row r="1" spans="1:3" x14ac:dyDescent="0.25">
      <c r="A1" s="48" t="s">
        <v>161</v>
      </c>
      <c r="B1" t="s">
        <v>160</v>
      </c>
      <c r="C1" t="s">
        <v>159</v>
      </c>
    </row>
    <row r="2" spans="1:3" x14ac:dyDescent="0.25">
      <c r="A2" s="49" t="s">
        <v>156</v>
      </c>
      <c r="B2" s="47">
        <v>35.106000000000002</v>
      </c>
      <c r="C2" s="47">
        <v>29.643624994709999</v>
      </c>
    </row>
    <row r="3" spans="1:3" x14ac:dyDescent="0.25">
      <c r="A3" s="49" t="s">
        <v>157</v>
      </c>
      <c r="B3" s="47">
        <v>70.221999999999994</v>
      </c>
      <c r="C3" s="47">
        <v>28.976958328043334</v>
      </c>
    </row>
    <row r="4" spans="1:3" x14ac:dyDescent="0.25">
      <c r="A4" s="49" t="s">
        <v>158</v>
      </c>
      <c r="B4" s="47">
        <v>175.529</v>
      </c>
      <c r="C4" s="47">
        <v>28.393624994710002</v>
      </c>
    </row>
    <row r="5" spans="1:3" x14ac:dyDescent="0.25">
      <c r="A5" s="49" t="s">
        <v>155</v>
      </c>
      <c r="B5" s="47">
        <v>17.591000000000001</v>
      </c>
      <c r="C5" s="47">
        <v>29.726958328043334</v>
      </c>
    </row>
    <row r="6" spans="1:3" x14ac:dyDescent="0.25">
      <c r="A6" s="49" t="s">
        <v>162</v>
      </c>
      <c r="B6" s="47">
        <v>298.44799999999998</v>
      </c>
      <c r="C6" s="47">
        <v>116.74116664550667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E1:G17"/>
    </sheetView>
  </sheetViews>
  <sheetFormatPr defaultRowHeight="15" x14ac:dyDescent="0.25"/>
  <cols>
    <col min="1" max="1" width="10" bestFit="1" customWidth="1"/>
    <col min="2" max="2" width="16.7109375" bestFit="1" customWidth="1"/>
    <col min="3" max="3" width="9.85546875" bestFit="1" customWidth="1"/>
    <col min="5" max="5" width="10" bestFit="1" customWidth="1"/>
    <col min="6" max="6" width="16.7109375" bestFit="1" customWidth="1"/>
    <col min="7" max="7" width="9.85546875" bestFit="1" customWidth="1"/>
  </cols>
  <sheetData>
    <row r="1" spans="1:7" x14ac:dyDescent="0.25">
      <c r="A1" t="s">
        <v>152</v>
      </c>
      <c r="B1" t="s">
        <v>154</v>
      </c>
      <c r="C1" t="s">
        <v>153</v>
      </c>
      <c r="E1" t="s">
        <v>152</v>
      </c>
      <c r="F1" t="s">
        <v>154</v>
      </c>
      <c r="G1" t="s">
        <v>153</v>
      </c>
    </row>
    <row r="2" spans="1:7" x14ac:dyDescent="0.25">
      <c r="A2" t="s">
        <v>155</v>
      </c>
      <c r="B2" s="46">
        <f>'5mb Flow Dur Gr'!$U$10</f>
        <v>5.4109062486774997</v>
      </c>
      <c r="C2" s="46">
        <f>'5mb Flow Dur Gr'!$I$10</f>
        <v>4.3890000000000002</v>
      </c>
      <c r="E2" t="s">
        <v>155</v>
      </c>
      <c r="F2" s="46">
        <v>5.4109062486774997</v>
      </c>
      <c r="G2" s="46">
        <v>4.3890000000000002</v>
      </c>
    </row>
    <row r="3" spans="1:7" x14ac:dyDescent="0.25">
      <c r="A3" t="s">
        <v>155</v>
      </c>
      <c r="B3" s="46">
        <f>'5mb Flow Dur Gr'!$U$15</f>
        <v>7.6609062486775006</v>
      </c>
      <c r="C3" s="46">
        <f>'5mb Flow Dur Gr'!$I$15</f>
        <v>4.3979999999999997</v>
      </c>
      <c r="E3" t="s">
        <v>155</v>
      </c>
      <c r="F3" s="46">
        <v>7.6609062486775006</v>
      </c>
      <c r="G3" s="46">
        <v>4.3979999999999997</v>
      </c>
    </row>
    <row r="4" spans="1:7" x14ac:dyDescent="0.25">
      <c r="A4" t="s">
        <v>155</v>
      </c>
      <c r="B4" s="46">
        <f>'5mb Flow Dur Gr'!$U$20</f>
        <v>8.3275729153441667</v>
      </c>
      <c r="C4" s="46">
        <f>'5mb Flow Dur Gr'!$I$20</f>
        <v>4.4020000000000001</v>
      </c>
      <c r="E4" t="s">
        <v>155</v>
      </c>
      <c r="F4" s="46">
        <v>8.3275729153441667</v>
      </c>
      <c r="G4" s="46">
        <v>4.4020000000000001</v>
      </c>
    </row>
    <row r="5" spans="1:7" x14ac:dyDescent="0.25">
      <c r="A5" t="s">
        <v>155</v>
      </c>
      <c r="B5" s="46">
        <f>'5mb Flow Dur Gr'!$U$25</f>
        <v>8.3275729153441667</v>
      </c>
      <c r="C5" s="46">
        <f>'5mb Flow Dur Gr'!$I$25</f>
        <v>4.4020000000000001</v>
      </c>
      <c r="E5" t="s">
        <v>155</v>
      </c>
      <c r="F5" s="46">
        <v>8.3275729153441667</v>
      </c>
      <c r="G5" s="46">
        <v>4.4020000000000001</v>
      </c>
    </row>
    <row r="6" spans="1:7" x14ac:dyDescent="0.25">
      <c r="A6" t="s">
        <v>156</v>
      </c>
      <c r="B6" s="46">
        <f>'10mb Flow Dur Gr'!$U$10</f>
        <v>4.6609062486774997</v>
      </c>
      <c r="C6" s="46">
        <f>'10mb Flow Dur Gr'!$I$10</f>
        <v>8.7759999999999998</v>
      </c>
      <c r="E6" t="s">
        <v>156</v>
      </c>
      <c r="F6" s="46">
        <v>4.6609062486774997</v>
      </c>
      <c r="G6" s="46">
        <v>8.7759999999999998</v>
      </c>
    </row>
    <row r="7" spans="1:7" x14ac:dyDescent="0.25">
      <c r="A7" t="s">
        <v>156</v>
      </c>
      <c r="B7" s="46">
        <f>'10mb Flow Dur Gr'!$U$15</f>
        <v>8.3275729153441667</v>
      </c>
      <c r="C7" s="46">
        <f>'10mb Flow Dur Gr'!$I$15</f>
        <v>8.7759999999999998</v>
      </c>
      <c r="E7" t="s">
        <v>156</v>
      </c>
      <c r="F7" s="46">
        <v>8.3275729153441667</v>
      </c>
      <c r="G7" s="46">
        <v>8.7759999999999998</v>
      </c>
    </row>
    <row r="8" spans="1:7" x14ac:dyDescent="0.25">
      <c r="A8" t="s">
        <v>156</v>
      </c>
      <c r="B8" s="46">
        <f>'10mb Flow Dur Gr'!$U$20</f>
        <v>8.3275729153441667</v>
      </c>
      <c r="C8" s="46">
        <f>'10mb Flow Dur Gr'!$I$20</f>
        <v>8.7769999999999992</v>
      </c>
      <c r="E8" t="s">
        <v>156</v>
      </c>
      <c r="F8" s="46">
        <v>8.3275729153441667</v>
      </c>
      <c r="G8" s="46">
        <v>8.7769999999999992</v>
      </c>
    </row>
    <row r="9" spans="1:7" x14ac:dyDescent="0.25">
      <c r="A9" t="s">
        <v>156</v>
      </c>
      <c r="B9" s="46">
        <f>'10mb Flow Dur Gr'!$U$25</f>
        <v>8.3275729153441667</v>
      </c>
      <c r="C9" s="46">
        <f>'10mb Flow Dur Gr'!$I$25</f>
        <v>8.7769999999999992</v>
      </c>
      <c r="E9" t="s">
        <v>156</v>
      </c>
      <c r="F9" s="46">
        <v>8.3275729153441667</v>
      </c>
      <c r="G9" s="46">
        <v>8.7769999999999992</v>
      </c>
    </row>
    <row r="10" spans="1:7" x14ac:dyDescent="0.25">
      <c r="A10" t="s">
        <v>157</v>
      </c>
      <c r="B10" s="46">
        <f>'20mb Flow Dur Gr'!$U$10</f>
        <v>4.6609062486774997</v>
      </c>
      <c r="C10" s="46">
        <f>'20mb Flow Dur Gr'!$I$10</f>
        <v>17.553999999999998</v>
      </c>
      <c r="E10" t="s">
        <v>157</v>
      </c>
      <c r="F10" s="46">
        <v>4.6609062486774997</v>
      </c>
      <c r="G10" s="46">
        <v>17.553999999999998</v>
      </c>
    </row>
    <row r="11" spans="1:7" x14ac:dyDescent="0.25">
      <c r="A11" t="s">
        <v>157</v>
      </c>
      <c r="B11" s="46">
        <f>'20mb Flow Dur Gr'!$U$15</f>
        <v>7.6609062486775006</v>
      </c>
      <c r="C11" s="46">
        <f>'20mb Flow Dur Gr'!$I$15</f>
        <v>17.55</v>
      </c>
      <c r="E11" t="s">
        <v>157</v>
      </c>
      <c r="F11" s="46">
        <v>7.6609062486775006</v>
      </c>
      <c r="G11" s="46">
        <v>17.55</v>
      </c>
    </row>
    <row r="12" spans="1:7" x14ac:dyDescent="0.25">
      <c r="A12" t="s">
        <v>157</v>
      </c>
      <c r="B12" s="46">
        <f>'20mb Flow Dur Gr'!$U$20</f>
        <v>8.3275729153441667</v>
      </c>
      <c r="C12" s="46">
        <f>'20mb Flow Dur Gr'!$I$20</f>
        <v>17.559000000000001</v>
      </c>
      <c r="E12" t="s">
        <v>157</v>
      </c>
      <c r="F12" s="46">
        <v>8.3275729153441667</v>
      </c>
      <c r="G12" s="46">
        <v>17.559000000000001</v>
      </c>
    </row>
    <row r="13" spans="1:7" x14ac:dyDescent="0.25">
      <c r="A13" t="s">
        <v>157</v>
      </c>
      <c r="B13" s="46">
        <f>'20mb Flow Dur Gr'!$U$25</f>
        <v>8.3275729153441667</v>
      </c>
      <c r="C13" s="46">
        <f>'20mb Flow Dur Gr'!$I$25</f>
        <v>17.559000000000001</v>
      </c>
      <c r="E13" t="s">
        <v>157</v>
      </c>
      <c r="F13" s="46">
        <v>8.3275729153441667</v>
      </c>
      <c r="G13" s="46">
        <v>17.559000000000001</v>
      </c>
    </row>
    <row r="14" spans="1:7" x14ac:dyDescent="0.25">
      <c r="A14" t="s">
        <v>158</v>
      </c>
      <c r="B14" s="46">
        <f>'50mb Flow Dur Gr'!$U$10</f>
        <v>5.4109062486774997</v>
      </c>
      <c r="C14" s="46">
        <f>'50mb Flow Dur Gr'!$I$10</f>
        <v>43.88</v>
      </c>
      <c r="E14" t="s">
        <v>158</v>
      </c>
      <c r="F14" s="46">
        <v>5.4109062486774997</v>
      </c>
      <c r="G14" s="46">
        <v>43.88</v>
      </c>
    </row>
    <row r="15" spans="1:7" x14ac:dyDescent="0.25">
      <c r="A15" t="s">
        <v>158</v>
      </c>
      <c r="B15" s="46">
        <f>'50mb Flow Dur Gr'!$U$15</f>
        <v>7.6609062486775006</v>
      </c>
      <c r="C15" s="46">
        <f>'50mb Flow Dur Gr'!$I$15</f>
        <v>43.884999999999998</v>
      </c>
      <c r="E15" t="s">
        <v>158</v>
      </c>
      <c r="F15" s="46">
        <v>7.6609062486775006</v>
      </c>
      <c r="G15" s="46">
        <v>43.884999999999998</v>
      </c>
    </row>
    <row r="16" spans="1:7" x14ac:dyDescent="0.25">
      <c r="A16" t="s">
        <v>158</v>
      </c>
      <c r="B16" s="46">
        <f>'50mb Flow Dur Gr'!$U$20</f>
        <v>7.6609062486775006</v>
      </c>
      <c r="C16" s="46">
        <f>'50mb Flow Dur Gr'!$I$20</f>
        <v>43.884</v>
      </c>
      <c r="E16" t="s">
        <v>158</v>
      </c>
      <c r="F16" s="46">
        <v>7.6609062486775006</v>
      </c>
      <c r="G16" s="46">
        <v>43.884</v>
      </c>
    </row>
    <row r="17" spans="1:7" x14ac:dyDescent="0.25">
      <c r="A17" t="s">
        <v>158</v>
      </c>
      <c r="B17" s="46">
        <f>'50mb Flow Dur Gr'!$U$25</f>
        <v>7.6609062486775006</v>
      </c>
      <c r="C17" s="46">
        <f>'50mb Flow Dur Gr'!$I$25</f>
        <v>43.88</v>
      </c>
      <c r="E17" t="s">
        <v>158</v>
      </c>
      <c r="F17" s="46">
        <v>7.6609062486775006</v>
      </c>
      <c r="G17" s="46">
        <v>43.88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D1" workbookViewId="0">
      <selection activeCell="U16" sqref="U16"/>
    </sheetView>
  </sheetViews>
  <sheetFormatPr defaultRowHeight="15" x14ac:dyDescent="0.25"/>
  <cols>
    <col min="1" max="1" width="19.7109375" bestFit="1" customWidth="1"/>
    <col min="3" max="5" width="12.5703125" customWidth="1"/>
    <col min="6" max="6" width="10.5703125" customWidth="1"/>
    <col min="8" max="8" width="10.28515625" customWidth="1"/>
    <col min="15" max="15" width="11.42578125" customWidth="1"/>
    <col min="16" max="16" width="13.28515625" customWidth="1"/>
    <col min="17" max="17" width="10" customWidth="1"/>
    <col min="18" max="20" width="11.28515625" customWidth="1"/>
  </cols>
  <sheetData>
    <row r="1" spans="1:20" x14ac:dyDescent="0.25">
      <c r="A1" t="s">
        <v>81</v>
      </c>
      <c r="B1" t="s">
        <v>82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83</v>
      </c>
    </row>
    <row r="4" spans="1:20" ht="15.75" thickBot="1" x14ac:dyDescent="0.3">
      <c r="A4" s="13" t="s">
        <v>82</v>
      </c>
      <c r="B4" s="13" t="s">
        <v>31</v>
      </c>
      <c r="C4" s="13">
        <v>9.6</v>
      </c>
      <c r="D4" s="13">
        <f>_xlfn.STDEV.S(C4,C5,C6)</f>
        <v>3.6950417228136086E-2</v>
      </c>
      <c r="E4" s="13">
        <f t="shared" ref="E4" si="0">IF(D4=0,1,D4)</f>
        <v>3.6950417228136086E-2</v>
      </c>
      <c r="F4" s="13">
        <v>1</v>
      </c>
      <c r="G4" s="13">
        <f>SUM(C4:C6)</f>
        <v>28.735999999999997</v>
      </c>
      <c r="H4" s="13">
        <f t="shared" ref="H4" si="1">G4/E4</f>
        <v>777.69081259842505</v>
      </c>
      <c r="I4" s="13">
        <f>E4</f>
        <v>3.6950417228136086E-2</v>
      </c>
      <c r="J4" s="13">
        <f>I5-I4*0.25</f>
        <v>9.5907623956929662</v>
      </c>
      <c r="K4" s="13">
        <f>J4-I4*0.66</f>
        <v>9.5663751203223963</v>
      </c>
      <c r="L4" s="13">
        <f>K4-I4*1</f>
        <v>9.5294247030942607</v>
      </c>
      <c r="M4" s="13">
        <f>L4-I4*1.5</f>
        <v>9.4739990772520564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1</v>
      </c>
      <c r="O4" s="22">
        <f>BaseScore!$G$14</f>
        <v>3.7647008405999998</v>
      </c>
      <c r="P4" s="22">
        <f>EnvirScore!$H$14</f>
        <v>3.4787900567549999</v>
      </c>
      <c r="Q4" s="22">
        <f t="shared" ref="Q4:Q6" si="2">N4+O4+P4</f>
        <v>8.2434908973549987</v>
      </c>
      <c r="R4" s="24">
        <f>IF((R5)&gt;9,1,IF(AND(R5&gt;7,R5&lt;=8.9),2,IF(AND(R5&gt;4,R5&lt;=6.9),3,IF(AND(R5&gt;0,R5&lt;=3.9),4,0))))</f>
        <v>3</v>
      </c>
      <c r="S4" s="25">
        <f>IF((S5)&gt;9,1,IF(AND(S5&gt;7,S5&lt;=8.9),2,IF(AND(S5&gt;4,S5&lt;=6.9),3,IF(AND(S5&gt;0,S5&lt;=3.9),4,0))))</f>
        <v>3</v>
      </c>
      <c r="T4" s="26">
        <f>IF((T5)&gt;9,1,IF(AND(T5&gt;7,T5&lt;=8.9),2,IF(AND(T5&gt;4,T5&lt;=6.9),3,IF(AND(T5&gt;0,T5&lt;=3.9),4,0))))</f>
        <v>3</v>
      </c>
    </row>
    <row r="5" spans="1:20" x14ac:dyDescent="0.25">
      <c r="B5" t="s">
        <v>32</v>
      </c>
      <c r="C5">
        <v>9.5359999999999996</v>
      </c>
      <c r="I5">
        <f>MEDIAN(C4:C6)</f>
        <v>9.6</v>
      </c>
      <c r="J5">
        <f>I5+I4*0.25</f>
        <v>9.6092376043070331</v>
      </c>
      <c r="K5">
        <f>J5+I4*0.66</f>
        <v>9.6336248796776029</v>
      </c>
      <c r="L5">
        <f>K5+I4*1</f>
        <v>9.6705752969057386</v>
      </c>
      <c r="M5">
        <f>L5+I4*1.5</f>
        <v>9.7260009227479429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5.5</v>
      </c>
      <c r="O5" s="22">
        <f>BaseScore!$G$14</f>
        <v>3.7647008405999998</v>
      </c>
      <c r="P5" s="22">
        <f>EnvirScore!$H$14</f>
        <v>3.4787900567549999</v>
      </c>
      <c r="Q5" s="22">
        <f t="shared" si="2"/>
        <v>12.743490897354999</v>
      </c>
      <c r="R5" s="31">
        <f>((N4+O4)+(N5+O5)+(N6+O6))/3</f>
        <v>6.2647008405999998</v>
      </c>
      <c r="S5" s="31">
        <f>((N4+P4)+(N5+P5)+(N6+P6))/3</f>
        <v>5.978790056754999</v>
      </c>
      <c r="T5" s="30">
        <f>(SUM(R5:S5))/2</f>
        <v>6.1217454486774994</v>
      </c>
    </row>
    <row r="6" spans="1:20" x14ac:dyDescent="0.25">
      <c r="B6" t="s">
        <v>33</v>
      </c>
      <c r="C6">
        <v>9.6</v>
      </c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1</v>
      </c>
      <c r="O6" s="22">
        <f>BaseScore!$G$14</f>
        <v>3.7647008405999998</v>
      </c>
      <c r="P6" s="22">
        <f>EnvirScore!$H$14</f>
        <v>3.4787900567549999</v>
      </c>
      <c r="Q6" s="22">
        <f t="shared" si="2"/>
        <v>8.2434908973549987</v>
      </c>
      <c r="R6" s="11"/>
      <c r="S6" s="11"/>
      <c r="T6" s="11"/>
    </row>
    <row r="7" spans="1:20" x14ac:dyDescent="0.25">
      <c r="P7" s="30"/>
    </row>
    <row r="8" spans="1:20" ht="15.75" thickBot="1" x14ac:dyDescent="0.3">
      <c r="A8" t="s">
        <v>84</v>
      </c>
      <c r="P8" s="30"/>
    </row>
    <row r="9" spans="1:20" ht="15.75" thickBot="1" x14ac:dyDescent="0.3">
      <c r="A9" s="13" t="s">
        <v>82</v>
      </c>
      <c r="B9" s="13" t="s">
        <v>31</v>
      </c>
      <c r="C9" s="13">
        <v>9.59</v>
      </c>
      <c r="D9" s="13">
        <f>(_xlfn.STDEV.S(C9,C10,C11)+(D4*2)/3)</f>
        <v>5.4499980531559786E-2</v>
      </c>
      <c r="E9" s="13">
        <f t="shared" ref="E9" si="3">IF(D9=0,1,D9)</f>
        <v>5.4499980531559786E-2</v>
      </c>
      <c r="F9" s="13">
        <v>1</v>
      </c>
      <c r="G9" s="13">
        <f>SUM(C9:C11)</f>
        <v>28.734000000000002</v>
      </c>
      <c r="H9" s="13">
        <f t="shared" ref="H9" si="4">G9/E9</f>
        <v>527.22954613462207</v>
      </c>
      <c r="I9" s="13">
        <f>E9</f>
        <v>5.4499980531559786E-2</v>
      </c>
      <c r="J9" s="13">
        <f>I10-I9*0.25</f>
        <v>9.5763750048671099</v>
      </c>
      <c r="K9" s="13">
        <f>J9-I9*0.66</f>
        <v>9.5404050177162798</v>
      </c>
      <c r="L9" s="13">
        <f>K9-I9*1</f>
        <v>9.48590503718472</v>
      </c>
      <c r="M9" s="13">
        <f>L9-I9*1.5</f>
        <v>9.4041550663873803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EnvirScore!$H$14</f>
        <v>3.4787900567549999</v>
      </c>
      <c r="Q9" s="22">
        <f t="shared" ref="Q9:Q11" si="5">N9+O9+P9</f>
        <v>8.2434908973549987</v>
      </c>
      <c r="R9" s="24">
        <f>IF((R10)&gt;9,1,IF(AND(R10&gt;7,R10&lt;=8.9),2,IF(AND(R10&gt;4,R10&lt;=6.9),3,IF(AND(R10&gt;0,R10&lt;=3.9),4,0))))</f>
        <v>3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9.5440000000000005</v>
      </c>
      <c r="I10">
        <f>MEDIAN(C9:C11)</f>
        <v>9.59</v>
      </c>
      <c r="J10">
        <f>I10+I9*0.25</f>
        <v>9.6036249951328898</v>
      </c>
      <c r="K10">
        <f>J10+I9*0.66</f>
        <v>9.6395949822837199</v>
      </c>
      <c r="L10">
        <f>K10+I9*1</f>
        <v>9.6940949628152797</v>
      </c>
      <c r="M10">
        <f>L10+I9*1.5</f>
        <v>9.7758449336126194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3.25</v>
      </c>
      <c r="O10" s="22">
        <f>BaseScore!$G$14</f>
        <v>3.7647008405999998</v>
      </c>
      <c r="P10" s="22">
        <f>EnvirScore!$H$14</f>
        <v>3.4787900567549999</v>
      </c>
      <c r="Q10" s="22">
        <f t="shared" si="5"/>
        <v>10.493490897354999</v>
      </c>
      <c r="R10" s="31">
        <f>((N9+O9)+(N10+O10)+(N11+O11))/3</f>
        <v>5.5147008405999998</v>
      </c>
      <c r="S10" s="31">
        <f>((N9+P9)+(N10+P10)+(N11+P11))/3</f>
        <v>5.2287900567549999</v>
      </c>
      <c r="T10" s="30">
        <f>(SUM(R10:S10))/2</f>
        <v>5.3717454486774994</v>
      </c>
    </row>
    <row r="11" spans="1:20" x14ac:dyDescent="0.25">
      <c r="B11" t="s">
        <v>33</v>
      </c>
      <c r="C11">
        <v>9.6</v>
      </c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1</v>
      </c>
      <c r="O11" s="22">
        <f>BaseScore!$G$14</f>
        <v>3.7647008405999998</v>
      </c>
      <c r="P11" s="22">
        <f>EnvirScore!$H$14</f>
        <v>3.4787900567549999</v>
      </c>
      <c r="Q11" s="22">
        <f t="shared" si="5"/>
        <v>8.2434908973549987</v>
      </c>
      <c r="R11" s="11"/>
      <c r="S11" s="11"/>
      <c r="T11" s="11"/>
    </row>
    <row r="12" spans="1:20" x14ac:dyDescent="0.25">
      <c r="P12" s="30"/>
    </row>
    <row r="13" spans="1:20" ht="15.75" thickBot="1" x14ac:dyDescent="0.3">
      <c r="A13" t="s">
        <v>85</v>
      </c>
      <c r="P13" s="30"/>
    </row>
    <row r="14" spans="1:20" ht="15.75" thickBot="1" x14ac:dyDescent="0.3">
      <c r="A14" s="13" t="s">
        <v>82</v>
      </c>
      <c r="B14" s="13" t="s">
        <v>31</v>
      </c>
      <c r="C14" s="13">
        <v>9.6</v>
      </c>
      <c r="D14" s="13">
        <f>(_xlfn.STDEV.S(C14,C15,C16)+(D4*4)+(D9*2))/7</f>
        <v>4.0644920413823712E-2</v>
      </c>
      <c r="E14" s="13">
        <f t="shared" ref="E14" si="6">IF(D14=0,1,D14)</f>
        <v>4.0644920413823712E-2</v>
      </c>
      <c r="F14" s="13">
        <v>1</v>
      </c>
      <c r="G14" s="13">
        <f>SUM(C14:C16)</f>
        <v>28.752000000000002</v>
      </c>
      <c r="H14" s="13">
        <f t="shared" ref="H14" si="7">G14/E14</f>
        <v>707.39466844228787</v>
      </c>
      <c r="I14" s="13">
        <f>E14</f>
        <v>4.0644920413823712E-2</v>
      </c>
      <c r="J14" s="13">
        <f>I15-I14*0.25</f>
        <v>9.5898387698965433</v>
      </c>
      <c r="K14" s="13">
        <f>J14-I14*0.66</f>
        <v>9.5630131224234205</v>
      </c>
      <c r="L14" s="13">
        <f>K14-I14*1</f>
        <v>9.5223682020095968</v>
      </c>
      <c r="M14" s="13">
        <f>L14-I14*1.5</f>
        <v>9.4614008213888621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1</v>
      </c>
      <c r="O14" s="22">
        <f>BaseScore!$G$14</f>
        <v>3.7647008405999998</v>
      </c>
      <c r="P14" s="22">
        <f>EnvirScore!$H$14</f>
        <v>3.4787900567549999</v>
      </c>
      <c r="Q14" s="22">
        <f t="shared" ref="Q14:Q16" si="8">N14+O14+P14</f>
        <v>8.2434908973549987</v>
      </c>
      <c r="R14" s="24">
        <f>IF((R15)&gt;9,1,IF(AND(R15&gt;7,R15&lt;=8.9),2,IF(AND(R15&gt;4,R15&lt;=6.9),3,IF(AND(R15&gt;0,R15&lt;=3.9),4,0))))</f>
        <v>3</v>
      </c>
      <c r="S14" s="25">
        <f>IF((S15)&gt;9,1,IF(AND(S15&gt;7,S15&lt;=8.9),2,IF(AND(S15&gt;4,S15&lt;=6.9),3,IF(AND(S15&gt;0,S15&lt;=3.9),4,0))))</f>
        <v>3</v>
      </c>
      <c r="T14" s="26">
        <f>IF((T15)&gt;9,1,IF(AND(T15&gt;7,T15&lt;=8.9),2,IF(AND(T15&gt;4,T15&lt;=6.9),3,IF(AND(T15&gt;0,T15&lt;=3.9),4,0))))</f>
        <v>3</v>
      </c>
    </row>
    <row r="15" spans="1:20" x14ac:dyDescent="0.25">
      <c r="B15" t="s">
        <v>32</v>
      </c>
      <c r="C15">
        <v>9.5519999999999996</v>
      </c>
      <c r="I15">
        <f>MEDIAN(C14:C16)</f>
        <v>9.6</v>
      </c>
      <c r="J15">
        <f>I15+I14*0.25</f>
        <v>9.610161230103456</v>
      </c>
      <c r="K15">
        <f>J15+I14*0.66</f>
        <v>9.6369868775765788</v>
      </c>
      <c r="L15">
        <f>K15+I14*1</f>
        <v>9.6776317979904025</v>
      </c>
      <c r="M15">
        <f>L15+I14*1.5</f>
        <v>9.7385991786111372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5.5</v>
      </c>
      <c r="O15" s="22">
        <f>BaseScore!$G$14</f>
        <v>3.7647008405999998</v>
      </c>
      <c r="P15" s="22">
        <f>EnvirScore!$H$14</f>
        <v>3.4787900567549999</v>
      </c>
      <c r="Q15" s="22">
        <f t="shared" si="8"/>
        <v>12.743490897354999</v>
      </c>
      <c r="R15" s="31">
        <f>((N14+O14)+(N15+O15)+(N16+O16))/3</f>
        <v>6.2647008405999998</v>
      </c>
      <c r="S15" s="31">
        <f>((N14+P14)+(N15+P15)+(N16+P16))/3</f>
        <v>5.978790056754999</v>
      </c>
      <c r="T15" s="30">
        <f>(SUM(R15:S15))/2</f>
        <v>6.1217454486774994</v>
      </c>
    </row>
    <row r="16" spans="1:20" x14ac:dyDescent="0.25">
      <c r="B16" t="s">
        <v>33</v>
      </c>
      <c r="C16">
        <v>9.6</v>
      </c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1</v>
      </c>
      <c r="O16" s="22">
        <f>BaseScore!$G$14</f>
        <v>3.7647008405999998</v>
      </c>
      <c r="P16" s="22">
        <f>EnvirScore!$H$14</f>
        <v>3.4787900567549999</v>
      </c>
      <c r="Q16" s="22">
        <f t="shared" si="8"/>
        <v>8.2434908973549987</v>
      </c>
      <c r="R16" s="11"/>
      <c r="S16" s="11"/>
      <c r="T16" s="11"/>
    </row>
    <row r="17" spans="1:20" x14ac:dyDescent="0.25">
      <c r="P17" s="30"/>
    </row>
    <row r="18" spans="1:20" ht="15.75" thickBot="1" x14ac:dyDescent="0.3">
      <c r="A18" t="s">
        <v>86</v>
      </c>
      <c r="P18" s="30"/>
    </row>
    <row r="19" spans="1:20" ht="15.75" thickBot="1" x14ac:dyDescent="0.3">
      <c r="A19" s="13" t="s">
        <v>82</v>
      </c>
      <c r="B19" s="13" t="s">
        <v>31</v>
      </c>
      <c r="C19" s="13">
        <v>9.58</v>
      </c>
      <c r="D19" s="13">
        <f>(_xlfn.STDEV.S(C19,C20,C21)+(D4*8)+(D9*4)+(D14*2))/15</f>
        <v>4.1551433087824351E-2</v>
      </c>
      <c r="E19" s="13">
        <f t="shared" ref="E19" si="9">IF(D19=0,1,D19)</f>
        <v>4.1551433087824351E-2</v>
      </c>
      <c r="F19" s="13">
        <v>1</v>
      </c>
      <c r="G19" s="13">
        <f>SUM(C19:C21)</f>
        <v>28.724000000000004</v>
      </c>
      <c r="H19" s="13">
        <f t="shared" ref="H19" si="10">G19/E19</f>
        <v>691.28782969502151</v>
      </c>
      <c r="I19" s="13">
        <f>E19</f>
        <v>4.1551433087824351E-2</v>
      </c>
      <c r="J19" s="13">
        <f>I20-I19*0.25</f>
        <v>9.5696121417280438</v>
      </c>
      <c r="K19" s="13">
        <f>J19-I19*0.66</f>
        <v>9.5421881958900805</v>
      </c>
      <c r="L19" s="13">
        <f>K19-I19*1</f>
        <v>9.500636762802257</v>
      </c>
      <c r="M19" s="13">
        <f>L19-I19*1.5</f>
        <v>9.4383096131705209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1</v>
      </c>
      <c r="O19" s="22">
        <f>BaseScore!$G$14</f>
        <v>3.7647008405999998</v>
      </c>
      <c r="P19" s="22">
        <f>EnvirScore!$H$14</f>
        <v>3.4787900567549999</v>
      </c>
      <c r="Q19" s="22">
        <f t="shared" ref="Q19:Q21" si="11">N19+O19+P19</f>
        <v>8.2434908973549987</v>
      </c>
      <c r="R19" s="24">
        <f>IF((R20)&gt;9,1,IF(AND(R20&gt;7,R20&lt;=8.9),2,IF(AND(R20&gt;4,R20&lt;=6.9),3,IF(AND(R20&gt;0,R20&lt;=3.9),4,0))))</f>
        <v>3</v>
      </c>
      <c r="S19" s="25">
        <f>IF((S20)&gt;9,1,IF(AND(S20&gt;7,S20&lt;=8.9),2,IF(AND(S20&gt;4,S20&lt;=6.9),3,IF(AND(S20&gt;0,S20&lt;=3.9),4,0))))</f>
        <v>3</v>
      </c>
      <c r="T19" s="26">
        <f>IF((T20)&gt;9,1,IF(AND(T20&gt;7,T20&lt;=8.9),2,IF(AND(T20&gt;4,T20&lt;=6.9),3,IF(AND(T20&gt;0,T20&lt;=3.9),4,0))))</f>
        <v>3</v>
      </c>
    </row>
    <row r="20" spans="1:20" x14ac:dyDescent="0.25">
      <c r="B20" t="s">
        <v>32</v>
      </c>
      <c r="C20">
        <v>9.5440000000000005</v>
      </c>
      <c r="I20">
        <f>MEDIAN(C19:C21)</f>
        <v>9.58</v>
      </c>
      <c r="J20">
        <f>I20+I19*0.25</f>
        <v>9.5903878582719564</v>
      </c>
      <c r="K20">
        <f>J20+I19*0.66</f>
        <v>9.6178118041099196</v>
      </c>
      <c r="L20">
        <f>K20+I19*1</f>
        <v>9.6593632371977431</v>
      </c>
      <c r="M20">
        <f>L20+I19*1.5</f>
        <v>9.7216903868294793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3.25</v>
      </c>
      <c r="O20" s="22">
        <f>BaseScore!$G$14</f>
        <v>3.7647008405999998</v>
      </c>
      <c r="P20" s="22">
        <f>EnvirScore!$H$14</f>
        <v>3.4787900567549999</v>
      </c>
      <c r="Q20" s="22">
        <f t="shared" si="11"/>
        <v>10.493490897354999</v>
      </c>
      <c r="R20" s="31">
        <f>((N19+O19)+(N20+O20)+(N21+O21))/3</f>
        <v>6.2647008405999998</v>
      </c>
      <c r="S20" s="31">
        <f>((N19+P19)+(N20+P20)+(N21+P21))/3</f>
        <v>5.9787900567549999</v>
      </c>
      <c r="T20" s="30">
        <f>(SUM(R20:S20))/2</f>
        <v>6.1217454486774994</v>
      </c>
    </row>
    <row r="21" spans="1:20" x14ac:dyDescent="0.25">
      <c r="B21" t="s">
        <v>33</v>
      </c>
      <c r="C21">
        <v>9.6</v>
      </c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3.25</v>
      </c>
      <c r="O21" s="22">
        <f>BaseScore!$G$14</f>
        <v>3.7647008405999998</v>
      </c>
      <c r="P21" s="22">
        <f>EnvirScore!$H$14</f>
        <v>3.4787900567549999</v>
      </c>
      <c r="Q21" s="22">
        <f t="shared" si="11"/>
        <v>10.493490897354999</v>
      </c>
      <c r="R21" s="11"/>
      <c r="S21" s="11"/>
      <c r="T21" s="11"/>
    </row>
    <row r="22" spans="1:20" x14ac:dyDescent="0.25">
      <c r="P22" s="30"/>
    </row>
    <row r="23" spans="1:20" ht="15.75" thickBot="1" x14ac:dyDescent="0.3">
      <c r="A23" t="s">
        <v>87</v>
      </c>
      <c r="P23" s="30"/>
    </row>
    <row r="24" spans="1:20" ht="15.75" thickBot="1" x14ac:dyDescent="0.3">
      <c r="A24" s="13" t="s">
        <v>82</v>
      </c>
      <c r="B24" s="13" t="s">
        <v>31</v>
      </c>
      <c r="C24" s="13">
        <v>9.58</v>
      </c>
      <c r="D24" s="13">
        <f>(_xlfn.STDEV.S(C24,C25,C26)+(D4*16)+(D9*8)+(D14*4)+(D19*2))/31</f>
        <v>4.1838707187966652E-2</v>
      </c>
      <c r="E24" s="13">
        <f t="shared" ref="E24" si="12">IF(D24=0,1,D24)</f>
        <v>4.1838707187966652E-2</v>
      </c>
      <c r="F24" s="13">
        <v>1</v>
      </c>
      <c r="G24" s="13">
        <f>SUM(C24:C26)</f>
        <v>28.731999999999999</v>
      </c>
      <c r="H24" s="13">
        <f t="shared" ref="H24" si="13">G24/E24</f>
        <v>686.7325003833696</v>
      </c>
      <c r="I24" s="13">
        <f>E24</f>
        <v>4.1838707187966652E-2</v>
      </c>
      <c r="J24" s="13">
        <f>I25-I24*0.25</f>
        <v>9.5695403232030092</v>
      </c>
      <c r="K24" s="13">
        <f>J24-I24*0.66</f>
        <v>9.5419267764589506</v>
      </c>
      <c r="L24" s="13">
        <f>K24-I24*1</f>
        <v>9.5000880692709835</v>
      </c>
      <c r="M24" s="13">
        <f>L24-I24*1.5</f>
        <v>9.4373300084890328</v>
      </c>
      <c r="N24" s="13">
        <f>IF((C24)&lt;M24,1,IF(AND(C24&gt;=M24,C24&lt;L24),7.75,IF(AND(C24&gt;=L24,C24&lt;K24),5.5,IF(AND(C24&gt;=K24,C24&lt;J24),3.25,IF(AND(C24&gt;=J24,C24&lt;=J25),1,IF(AND(C24&gt;J25,C24&lt;=K25),3.25,IF(AND(C24&gt;K25,C24&lt;=L25),5.5,IF(AND(C24&gt;L25,C24&lt;=M25),7.75,10))))))))</f>
        <v>1</v>
      </c>
      <c r="O24" s="22">
        <f>BaseScore!$G$14</f>
        <v>3.7647008405999998</v>
      </c>
      <c r="P24" s="22">
        <f>EnvirScore!$H$14</f>
        <v>3.4787900567549999</v>
      </c>
      <c r="Q24" s="22">
        <f t="shared" ref="Q24:Q26" si="14">N24+O24+P24</f>
        <v>8.2434908973549987</v>
      </c>
      <c r="R24" s="24">
        <f>IF((R25)&gt;9,1,IF(AND(R25&gt;7,R25&lt;=8.9),2,IF(AND(R25&gt;4,R25&lt;=6.9),3,IF(AND(R25&gt;0,R25&lt;=3.9),4,0))))</f>
        <v>3</v>
      </c>
      <c r="S24" s="25">
        <f>IF((S25)&gt;9,1,IF(AND(S25&gt;7,S25&lt;=8.9),2,IF(AND(S25&gt;4,S25&lt;=6.9),3,IF(AND(S25&gt;0,S25&lt;=3.9),4,0))))</f>
        <v>3</v>
      </c>
      <c r="T24" s="26">
        <f>IF((T25)&gt;9,1,IF(AND(T25&gt;7,T25&lt;=8.9),2,IF(AND(T25&gt;4,T25&lt;=6.9),3,IF(AND(T25&gt;0,T25&lt;=3.9),4,0))))</f>
        <v>3</v>
      </c>
    </row>
    <row r="25" spans="1:20" x14ac:dyDescent="0.25">
      <c r="B25" t="s">
        <v>32</v>
      </c>
      <c r="C25">
        <v>9.5519999999999996</v>
      </c>
      <c r="I25">
        <f>MEDIAN(C24:C26)</f>
        <v>9.58</v>
      </c>
      <c r="J25">
        <f>I25+I24*0.25</f>
        <v>9.590459676796991</v>
      </c>
      <c r="K25">
        <f>J25+I24*0.66</f>
        <v>9.6180732235410495</v>
      </c>
      <c r="L25">
        <f>K25+I24*1</f>
        <v>9.6599119307290167</v>
      </c>
      <c r="M25">
        <f>L25+I24*1.5</f>
        <v>9.7226699915109673</v>
      </c>
      <c r="N25">
        <f>IF((C25)&lt;M24,10,IF(AND(C25&gt;=M24,C25&lt;L24),7.75,IF(AND(C25&gt;=L24,C25&lt;K24),5.5,IF(AND(C25&gt;=K24,C25&lt;J24),3.25,IF(AND(C25&gt;=J24,C25&lt;=J25),1,IF(AND(C25&gt;J25,C25&lt;=K25),3.25,IF(AND(C25&gt;K25,C25&lt;=L25),5.5,IF(AND(C25&gt;L25,C25&lt;=M25),7.75,10))))))))</f>
        <v>3.25</v>
      </c>
      <c r="O25" s="22">
        <f>BaseScore!$G$14</f>
        <v>3.7647008405999998</v>
      </c>
      <c r="P25" s="22">
        <f>EnvirScore!$H$14</f>
        <v>3.4787900567549999</v>
      </c>
      <c r="Q25" s="22">
        <f t="shared" si="14"/>
        <v>10.493490897354999</v>
      </c>
      <c r="R25" s="31">
        <f>((N24+O24)+(N25+O25)+(N26+O26))/3</f>
        <v>6.2647008405999998</v>
      </c>
      <c r="S25" s="31">
        <f>((N24+P24)+(N25+P25)+(N26+P26))/3</f>
        <v>5.9787900567549999</v>
      </c>
      <c r="T25" s="30">
        <f>(SUM(R25:S25))/2</f>
        <v>6.1217454486774994</v>
      </c>
    </row>
    <row r="26" spans="1:20" x14ac:dyDescent="0.25">
      <c r="B26" t="s">
        <v>33</v>
      </c>
      <c r="C26">
        <v>9.6</v>
      </c>
      <c r="N26">
        <f>IF((C26)&lt;M24,10,IF(AND(C26&gt;=M24,C26&lt;L24),7.75,IF(AND(C26&gt;=L24,C26&lt;K24),5.5,IF(AND(C26&gt;=K24,C26&lt;J24),3.25,IF(AND(C26&gt;=J24,C26&lt;=J25),1,IF(AND(C26&gt;J25,C26&lt;=K25),3.25,IF(AND(C26&gt;K25,C26&lt;=L25),5.5,IF(AND(C26&gt;L25,C26&lt;=M25),7.75,10))))))))</f>
        <v>3.25</v>
      </c>
      <c r="O26" s="22">
        <f>BaseScore!$G$14</f>
        <v>3.7647008405999998</v>
      </c>
      <c r="P26" s="22">
        <f>EnvirScore!$H$14</f>
        <v>3.4787900567549999</v>
      </c>
      <c r="Q26" s="22">
        <f t="shared" si="14"/>
        <v>10.493490897354999</v>
      </c>
      <c r="R26" s="11"/>
      <c r="S26" s="11"/>
      <c r="T26" s="11"/>
    </row>
  </sheetData>
  <conditionalFormatting sqref="T19">
    <cfRule type="cellIs" dxfId="827" priority="21" operator="equal">
      <formula>1</formula>
    </cfRule>
    <cfRule type="cellIs" dxfId="826" priority="22" operator="equal">
      <formula>2</formula>
    </cfRule>
    <cfRule type="cellIs" dxfId="825" priority="23" operator="equal">
      <formula>3</formula>
    </cfRule>
    <cfRule type="cellIs" dxfId="824" priority="24" operator="equal">
      <formula>4</formula>
    </cfRule>
  </conditionalFormatting>
  <conditionalFormatting sqref="R19">
    <cfRule type="cellIs" dxfId="823" priority="17" operator="equal">
      <formula>1</formula>
    </cfRule>
    <cfRule type="cellIs" dxfId="822" priority="18" operator="equal">
      <formula>2</formula>
    </cfRule>
    <cfRule type="cellIs" dxfId="821" priority="19" operator="equal">
      <formula>3</formula>
    </cfRule>
    <cfRule type="cellIs" dxfId="820" priority="20" operator="equal">
      <formula>4</formula>
    </cfRule>
  </conditionalFormatting>
  <conditionalFormatting sqref="S19">
    <cfRule type="cellIs" dxfId="819" priority="13" operator="equal">
      <formula>1</formula>
    </cfRule>
    <cfRule type="cellIs" dxfId="818" priority="14" operator="equal">
      <formula>2</formula>
    </cfRule>
    <cfRule type="cellIs" dxfId="817" priority="15" operator="equal">
      <formula>3</formula>
    </cfRule>
    <cfRule type="cellIs" dxfId="816" priority="16" operator="equal">
      <formula>4</formula>
    </cfRule>
  </conditionalFormatting>
  <conditionalFormatting sqref="S24">
    <cfRule type="cellIs" dxfId="815" priority="1" operator="equal">
      <formula>1</formula>
    </cfRule>
    <cfRule type="cellIs" dxfId="814" priority="2" operator="equal">
      <formula>2</formula>
    </cfRule>
    <cfRule type="cellIs" dxfId="813" priority="3" operator="equal">
      <formula>3</formula>
    </cfRule>
    <cfRule type="cellIs" dxfId="812" priority="4" operator="equal">
      <formula>4</formula>
    </cfRule>
  </conditionalFormatting>
  <conditionalFormatting sqref="T9">
    <cfRule type="cellIs" dxfId="811" priority="57" operator="equal">
      <formula>1</formula>
    </cfRule>
    <cfRule type="cellIs" dxfId="810" priority="58" operator="equal">
      <formula>2</formula>
    </cfRule>
    <cfRule type="cellIs" dxfId="809" priority="59" operator="equal">
      <formula>3</formula>
    </cfRule>
    <cfRule type="cellIs" dxfId="808" priority="60" operator="equal">
      <formula>4</formula>
    </cfRule>
  </conditionalFormatting>
  <conditionalFormatting sqref="R9">
    <cfRule type="cellIs" dxfId="807" priority="53" operator="equal">
      <formula>1</formula>
    </cfRule>
    <cfRule type="cellIs" dxfId="806" priority="54" operator="equal">
      <formula>2</formula>
    </cfRule>
    <cfRule type="cellIs" dxfId="805" priority="55" operator="equal">
      <formula>3</formula>
    </cfRule>
    <cfRule type="cellIs" dxfId="804" priority="56" operator="equal">
      <formula>4</formula>
    </cfRule>
  </conditionalFormatting>
  <conditionalFormatting sqref="S9">
    <cfRule type="cellIs" dxfId="803" priority="49" operator="equal">
      <formula>1</formula>
    </cfRule>
    <cfRule type="cellIs" dxfId="802" priority="50" operator="equal">
      <formula>2</formula>
    </cfRule>
    <cfRule type="cellIs" dxfId="801" priority="51" operator="equal">
      <formula>3</formula>
    </cfRule>
    <cfRule type="cellIs" dxfId="800" priority="52" operator="equal">
      <formula>4</formula>
    </cfRule>
  </conditionalFormatting>
  <conditionalFormatting sqref="T4">
    <cfRule type="cellIs" dxfId="799" priority="45" operator="equal">
      <formula>1</formula>
    </cfRule>
    <cfRule type="cellIs" dxfId="798" priority="46" operator="equal">
      <formula>2</formula>
    </cfRule>
    <cfRule type="cellIs" dxfId="797" priority="47" operator="equal">
      <formula>3</formula>
    </cfRule>
    <cfRule type="cellIs" dxfId="796" priority="48" operator="equal">
      <formula>4</formula>
    </cfRule>
  </conditionalFormatting>
  <conditionalFormatting sqref="R4">
    <cfRule type="cellIs" dxfId="795" priority="41" operator="equal">
      <formula>1</formula>
    </cfRule>
    <cfRule type="cellIs" dxfId="794" priority="42" operator="equal">
      <formula>2</formula>
    </cfRule>
    <cfRule type="cellIs" dxfId="793" priority="43" operator="equal">
      <formula>3</formula>
    </cfRule>
    <cfRule type="cellIs" dxfId="792" priority="44" operator="equal">
      <formula>4</formula>
    </cfRule>
  </conditionalFormatting>
  <conditionalFormatting sqref="S4">
    <cfRule type="cellIs" dxfId="791" priority="37" operator="equal">
      <formula>1</formula>
    </cfRule>
    <cfRule type="cellIs" dxfId="790" priority="38" operator="equal">
      <formula>2</formula>
    </cfRule>
    <cfRule type="cellIs" dxfId="789" priority="39" operator="equal">
      <formula>3</formula>
    </cfRule>
    <cfRule type="cellIs" dxfId="788" priority="40" operator="equal">
      <formula>4</formula>
    </cfRule>
  </conditionalFormatting>
  <conditionalFormatting sqref="T14">
    <cfRule type="cellIs" dxfId="787" priority="33" operator="equal">
      <formula>1</formula>
    </cfRule>
    <cfRule type="cellIs" dxfId="786" priority="34" operator="equal">
      <formula>2</formula>
    </cfRule>
    <cfRule type="cellIs" dxfId="785" priority="35" operator="equal">
      <formula>3</formula>
    </cfRule>
    <cfRule type="cellIs" dxfId="784" priority="36" operator="equal">
      <formula>4</formula>
    </cfRule>
  </conditionalFormatting>
  <conditionalFormatting sqref="R14">
    <cfRule type="cellIs" dxfId="783" priority="29" operator="equal">
      <formula>1</formula>
    </cfRule>
    <cfRule type="cellIs" dxfId="782" priority="30" operator="equal">
      <formula>2</formula>
    </cfRule>
    <cfRule type="cellIs" dxfId="781" priority="31" operator="equal">
      <formula>3</formula>
    </cfRule>
    <cfRule type="cellIs" dxfId="780" priority="32" operator="equal">
      <formula>4</formula>
    </cfRule>
  </conditionalFormatting>
  <conditionalFormatting sqref="S14">
    <cfRule type="cellIs" dxfId="779" priority="25" operator="equal">
      <formula>1</formula>
    </cfRule>
    <cfRule type="cellIs" dxfId="778" priority="26" operator="equal">
      <formula>2</formula>
    </cfRule>
    <cfRule type="cellIs" dxfId="777" priority="27" operator="equal">
      <formula>3</formula>
    </cfRule>
    <cfRule type="cellIs" dxfId="776" priority="28" operator="equal">
      <formula>4</formula>
    </cfRule>
  </conditionalFormatting>
  <conditionalFormatting sqref="T24">
    <cfRule type="cellIs" dxfId="775" priority="9" operator="equal">
      <formula>1</formula>
    </cfRule>
    <cfRule type="cellIs" dxfId="774" priority="10" operator="equal">
      <formula>2</formula>
    </cfRule>
    <cfRule type="cellIs" dxfId="773" priority="11" operator="equal">
      <formula>3</formula>
    </cfRule>
    <cfRule type="cellIs" dxfId="772" priority="12" operator="equal">
      <formula>4</formula>
    </cfRule>
  </conditionalFormatting>
  <conditionalFormatting sqref="R24">
    <cfRule type="cellIs" dxfId="771" priority="5" operator="equal">
      <formula>1</formula>
    </cfRule>
    <cfRule type="cellIs" dxfId="770" priority="6" operator="equal">
      <formula>2</formula>
    </cfRule>
    <cfRule type="cellIs" dxfId="769" priority="7" operator="equal">
      <formula>3</formula>
    </cfRule>
    <cfRule type="cellIs" dxfId="768" priority="8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D3" workbookViewId="0">
      <selection activeCell="S30" sqref="S30"/>
    </sheetView>
  </sheetViews>
  <sheetFormatPr defaultRowHeight="15" x14ac:dyDescent="0.25"/>
  <cols>
    <col min="1" max="1" width="19.7109375" bestFit="1" customWidth="1"/>
    <col min="4" max="6" width="11.28515625" customWidth="1"/>
    <col min="8" max="8" width="10.7109375" customWidth="1"/>
    <col min="15" max="15" width="11.85546875" customWidth="1"/>
    <col min="16" max="16" width="12" customWidth="1"/>
    <col min="17" max="17" width="10.42578125" customWidth="1"/>
    <col min="18" max="20" width="11.85546875" customWidth="1"/>
  </cols>
  <sheetData>
    <row r="1" spans="1:20" x14ac:dyDescent="0.25">
      <c r="A1" t="s">
        <v>81</v>
      </c>
      <c r="B1" t="s">
        <v>82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89</v>
      </c>
    </row>
    <row r="4" spans="1:20" ht="15.75" thickBot="1" x14ac:dyDescent="0.3">
      <c r="A4" s="13" t="s">
        <v>82</v>
      </c>
      <c r="B4" s="13" t="s">
        <v>31</v>
      </c>
      <c r="C4" s="13">
        <v>6.1</v>
      </c>
      <c r="D4" s="13">
        <f>(_xlfn.STDEV.S(C4,C5,C6)+(B30*2))/3</f>
        <v>0.69539461460959506</v>
      </c>
      <c r="E4" s="13">
        <f t="shared" ref="E4" si="0">IF(D4=0,1,D4)</f>
        <v>0.69539461460959506</v>
      </c>
      <c r="F4" s="13">
        <v>1</v>
      </c>
      <c r="G4" s="13">
        <f>SUM(C4:C6)</f>
        <v>25.235999999999997</v>
      </c>
      <c r="H4" s="13">
        <f t="shared" ref="H4" si="1">G4/E4</f>
        <v>36.2901861329022</v>
      </c>
      <c r="I4" s="13">
        <f>E4</f>
        <v>0.69539461460959506</v>
      </c>
      <c r="J4" s="13">
        <f>I5-I4*0.25</f>
        <v>9.3621513463476003</v>
      </c>
      <c r="K4" s="13">
        <f>J4-I4*0.66</f>
        <v>8.9031909007052672</v>
      </c>
      <c r="L4" s="13">
        <f>K4-I4*1</f>
        <v>8.2077962860956717</v>
      </c>
      <c r="M4" s="13">
        <f>L4-I4*1.5</f>
        <v>7.1647043641812793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1</v>
      </c>
      <c r="O4" s="22">
        <f>BaseScore!$G$14</f>
        <v>3.7647008405999998</v>
      </c>
      <c r="P4" s="22">
        <f>EnvirScore!$H$14</f>
        <v>3.4787900567549999</v>
      </c>
      <c r="Q4" s="22">
        <f t="shared" ref="Q4:Q6" si="2">N4+O4+P4</f>
        <v>8.2434908973549987</v>
      </c>
      <c r="R4" s="24">
        <f>IF((R5)&gt;9,1,IF(AND(R5&gt;7,R5&lt;=8.9),2,IF(AND(R5&gt;4,R5&lt;=6.9),3,IF(AND(R5&gt;0,R5&lt;=3.9),4,0))))</f>
        <v>3</v>
      </c>
      <c r="S4" s="25">
        <f>IF((S5)&gt;9,1,IF(AND(S5&gt;7,S5&lt;=8.9),2,IF(AND(S5&gt;4,S5&lt;=6.9),3,IF(AND(S5&gt;0,S5&lt;=3.9),4,0))))</f>
        <v>3</v>
      </c>
      <c r="T4" s="26">
        <f>IF((T5)&gt;9,1,IF(AND(T5&gt;7,T5&lt;=8.9),2,IF(AND(T5&gt;4,T5&lt;=6.9),3,IF(AND(T5&gt;0,T5&lt;=3.9),4,0))))</f>
        <v>3</v>
      </c>
    </row>
    <row r="5" spans="1:20" x14ac:dyDescent="0.25">
      <c r="B5" t="s">
        <v>32</v>
      </c>
      <c r="C5">
        <v>9.5359999999999996</v>
      </c>
      <c r="I5">
        <f>MEDIAN(C4:C6)</f>
        <v>9.5359999999999996</v>
      </c>
      <c r="J5">
        <f>I5+I4*0.25</f>
        <v>9.7098486536523989</v>
      </c>
      <c r="K5">
        <f>J5+I4*0.66</f>
        <v>10.168809099294732</v>
      </c>
      <c r="L5">
        <f>K5+I4*1</f>
        <v>10.864203713904327</v>
      </c>
      <c r="M5">
        <f>L5+I4*1.5</f>
        <v>11.90729563581872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1</v>
      </c>
      <c r="O5" s="22">
        <f>BaseScore!$G$14</f>
        <v>3.7647008405999998</v>
      </c>
      <c r="P5" s="22">
        <f>EnvirScore!$H$14</f>
        <v>3.4787900567549999</v>
      </c>
      <c r="Q5" s="22">
        <f t="shared" si="2"/>
        <v>8.2434908973549987</v>
      </c>
      <c r="R5" s="31">
        <f>((N4+O4)+(N5+O5)+(N6+O6))/3</f>
        <v>4.7647008405999998</v>
      </c>
      <c r="S5" s="31">
        <f>((N4+P4)+(N5+P5)+(N6+P6))/3</f>
        <v>4.4787900567549999</v>
      </c>
      <c r="T5" s="30">
        <f>(SUM(R5:S5))/2</f>
        <v>4.6217454486774994</v>
      </c>
    </row>
    <row r="6" spans="1:20" x14ac:dyDescent="0.25">
      <c r="B6" t="s">
        <v>33</v>
      </c>
      <c r="C6">
        <v>9.6</v>
      </c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1</v>
      </c>
      <c r="O6" s="22">
        <f>BaseScore!$G$14</f>
        <v>3.7647008405999998</v>
      </c>
      <c r="P6" s="22">
        <f>EnvirScore!$H$14</f>
        <v>3.4787900567549999</v>
      </c>
      <c r="Q6" s="22">
        <f t="shared" si="2"/>
        <v>8.2434908973549987</v>
      </c>
      <c r="R6" s="11"/>
      <c r="S6" s="11"/>
      <c r="T6" s="11"/>
    </row>
    <row r="7" spans="1:20" x14ac:dyDescent="0.25">
      <c r="P7" s="30"/>
    </row>
    <row r="8" spans="1:20" ht="15.75" thickBot="1" x14ac:dyDescent="0.3">
      <c r="A8" t="s">
        <v>88</v>
      </c>
      <c r="P8" s="30"/>
    </row>
    <row r="9" spans="1:20" ht="15.75" thickBot="1" x14ac:dyDescent="0.3">
      <c r="A9" s="13" t="s">
        <v>82</v>
      </c>
      <c r="B9" s="13" t="s">
        <v>31</v>
      </c>
      <c r="C9" s="13">
        <v>9.59</v>
      </c>
      <c r="D9" s="13">
        <f>(_xlfn.STDEV.S(C4,C5,C6)+(B30*2))/3</f>
        <v>0.69539461460959506</v>
      </c>
      <c r="E9" s="13">
        <f t="shared" ref="E9" si="3">IF(D9=0,1,D9)</f>
        <v>0.69539461460959506</v>
      </c>
      <c r="F9" s="13">
        <v>1</v>
      </c>
      <c r="G9" s="13">
        <f>SUM(C9:C11)</f>
        <v>26.927</v>
      </c>
      <c r="H9" s="13">
        <f t="shared" ref="H9" si="4">G9/E9</f>
        <v>38.72189895390148</v>
      </c>
      <c r="I9" s="13">
        <f>E9</f>
        <v>0.69539461460959506</v>
      </c>
      <c r="J9" s="13">
        <f>I10-I9*0.25</f>
        <v>9.4161513463476005</v>
      </c>
      <c r="K9" s="13">
        <f>J9-I9*0.66</f>
        <v>8.9571909007052675</v>
      </c>
      <c r="L9" s="13">
        <f>K9-I9*1</f>
        <v>8.261796286095672</v>
      </c>
      <c r="M9" s="13">
        <f>L9-I9*1.5</f>
        <v>7.2187043641812796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EnvirScore!$H$14</f>
        <v>3.4787900567549999</v>
      </c>
      <c r="Q9" s="22">
        <f t="shared" ref="Q9:Q11" si="5">N9+O9+P9</f>
        <v>8.2434908973549987</v>
      </c>
      <c r="R9" s="24">
        <f>IF((R10)&gt;9,1,IF(AND(R10&gt;7,R10&lt;=8.9),2,IF(AND(R10&gt;4,R10&lt;=6.9),3,IF(AND(R10&gt;0,R10&lt;=3.9),4,0))))</f>
        <v>2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7.7370000000000001</v>
      </c>
      <c r="I10">
        <f>MEDIAN(C9:C11)</f>
        <v>9.59</v>
      </c>
      <c r="J10">
        <f>I10+I9*0.25</f>
        <v>9.7638486536523992</v>
      </c>
      <c r="K10">
        <f>J10+I9*0.66</f>
        <v>10.222809099294732</v>
      </c>
      <c r="L10">
        <f>K10+I9*1</f>
        <v>10.918203713904328</v>
      </c>
      <c r="M10">
        <f>L10+I9*1.5</f>
        <v>11.96129563581872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7.75</v>
      </c>
      <c r="O10" s="22">
        <f>BaseScore!$G$14</f>
        <v>3.7647008405999998</v>
      </c>
      <c r="P10" s="22">
        <f>EnvirScore!$H$14</f>
        <v>3.4787900567549999</v>
      </c>
      <c r="Q10" s="22">
        <f t="shared" si="5"/>
        <v>14.993490897354999</v>
      </c>
      <c r="R10" s="31">
        <f>((N9+O9)+(N10+O10)+(N11+O11))/3</f>
        <v>7.0147008405999998</v>
      </c>
      <c r="S10" s="31">
        <f>((N9+P9)+(N10+P10)+(N11+P11))/3</f>
        <v>6.728790056754999</v>
      </c>
      <c r="T10" s="30">
        <f>(SUM(R10:S10))/2</f>
        <v>6.8717454486774994</v>
      </c>
    </row>
    <row r="11" spans="1:20" x14ac:dyDescent="0.25">
      <c r="B11" t="s">
        <v>33</v>
      </c>
      <c r="C11">
        <v>9.6</v>
      </c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1</v>
      </c>
      <c r="O11" s="22">
        <f>BaseScore!$G$14</f>
        <v>3.7647008405999998</v>
      </c>
      <c r="P11" s="22">
        <f>EnvirScore!$H$14</f>
        <v>3.4787900567549999</v>
      </c>
      <c r="Q11" s="22">
        <f t="shared" si="5"/>
        <v>8.2434908973549987</v>
      </c>
      <c r="R11" s="11"/>
      <c r="S11" s="11"/>
      <c r="T11" s="11"/>
    </row>
    <row r="12" spans="1:20" x14ac:dyDescent="0.25">
      <c r="P12" s="30"/>
    </row>
    <row r="13" spans="1:20" ht="15.75" thickBot="1" x14ac:dyDescent="0.3">
      <c r="A13" t="s">
        <v>90</v>
      </c>
      <c r="P13" s="30"/>
    </row>
    <row r="14" spans="1:20" ht="15.75" thickBot="1" x14ac:dyDescent="0.3">
      <c r="A14" s="13" t="s">
        <v>82</v>
      </c>
      <c r="B14" s="13" t="s">
        <v>31</v>
      </c>
      <c r="C14" s="22">
        <v>9.6</v>
      </c>
      <c r="D14" s="13">
        <f>(_xlfn.STDEV.S(C4,C5,C6)+(B30*2))/3</f>
        <v>0.69539461460959506</v>
      </c>
      <c r="E14" s="13">
        <f t="shared" ref="E14" si="6">IF(D14=0,1,D14)</f>
        <v>0.69539461460959506</v>
      </c>
      <c r="F14" s="13">
        <v>1</v>
      </c>
      <c r="G14" s="13">
        <f>SUM(C14:C16)</f>
        <v>25.252000000000002</v>
      </c>
      <c r="H14" s="13">
        <f t="shared" ref="H14" si="7">G14/E14</f>
        <v>36.313194651610658</v>
      </c>
      <c r="I14" s="13">
        <f>E14</f>
        <v>0.69539461460959506</v>
      </c>
      <c r="J14" s="13">
        <f>I15-I14*0.25</f>
        <v>9.3781513463476003</v>
      </c>
      <c r="K14" s="13">
        <f>J14-I14*0.66</f>
        <v>8.9191909007052672</v>
      </c>
      <c r="L14" s="13">
        <f>K14-I14*1</f>
        <v>8.2237962860956717</v>
      </c>
      <c r="M14" s="13">
        <f>L14-I14*1.5</f>
        <v>7.1807043641812793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1</v>
      </c>
      <c r="O14" s="22">
        <f>BaseScore!$G$14</f>
        <v>3.7647008405999998</v>
      </c>
      <c r="P14" s="22">
        <f>EnvirScore!$H$14</f>
        <v>3.4787900567549999</v>
      </c>
      <c r="Q14" s="22">
        <f t="shared" ref="Q14:Q16" si="8">N14+O14+P14</f>
        <v>8.2434908973549987</v>
      </c>
      <c r="R14" s="24">
        <f>IF((R15)&gt;9,1,IF(AND(R15&gt;7,R15&lt;=8.9),2,IF(AND(R15&gt;4,R15&lt;=6.9),3,IF(AND(R15&gt;0,R15&lt;=3.9),4,0))))</f>
        <v>2</v>
      </c>
      <c r="S14" s="25">
        <f>IF((S15)&gt;9,1,IF(AND(S15&gt;7,S15&lt;=8.9),2,IF(AND(S15&gt;4,S15&lt;=6.9),3,IF(AND(S15&gt;0,S15&lt;=3.9),4,0))))</f>
        <v>2</v>
      </c>
      <c r="T14" s="26">
        <f>IF((T15)&gt;9,1,IF(AND(T15&gt;7,T15&lt;=8.9),2,IF(AND(T15&gt;4,T15&lt;=6.9),3,IF(AND(T15&gt;0,T15&lt;=3.9),4,0))))</f>
        <v>2</v>
      </c>
    </row>
    <row r="15" spans="1:20" x14ac:dyDescent="0.25">
      <c r="B15" t="s">
        <v>32</v>
      </c>
      <c r="C15">
        <v>9.5519999999999996</v>
      </c>
      <c r="I15">
        <f>MEDIAN(C14:C16)</f>
        <v>9.5519999999999996</v>
      </c>
      <c r="J15">
        <f>I15+I14*0.25</f>
        <v>9.7258486536523989</v>
      </c>
      <c r="K15">
        <f>J15+I14*0.66</f>
        <v>10.184809099294732</v>
      </c>
      <c r="L15">
        <f>K15+I14*1</f>
        <v>10.880203713904328</v>
      </c>
      <c r="M15">
        <f>L15+I14*1.5</f>
        <v>11.92329563581872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1</v>
      </c>
      <c r="O15" s="22">
        <f>BaseScore!$G$14</f>
        <v>3.7647008405999998</v>
      </c>
      <c r="P15" s="22">
        <f>EnvirScore!$H$14</f>
        <v>3.4787900567549999</v>
      </c>
      <c r="Q15" s="22">
        <f t="shared" si="8"/>
        <v>8.2434908973549987</v>
      </c>
      <c r="R15" s="31">
        <f>((N14+O14)+(N15+O15)+(N16+O16))/3</f>
        <v>7.7647008405999998</v>
      </c>
      <c r="S15" s="31">
        <f>((N14+P14)+(N15+P15)+(N16+P16))/3</f>
        <v>7.4787900567549999</v>
      </c>
      <c r="T15" s="30">
        <f>(SUM(R15:S15))/2</f>
        <v>7.6217454486774994</v>
      </c>
    </row>
    <row r="16" spans="1:20" x14ac:dyDescent="0.25">
      <c r="B16" t="s">
        <v>33</v>
      </c>
      <c r="C16">
        <v>6.1</v>
      </c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10</v>
      </c>
      <c r="O16" s="22">
        <f>BaseScore!$G$14</f>
        <v>3.7647008405999998</v>
      </c>
      <c r="P16" s="22">
        <f>EnvirScore!$H$14</f>
        <v>3.4787900567549999</v>
      </c>
      <c r="Q16" s="22">
        <f t="shared" si="8"/>
        <v>17.243490897354999</v>
      </c>
      <c r="R16" s="11"/>
      <c r="S16" s="11"/>
      <c r="T16" s="11"/>
    </row>
    <row r="17" spans="1:20" x14ac:dyDescent="0.25">
      <c r="P17" s="30"/>
    </row>
    <row r="18" spans="1:20" ht="15.75" thickBot="1" x14ac:dyDescent="0.3">
      <c r="A18" t="s">
        <v>91</v>
      </c>
      <c r="P18" s="30"/>
    </row>
    <row r="19" spans="1:20" ht="15.75" thickBot="1" x14ac:dyDescent="0.3">
      <c r="A19" s="13" t="s">
        <v>82</v>
      </c>
      <c r="B19" s="13" t="s">
        <v>31</v>
      </c>
      <c r="C19" s="13">
        <v>6.11</v>
      </c>
      <c r="D19" s="13">
        <f>(_xlfn.STDEV.S(C4,C5,C6)+(B30*2))/3</f>
        <v>0.69539461460959506</v>
      </c>
      <c r="E19" s="13">
        <f t="shared" ref="E19" si="9">IF(D19=0,1,D19)</f>
        <v>0.69539461460959506</v>
      </c>
      <c r="F19" s="13">
        <v>1</v>
      </c>
      <c r="G19" s="13">
        <f>SUM(C19:C21)</f>
        <v>23.450000000000003</v>
      </c>
      <c r="H19" s="13">
        <f t="shared" ref="H19" si="10">G19/E19</f>
        <v>33.721860232071521</v>
      </c>
      <c r="I19" s="13">
        <f>E19</f>
        <v>0.69539461460959506</v>
      </c>
      <c r="J19" s="13">
        <f>I20-I19*0.25</f>
        <v>7.5661513463476018</v>
      </c>
      <c r="K19" s="13">
        <f>J19-I19*0.66</f>
        <v>7.1071909007052687</v>
      </c>
      <c r="L19" s="13">
        <f>K19-I19*1</f>
        <v>6.4117962860956741</v>
      </c>
      <c r="M19" s="13">
        <f>L19-I19*1.5</f>
        <v>5.3687043641812817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7.75</v>
      </c>
      <c r="O19" s="22">
        <f>BaseScore!$G$14</f>
        <v>3.7647008405999998</v>
      </c>
      <c r="P19" s="22">
        <f>EnvirScore!$H$14</f>
        <v>3.4787900567549999</v>
      </c>
      <c r="Q19" s="22">
        <f t="shared" ref="Q19:Q21" si="11">N19+O19+P19</f>
        <v>14.993490897354999</v>
      </c>
      <c r="R19" s="24">
        <f>IF((R20)&gt;9,1,IF(AND(R20&gt;7,R20&lt;=8.9),2,IF(AND(R20&gt;4,R20&lt;=6.9),3,IF(AND(R20&gt;0,R20&lt;=3.9),4,0))))</f>
        <v>1</v>
      </c>
      <c r="S19" s="25">
        <f>IF((S20)&gt;9,1,IF(AND(S20&gt;7,S20&lt;=8.99),2,IF(AND(S20&gt;4,S20&lt;=6.99),3,IF(AND(S20&gt;0,S20&lt;=3.99),4,0))))</f>
        <v>2</v>
      </c>
      <c r="T19" s="26">
        <f>IF((T20)&gt;9,1,IF(AND(T20&gt;7,T20&lt;=8.9),2,IF(AND(T20&gt;4,T20&lt;=6.9),3,IF(AND(T20&gt;0,T20&lt;=3.9),4,0))))</f>
        <v>1</v>
      </c>
    </row>
    <row r="20" spans="1:20" x14ac:dyDescent="0.25">
      <c r="B20" t="s">
        <v>32</v>
      </c>
      <c r="C20">
        <v>7.74</v>
      </c>
      <c r="I20">
        <f>MEDIAN(C19:C21)</f>
        <v>7.74</v>
      </c>
      <c r="J20">
        <f>I20+I19*0.25</f>
        <v>7.9138486536523986</v>
      </c>
      <c r="K20">
        <f>J20+I19*0.66</f>
        <v>8.3728090992947308</v>
      </c>
      <c r="L20">
        <f>K20+I19*1</f>
        <v>9.0682037139043263</v>
      </c>
      <c r="M20">
        <f>L20+I19*1.5</f>
        <v>10.111295635818719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1</v>
      </c>
      <c r="O20" s="22">
        <f>BaseScore!$G$14</f>
        <v>3.7647008405999998</v>
      </c>
      <c r="P20" s="22">
        <f>EnvirScore!$H$14</f>
        <v>3.4787900567549999</v>
      </c>
      <c r="Q20" s="22">
        <f t="shared" si="11"/>
        <v>8.2434908973549987</v>
      </c>
      <c r="R20" s="31">
        <f>((N19+O19)+(N20+O20)+(N21+O21))/3</f>
        <v>9.2647008405999998</v>
      </c>
      <c r="S20" s="31">
        <f>((N19+P19)+(N20+P20)+(N21+P21))/3</f>
        <v>8.978790056754999</v>
      </c>
      <c r="T20" s="30">
        <f>(SUM(R20:S20))/2</f>
        <v>9.1217454486774994</v>
      </c>
    </row>
    <row r="21" spans="1:20" x14ac:dyDescent="0.25">
      <c r="B21" t="s">
        <v>33</v>
      </c>
      <c r="C21">
        <v>9.6</v>
      </c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7.75</v>
      </c>
      <c r="O21" s="22">
        <f>BaseScore!$G$14</f>
        <v>3.7647008405999998</v>
      </c>
      <c r="P21" s="22">
        <f>EnvirScore!$H$14</f>
        <v>3.4787900567549999</v>
      </c>
      <c r="Q21" s="22">
        <f t="shared" si="11"/>
        <v>14.993490897354999</v>
      </c>
      <c r="R21" s="11"/>
      <c r="S21" s="11"/>
      <c r="T21" s="11"/>
    </row>
    <row r="22" spans="1:20" x14ac:dyDescent="0.25">
      <c r="P22" s="30"/>
    </row>
    <row r="23" spans="1:20" ht="15.75" thickBot="1" x14ac:dyDescent="0.3">
      <c r="A23" t="s">
        <v>92</v>
      </c>
      <c r="P23" s="30"/>
    </row>
    <row r="24" spans="1:20" ht="15.75" thickBot="1" x14ac:dyDescent="0.3">
      <c r="A24" s="13" t="s">
        <v>82</v>
      </c>
      <c r="B24" s="13" t="s">
        <v>31</v>
      </c>
      <c r="C24" s="13">
        <v>9.58</v>
      </c>
      <c r="D24" s="13">
        <f>(_xlfn.STDEV.S(C4,C5,C6)+(B30*2))/3</f>
        <v>0.69539461460959506</v>
      </c>
      <c r="E24" s="13">
        <f t="shared" ref="E24" si="12">IF(D24=0,1,D24)</f>
        <v>0.69539461460959506</v>
      </c>
      <c r="F24" s="13">
        <v>1</v>
      </c>
      <c r="G24" s="13">
        <f>SUM(C24:C26)</f>
        <v>23.418999999999997</v>
      </c>
      <c r="H24" s="13">
        <f t="shared" ref="H24" si="13">G24/E24</f>
        <v>33.677281227073891</v>
      </c>
      <c r="I24" s="13">
        <f>E24</f>
        <v>0.69539461460959506</v>
      </c>
      <c r="J24" s="13">
        <f>I25-I24*0.25</f>
        <v>7.5651513463476014</v>
      </c>
      <c r="K24" s="13">
        <f>J24-I24*0.66</f>
        <v>7.1061909007052684</v>
      </c>
      <c r="L24" s="13">
        <f>K24-I24*1</f>
        <v>6.4107962860956729</v>
      </c>
      <c r="M24" s="13">
        <f>L24-I24*1.5</f>
        <v>5.3677043641812805</v>
      </c>
      <c r="N24" s="13">
        <f>IF((C24)&lt;M24,1,IF(AND(C24&gt;=M24,C24&lt;L24),7.75,IF(AND(C24&gt;=L24,C24&lt;K24),5.5,IF(AND(C24&gt;=K24,C24&lt;J24),3.25,IF(AND(C24&gt;=J24,C24&lt;=J25),1,IF(AND(C24&gt;J25,C24&lt;=K25),3.25,IF(AND(C24&gt;K25,C24&lt;=L25),5.5,IF(AND(C24&gt;L25,C24&lt;=M25),7.75,10))))))))</f>
        <v>7.75</v>
      </c>
      <c r="O24" s="22">
        <f>BaseScore!$G$14</f>
        <v>3.7647008405999998</v>
      </c>
      <c r="P24" s="22">
        <f>EnvirScore!$H$14</f>
        <v>3.4787900567549999</v>
      </c>
      <c r="Q24" s="22">
        <f t="shared" ref="Q24:Q26" si="14">N24+O24+P24</f>
        <v>14.993490897354999</v>
      </c>
      <c r="R24" s="24">
        <f>IF((R25)&gt;9,1,IF(AND(R25&gt;7,R25&lt;=8.9),2,IF(AND(R25&gt;4,R25&lt;=6.9),3,IF(AND(R25&gt;0,R25&lt;=3.9),4,0))))</f>
        <v>1</v>
      </c>
      <c r="S24" s="25">
        <f>IF((S25)&gt;9,1,IF(AND(S25&gt;7,S25&lt;=8.99),2,IF(AND(S25&gt;4,S25&lt;=6.99),3,IF(AND(S25&gt;0,S25&lt;=3.99),4,0))))</f>
        <v>2</v>
      </c>
      <c r="T24" s="26">
        <f>IF((T25)&gt;9,1,IF(AND(T25&gt;7,T25&lt;=8.9),2,IF(AND(T25&gt;4,T25&lt;=6.9),3,IF(AND(T25&gt;0,T25&lt;=3.9),4,0))))</f>
        <v>1</v>
      </c>
    </row>
    <row r="25" spans="1:20" x14ac:dyDescent="0.25">
      <c r="B25" t="s">
        <v>32</v>
      </c>
      <c r="C25">
        <v>7.7389999999999999</v>
      </c>
      <c r="I25">
        <f>MEDIAN(C24:C26)</f>
        <v>7.7389999999999999</v>
      </c>
      <c r="J25">
        <f>I25+I24*0.25</f>
        <v>7.9128486536523983</v>
      </c>
      <c r="K25">
        <f>J25+I24*0.66</f>
        <v>8.3718090992947314</v>
      </c>
      <c r="L25">
        <f>K25+I24*1</f>
        <v>9.0672037139043269</v>
      </c>
      <c r="M25">
        <f>L25+I24*1.5</f>
        <v>10.110295635818719</v>
      </c>
      <c r="N25">
        <f>IF((C25)&lt;M24,10,IF(AND(C25&gt;=M24,C25&lt;L24),7.75,IF(AND(C25&gt;=L24,C25&lt;K24),5.5,IF(AND(C25&gt;=K24,C25&lt;J24),3.25,IF(AND(C25&gt;=J24,C25&lt;=J25),1,IF(AND(C25&gt;J25,C25&lt;=K25),3.25,IF(AND(C25&gt;K25,C25&lt;=L25),5.5,IF(AND(C25&gt;L25,C25&lt;=M25),7.75,10))))))))</f>
        <v>1</v>
      </c>
      <c r="O25" s="22">
        <f>BaseScore!$G$14</f>
        <v>3.7647008405999998</v>
      </c>
      <c r="P25" s="22">
        <f>EnvirScore!$H$14</f>
        <v>3.4787900567549999</v>
      </c>
      <c r="Q25" s="22">
        <f t="shared" si="14"/>
        <v>8.2434908973549987</v>
      </c>
      <c r="R25" s="31">
        <f>((N24+O24)+(N25+O25)+(N26+O26))/3</f>
        <v>9.2647008405999998</v>
      </c>
      <c r="S25" s="31">
        <f>((N24+P24)+(N25+P25)+(N26+P26))/3</f>
        <v>8.978790056754999</v>
      </c>
      <c r="T25" s="30">
        <f>(SUM(R25:S25))/2</f>
        <v>9.1217454486774994</v>
      </c>
    </row>
    <row r="26" spans="1:20" x14ac:dyDescent="0.25">
      <c r="B26" t="s">
        <v>33</v>
      </c>
      <c r="C26">
        <v>6.1</v>
      </c>
      <c r="N26">
        <f>IF((C26)&lt;M24,10,IF(AND(C26&gt;=M24,C26&lt;L24),7.75,IF(AND(C26&gt;=L24,C26&lt;K24),5.5,IF(AND(C26&gt;=K24,C26&lt;J24),3.25,IF(AND(C26&gt;=J24,C26&lt;=J25),1,IF(AND(C26&gt;J25,C26&lt;=K25),3.25,IF(AND(C26&gt;K25,C26&lt;=L25),5.5,IF(AND(C26&gt;L25,C26&lt;=M25),7.75,10))))))))</f>
        <v>7.75</v>
      </c>
      <c r="O26" s="22">
        <f>BaseScore!$G$14</f>
        <v>3.7647008405999998</v>
      </c>
      <c r="P26" s="22">
        <f>EnvirScore!$H$14</f>
        <v>3.4787900567549999</v>
      </c>
      <c r="Q26" s="22">
        <f t="shared" si="14"/>
        <v>14.993490897354999</v>
      </c>
      <c r="R26" s="11"/>
      <c r="S26" s="11"/>
      <c r="T26" s="11"/>
    </row>
    <row r="30" spans="1:20" x14ac:dyDescent="0.25">
      <c r="A30" t="s">
        <v>106</v>
      </c>
      <c r="B30">
        <f>'5mb Transfer Rate'!$D$24</f>
        <v>4.1838707187966652E-2</v>
      </c>
    </row>
  </sheetData>
  <conditionalFormatting sqref="T9">
    <cfRule type="cellIs" dxfId="767" priority="57" operator="equal">
      <formula>1</formula>
    </cfRule>
    <cfRule type="cellIs" dxfId="766" priority="58" operator="equal">
      <formula>2</formula>
    </cfRule>
    <cfRule type="cellIs" dxfId="765" priority="59" operator="equal">
      <formula>3</formula>
    </cfRule>
    <cfRule type="cellIs" dxfId="764" priority="60" operator="equal">
      <formula>4</formula>
    </cfRule>
  </conditionalFormatting>
  <conditionalFormatting sqref="R9">
    <cfRule type="cellIs" dxfId="763" priority="53" operator="equal">
      <formula>1</formula>
    </cfRule>
    <cfRule type="cellIs" dxfId="762" priority="54" operator="equal">
      <formula>2</formula>
    </cfRule>
    <cfRule type="cellIs" dxfId="761" priority="55" operator="equal">
      <formula>3</formula>
    </cfRule>
    <cfRule type="cellIs" dxfId="760" priority="56" operator="equal">
      <formula>4</formula>
    </cfRule>
  </conditionalFormatting>
  <conditionalFormatting sqref="S9">
    <cfRule type="cellIs" dxfId="759" priority="49" operator="equal">
      <formula>1</formula>
    </cfRule>
    <cfRule type="cellIs" dxfId="758" priority="50" operator="equal">
      <formula>2</formula>
    </cfRule>
    <cfRule type="cellIs" dxfId="757" priority="51" operator="equal">
      <formula>3</formula>
    </cfRule>
    <cfRule type="cellIs" dxfId="756" priority="52" operator="equal">
      <formula>4</formula>
    </cfRule>
  </conditionalFormatting>
  <conditionalFormatting sqref="T4">
    <cfRule type="cellIs" dxfId="755" priority="45" operator="equal">
      <formula>1</formula>
    </cfRule>
    <cfRule type="cellIs" dxfId="754" priority="46" operator="equal">
      <formula>2</formula>
    </cfRule>
    <cfRule type="cellIs" dxfId="753" priority="47" operator="equal">
      <formula>3</formula>
    </cfRule>
    <cfRule type="cellIs" dxfId="752" priority="48" operator="equal">
      <formula>4</formula>
    </cfRule>
  </conditionalFormatting>
  <conditionalFormatting sqref="R4">
    <cfRule type="cellIs" dxfId="751" priority="41" operator="equal">
      <formula>1</formula>
    </cfRule>
    <cfRule type="cellIs" dxfId="750" priority="42" operator="equal">
      <formula>2</formula>
    </cfRule>
    <cfRule type="cellIs" dxfId="749" priority="43" operator="equal">
      <formula>3</formula>
    </cfRule>
    <cfRule type="cellIs" dxfId="748" priority="44" operator="equal">
      <formula>4</formula>
    </cfRule>
  </conditionalFormatting>
  <conditionalFormatting sqref="S4">
    <cfRule type="cellIs" dxfId="747" priority="37" operator="equal">
      <formula>1</formula>
    </cfRule>
    <cfRule type="cellIs" dxfId="746" priority="38" operator="equal">
      <formula>2</formula>
    </cfRule>
    <cfRule type="cellIs" dxfId="745" priority="39" operator="equal">
      <formula>3</formula>
    </cfRule>
    <cfRule type="cellIs" dxfId="744" priority="40" operator="equal">
      <formula>4</formula>
    </cfRule>
  </conditionalFormatting>
  <conditionalFormatting sqref="T14">
    <cfRule type="cellIs" dxfId="743" priority="33" operator="equal">
      <formula>1</formula>
    </cfRule>
    <cfRule type="cellIs" dxfId="742" priority="34" operator="equal">
      <formula>2</formula>
    </cfRule>
    <cfRule type="cellIs" dxfId="741" priority="35" operator="equal">
      <formula>3</formula>
    </cfRule>
    <cfRule type="cellIs" dxfId="740" priority="36" operator="equal">
      <formula>4</formula>
    </cfRule>
  </conditionalFormatting>
  <conditionalFormatting sqref="R14">
    <cfRule type="cellIs" dxfId="739" priority="29" operator="equal">
      <formula>1</formula>
    </cfRule>
    <cfRule type="cellIs" dxfId="738" priority="30" operator="equal">
      <formula>2</formula>
    </cfRule>
    <cfRule type="cellIs" dxfId="737" priority="31" operator="equal">
      <formula>3</formula>
    </cfRule>
    <cfRule type="cellIs" dxfId="736" priority="32" operator="equal">
      <formula>4</formula>
    </cfRule>
  </conditionalFormatting>
  <conditionalFormatting sqref="S14">
    <cfRule type="cellIs" dxfId="735" priority="25" operator="equal">
      <formula>1</formula>
    </cfRule>
    <cfRule type="cellIs" dxfId="734" priority="26" operator="equal">
      <formula>2</formula>
    </cfRule>
    <cfRule type="cellIs" dxfId="733" priority="27" operator="equal">
      <formula>3</formula>
    </cfRule>
    <cfRule type="cellIs" dxfId="732" priority="28" operator="equal">
      <formula>4</formula>
    </cfRule>
  </conditionalFormatting>
  <conditionalFormatting sqref="T19">
    <cfRule type="cellIs" dxfId="731" priority="21" operator="equal">
      <formula>1</formula>
    </cfRule>
    <cfRule type="cellIs" dxfId="730" priority="22" operator="equal">
      <formula>2</formula>
    </cfRule>
    <cfRule type="cellIs" dxfId="729" priority="23" operator="equal">
      <formula>3</formula>
    </cfRule>
    <cfRule type="cellIs" dxfId="728" priority="24" operator="equal">
      <formula>4</formula>
    </cfRule>
  </conditionalFormatting>
  <conditionalFormatting sqref="R19">
    <cfRule type="cellIs" dxfId="727" priority="17" operator="equal">
      <formula>1</formula>
    </cfRule>
    <cfRule type="cellIs" dxfId="726" priority="18" operator="equal">
      <formula>2</formula>
    </cfRule>
    <cfRule type="cellIs" dxfId="725" priority="19" operator="equal">
      <formula>3</formula>
    </cfRule>
    <cfRule type="cellIs" dxfId="724" priority="20" operator="equal">
      <formula>4</formula>
    </cfRule>
  </conditionalFormatting>
  <conditionalFormatting sqref="S19">
    <cfRule type="cellIs" dxfId="723" priority="13" operator="equal">
      <formula>1</formula>
    </cfRule>
    <cfRule type="cellIs" dxfId="722" priority="14" operator="equal">
      <formula>2</formula>
    </cfRule>
    <cfRule type="cellIs" dxfId="721" priority="15" operator="equal">
      <formula>3</formula>
    </cfRule>
    <cfRule type="cellIs" dxfId="720" priority="16" operator="equal">
      <formula>4</formula>
    </cfRule>
  </conditionalFormatting>
  <conditionalFormatting sqref="T24">
    <cfRule type="cellIs" dxfId="719" priority="9" operator="equal">
      <formula>1</formula>
    </cfRule>
    <cfRule type="cellIs" dxfId="718" priority="10" operator="equal">
      <formula>2</formula>
    </cfRule>
    <cfRule type="cellIs" dxfId="717" priority="11" operator="equal">
      <formula>3</formula>
    </cfRule>
    <cfRule type="cellIs" dxfId="716" priority="12" operator="equal">
      <formula>4</formula>
    </cfRule>
  </conditionalFormatting>
  <conditionalFormatting sqref="R24">
    <cfRule type="cellIs" dxfId="715" priority="5" operator="equal">
      <formula>1</formula>
    </cfRule>
    <cfRule type="cellIs" dxfId="714" priority="6" operator="equal">
      <formula>2</formula>
    </cfRule>
    <cfRule type="cellIs" dxfId="713" priority="7" operator="equal">
      <formula>3</formula>
    </cfRule>
    <cfRule type="cellIs" dxfId="712" priority="8" operator="equal">
      <formula>4</formula>
    </cfRule>
  </conditionalFormatting>
  <conditionalFormatting sqref="S24">
    <cfRule type="cellIs" dxfId="711" priority="1" operator="equal">
      <formula>1</formula>
    </cfRule>
    <cfRule type="cellIs" dxfId="710" priority="2" operator="equal">
      <formula>2</formula>
    </cfRule>
    <cfRule type="cellIs" dxfId="709" priority="3" operator="equal">
      <formula>3</formula>
    </cfRule>
    <cfRule type="cellIs" dxfId="708" priority="4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I1" workbookViewId="0">
      <selection activeCell="AA12" sqref="AA12"/>
    </sheetView>
  </sheetViews>
  <sheetFormatPr defaultRowHeight="15" x14ac:dyDescent="0.25"/>
  <cols>
    <col min="1" max="1" width="28" bestFit="1" customWidth="1"/>
    <col min="4" max="5" width="12" bestFit="1" customWidth="1"/>
    <col min="6" max="6" width="11.42578125" customWidth="1"/>
    <col min="8" max="8" width="10.7109375" customWidth="1"/>
    <col min="15" max="16" width="6" bestFit="1" customWidth="1"/>
    <col min="17" max="17" width="10.5703125" customWidth="1"/>
  </cols>
  <sheetData>
    <row r="1" spans="1:27" ht="63" x14ac:dyDescent="0.25">
      <c r="A1" s="18" t="s">
        <v>9</v>
      </c>
      <c r="B1" s="18" t="s">
        <v>30</v>
      </c>
      <c r="C1" s="18" t="s">
        <v>37</v>
      </c>
      <c r="D1" s="18" t="s">
        <v>35</v>
      </c>
      <c r="E1" s="18" t="s">
        <v>41</v>
      </c>
      <c r="F1" s="18" t="s">
        <v>96</v>
      </c>
      <c r="G1" s="18" t="s">
        <v>0</v>
      </c>
      <c r="H1" s="18" t="s">
        <v>38</v>
      </c>
      <c r="I1" s="18" t="s">
        <v>39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29</v>
      </c>
      <c r="O1" s="19" t="s">
        <v>108</v>
      </c>
      <c r="P1" s="19" t="s">
        <v>109</v>
      </c>
      <c r="Q1" s="19" t="s">
        <v>2</v>
      </c>
      <c r="R1" s="19" t="s">
        <v>110</v>
      </c>
      <c r="S1" s="19" t="s">
        <v>111</v>
      </c>
      <c r="T1" s="19" t="s">
        <v>112</v>
      </c>
      <c r="V1" s="19" t="s">
        <v>113</v>
      </c>
      <c r="W1" s="19" t="s">
        <v>115</v>
      </c>
      <c r="X1" s="19" t="s">
        <v>114</v>
      </c>
      <c r="Y1" s="19" t="s">
        <v>116</v>
      </c>
      <c r="Z1" s="19" t="s">
        <v>117</v>
      </c>
    </row>
    <row r="2" spans="1:27" ht="15.75" thickBot="1" x14ac:dyDescent="0.3">
      <c r="A2" t="s">
        <v>83</v>
      </c>
      <c r="V2">
        <v>1</v>
      </c>
      <c r="W2" s="21">
        <f t="shared" ref="W2:Y2" si="0">R4</f>
        <v>6.2647008405999998</v>
      </c>
      <c r="X2" s="21">
        <f t="shared" si="0"/>
        <v>5.978790056754999</v>
      </c>
      <c r="Y2" s="21">
        <f t="shared" si="0"/>
        <v>6.1217454486774994</v>
      </c>
      <c r="Z2">
        <v>0</v>
      </c>
    </row>
    <row r="3" spans="1:27" ht="15.75" thickBot="1" x14ac:dyDescent="0.3">
      <c r="A3" s="13" t="s">
        <v>82</v>
      </c>
      <c r="B3" s="13" t="s">
        <v>31</v>
      </c>
      <c r="C3" s="13">
        <v>9.6</v>
      </c>
      <c r="D3" s="13">
        <f>_xlfn.STDEV.S(C3,C4,C5)</f>
        <v>3.6950417228136086E-2</v>
      </c>
      <c r="E3" s="13">
        <f t="shared" ref="E3" si="1">IF(D3=0,1,D3)</f>
        <v>3.6950417228136086E-2</v>
      </c>
      <c r="F3" s="13">
        <v>1</v>
      </c>
      <c r="G3" s="13">
        <f>SUM(C3:C5)</f>
        <v>28.735999999999997</v>
      </c>
      <c r="H3" s="13">
        <f t="shared" ref="H3" si="2">G3/E3</f>
        <v>777.69081259842505</v>
      </c>
      <c r="I3" s="13">
        <f>E3</f>
        <v>3.6950417228136086E-2</v>
      </c>
      <c r="J3" s="13">
        <f>I4-I3*0.25</f>
        <v>9.5907623956929662</v>
      </c>
      <c r="K3" s="13">
        <f>J3-I3*0.66</f>
        <v>9.5663751203223963</v>
      </c>
      <c r="L3" s="13">
        <f>K3-I3*1</f>
        <v>9.5294247030942607</v>
      </c>
      <c r="M3" s="13">
        <f>L3-I3*1.5</f>
        <v>9.4739990772520564</v>
      </c>
      <c r="N3" s="13">
        <f>IF((C3)&lt;M3,10,IF(AND(C3&gt;=M3,C3&lt;L3),7.75,IF(AND(C3&gt;=L3,C3&lt;K3),5.5,IF(AND(C3&gt;=K3,C3&lt;J3),3.25,IF(AND(C3&gt;=J3,C3&lt;=J4),1,IF(AND(C3&gt;J4,C3&lt;=K4),3.25,IF(AND(C3&gt;K4,C3&lt;=L4),5.5,IF(AND(C3&gt;L4,C3&lt;=M4),7.75,10))))))))</f>
        <v>1</v>
      </c>
      <c r="O3" s="22">
        <f>BaseScore!$G$14</f>
        <v>3.7647008405999998</v>
      </c>
      <c r="P3" s="22">
        <f>EnvirScore!$H$14</f>
        <v>3.4787900567549999</v>
      </c>
      <c r="Q3" s="22">
        <f t="shared" ref="Q3:Q5" si="3">N3+O3+P3</f>
        <v>8.2434908973549987</v>
      </c>
      <c r="R3" s="24">
        <f>IF((R4)&gt;9,1,IF(AND(R4&gt;7,R4&lt;=8.9),2,IF(AND(R4&gt;4,R4&lt;=6.9),3,IF(AND(R4&gt;0,R4&lt;=3.9),4,0))))</f>
        <v>3</v>
      </c>
      <c r="S3" s="25">
        <f>IF((S4)&gt;9,1,IF(AND(S4&gt;7,S4&lt;=8.9),2,IF(AND(S4&gt;4,S4&lt;=6.9),3,IF(AND(S4&gt;0,S4&lt;=3.9),4,0))))</f>
        <v>3</v>
      </c>
      <c r="T3" s="26">
        <f>IF((T4)&gt;9,1,IF(AND(T4&gt;7,T4&lt;=8.9),2,IF(AND(T4&gt;4,T4&lt;=6.9),3,IF(AND(T4&gt;0,T4&lt;=3.9),4,0))))</f>
        <v>3</v>
      </c>
      <c r="V3">
        <v>2</v>
      </c>
      <c r="W3" s="21">
        <f t="shared" ref="W3:Y3" si="4">R9</f>
        <v>5.5147008405999998</v>
      </c>
      <c r="X3" s="21">
        <f t="shared" si="4"/>
        <v>5.2287900567549999</v>
      </c>
      <c r="Y3" s="21">
        <f t="shared" si="4"/>
        <v>5.3717454486774994</v>
      </c>
      <c r="Z3">
        <v>0</v>
      </c>
    </row>
    <row r="4" spans="1:27" x14ac:dyDescent="0.25">
      <c r="B4" t="s">
        <v>32</v>
      </c>
      <c r="C4">
        <v>9.5359999999999996</v>
      </c>
      <c r="I4">
        <f>MEDIAN(C3:C5)</f>
        <v>9.6</v>
      </c>
      <c r="J4">
        <f>I4+I3*0.25</f>
        <v>9.6092376043070331</v>
      </c>
      <c r="K4">
        <f>J4+I3*0.66</f>
        <v>9.6336248796776029</v>
      </c>
      <c r="L4">
        <f>K4+I3*1</f>
        <v>9.6705752969057386</v>
      </c>
      <c r="M4">
        <f>L4+I3*1.5</f>
        <v>9.7260009227479429</v>
      </c>
      <c r="N4">
        <f>IF((C4)&lt;M3,10,IF(AND(C4&gt;=M3,C4&lt;L3),7.75,IF(AND(C4&gt;=L3,C4&lt;K3),5.5,IF(AND(C4&gt;=K3,C4&lt;J3),3.25,IF(AND(C4&gt;=J3,C4&lt;=J4),1,IF(AND(C4&gt;J4,C4&lt;=K4),3.25,IF(AND(C4&gt;K4,C4&lt;=L4),5.5,IF(AND(C4&gt;L4,C4&lt;=M4),7.75,10))))))))</f>
        <v>5.5</v>
      </c>
      <c r="O4" s="22">
        <f>BaseScore!$G$14</f>
        <v>3.7647008405999998</v>
      </c>
      <c r="P4" s="22">
        <f>EnvirScore!$H$14</f>
        <v>3.4787900567549999</v>
      </c>
      <c r="Q4" s="22">
        <f t="shared" si="3"/>
        <v>12.743490897354999</v>
      </c>
      <c r="R4" s="31">
        <f>((N3+O3)+(N4+O4)+(N5+O5))/3</f>
        <v>6.2647008405999998</v>
      </c>
      <c r="S4" s="31">
        <f>((N3+P3)+(N4+P4)+(N5+P5))/3</f>
        <v>5.978790056754999</v>
      </c>
      <c r="T4" s="30">
        <f>(SUM(R4:S4))/2</f>
        <v>6.1217454486774994</v>
      </c>
      <c r="V4">
        <v>3</v>
      </c>
      <c r="W4" s="21">
        <f t="shared" ref="W4:Y4" si="5">R14</f>
        <v>6.2647008405999998</v>
      </c>
      <c r="X4" s="21">
        <f t="shared" si="5"/>
        <v>5.978790056754999</v>
      </c>
      <c r="Y4" s="21">
        <f t="shared" si="5"/>
        <v>6.1217454486774994</v>
      </c>
      <c r="Z4">
        <v>0</v>
      </c>
    </row>
    <row r="5" spans="1:27" x14ac:dyDescent="0.25">
      <c r="B5" t="s">
        <v>33</v>
      </c>
      <c r="C5">
        <v>9.6</v>
      </c>
      <c r="N5">
        <f>IF((C5)&lt;M3,10,IF(AND(C5&gt;=M3,C5&lt;L3),7.75,IF(AND(C5&gt;=L3,C5&lt;K3),5.5,IF(AND(C5&gt;=K3,C5&lt;J3),3.25,IF(AND(C5&gt;=J3,C5&lt;=J4),1,IF(AND(C5&gt;J4,C5&lt;=K4),3.25,IF(AND(C5&gt;K4,C5&lt;=L4),5.5,IF(AND(C5&gt;L4,C5&lt;=M4),7.75,10))))))))</f>
        <v>1</v>
      </c>
      <c r="O5" s="22">
        <f>BaseScore!$G$14</f>
        <v>3.7647008405999998</v>
      </c>
      <c r="P5" s="22">
        <f>EnvirScore!$H$14</f>
        <v>3.4787900567549999</v>
      </c>
      <c r="Q5" s="22">
        <f t="shared" si="3"/>
        <v>8.2434908973549987</v>
      </c>
      <c r="R5" s="11"/>
      <c r="S5" s="11"/>
      <c r="T5" s="11"/>
      <c r="V5">
        <v>4</v>
      </c>
      <c r="W5" s="21">
        <f t="shared" ref="W5:Y5" si="6">R19</f>
        <v>6.2647008405999998</v>
      </c>
      <c r="X5" s="21">
        <f t="shared" si="6"/>
        <v>5.9787900567549999</v>
      </c>
      <c r="Y5" s="21">
        <f t="shared" si="6"/>
        <v>6.1217454486774994</v>
      </c>
      <c r="Z5">
        <v>0</v>
      </c>
    </row>
    <row r="6" spans="1:27" x14ac:dyDescent="0.25">
      <c r="P6" s="30"/>
      <c r="V6">
        <v>5</v>
      </c>
      <c r="W6" s="21">
        <f t="shared" ref="W6:Y6" si="7">R24</f>
        <v>6.2647008405999998</v>
      </c>
      <c r="X6" s="21">
        <f t="shared" si="7"/>
        <v>5.9787900567549999</v>
      </c>
      <c r="Y6" s="21">
        <f t="shared" si="7"/>
        <v>6.1217454486774994</v>
      </c>
      <c r="Z6">
        <v>0</v>
      </c>
    </row>
    <row r="7" spans="1:27" ht="15.75" thickBot="1" x14ac:dyDescent="0.3">
      <c r="A7" t="s">
        <v>84</v>
      </c>
      <c r="P7" s="30"/>
      <c r="V7" t="s">
        <v>118</v>
      </c>
      <c r="W7" s="21">
        <f>AVERAGE(W2:W6)</f>
        <v>6.1147008405999994</v>
      </c>
      <c r="X7" s="21">
        <f>AVERAGE(X2:X6)</f>
        <v>5.8287900567549986</v>
      </c>
      <c r="Y7" s="21">
        <f>AVERAGE(Y2:Y6)</f>
        <v>5.9717454486774999</v>
      </c>
    </row>
    <row r="8" spans="1:27" ht="15.75" thickBot="1" x14ac:dyDescent="0.3">
      <c r="A8" s="13" t="s">
        <v>82</v>
      </c>
      <c r="B8" s="13" t="s">
        <v>31</v>
      </c>
      <c r="C8" s="13">
        <v>9.59</v>
      </c>
      <c r="D8" s="13">
        <f>(_xlfn.STDEV.S(C8,C9,C10)+(D3*2)/3)</f>
        <v>5.4499980531559786E-2</v>
      </c>
      <c r="E8" s="13">
        <f t="shared" ref="E8" si="8">IF(D8=0,1,D8)</f>
        <v>5.4499980531559786E-2</v>
      </c>
      <c r="F8" s="13">
        <v>1</v>
      </c>
      <c r="G8" s="13">
        <f>SUM(C8:C10)</f>
        <v>28.734000000000002</v>
      </c>
      <c r="H8" s="13">
        <f t="shared" ref="H8" si="9">G8/E8</f>
        <v>527.22954613462207</v>
      </c>
      <c r="I8" s="13">
        <f>E8</f>
        <v>5.4499980531559786E-2</v>
      </c>
      <c r="J8" s="13">
        <f>I9-I8*0.25</f>
        <v>9.5763750048671099</v>
      </c>
      <c r="K8" s="13">
        <f>J8-I8*0.66</f>
        <v>9.5404050177162798</v>
      </c>
      <c r="L8" s="13">
        <f>K8-I8*1</f>
        <v>9.48590503718472</v>
      </c>
      <c r="M8" s="13">
        <f>L8-I8*1.5</f>
        <v>9.4041550663873803</v>
      </c>
      <c r="N8" s="13">
        <f>IF((C8)&lt;M8,10,IF(AND(C8&gt;=M8,C8&lt;L8),7.75,IF(AND(C8&gt;=L8,C8&lt;K8),5.5,IF(AND(C8&gt;=K8,C8&lt;J8),3.25,IF(AND(C8&gt;=J8,C8&lt;=J9),1,IF(AND(C8&gt;J9,C8&lt;=K9),3.25,IF(AND(C8&gt;K9,C8&lt;=L9),5.5,IF(AND(C8&gt;L9,C8&lt;=M9),7.75,10))))))))</f>
        <v>1</v>
      </c>
      <c r="O8" s="22">
        <f>BaseScore!$G$14</f>
        <v>3.7647008405999998</v>
      </c>
      <c r="P8" s="22">
        <f>EnvirScore!$H$14</f>
        <v>3.4787900567549999</v>
      </c>
      <c r="Q8" s="22">
        <f t="shared" ref="Q8:Q10" si="10">N8+O8+P8</f>
        <v>8.2434908973549987</v>
      </c>
      <c r="R8" s="24">
        <f>IF((R9)&gt;9,1,IF(AND(R9&gt;7,R9&lt;=8.9),2,IF(AND(R9&gt;4,R9&lt;=6.9),3,IF(AND(R9&gt;0,R9&lt;=3.9),4,0))))</f>
        <v>3</v>
      </c>
      <c r="S8" s="25">
        <f>IF((S9)&gt;9,1,IF(AND(S9&gt;7,S9&lt;=8.9),2,IF(AND(S9&gt;4,S9&lt;=6.9),3,IF(AND(S9&gt;0,S9&lt;=3.9),4,0))))</f>
        <v>3</v>
      </c>
      <c r="T8" s="26">
        <f>IF((T9)&gt;9,1,IF(AND(T9&gt;7,T9&lt;=8.9),2,IF(AND(T9&gt;4,T9&lt;=6.9),3,IF(AND(T9&gt;0,T9&lt;=3.9),4,0))))</f>
        <v>3</v>
      </c>
      <c r="V8">
        <v>6</v>
      </c>
      <c r="W8" s="21">
        <f>R29</f>
        <v>7.7647008405999998</v>
      </c>
      <c r="X8" s="21">
        <f>S29</f>
        <v>7.478790056754999</v>
      </c>
      <c r="Y8" s="21">
        <f>T29</f>
        <v>7.6217454486774994</v>
      </c>
      <c r="Z8">
        <v>100</v>
      </c>
    </row>
    <row r="9" spans="1:27" x14ac:dyDescent="0.25">
      <c r="B9" t="s">
        <v>32</v>
      </c>
      <c r="C9">
        <v>9.5440000000000005</v>
      </c>
      <c r="I9">
        <f>MEDIAN(C8:C10)</f>
        <v>9.59</v>
      </c>
      <c r="J9">
        <f>I9+I8*0.25</f>
        <v>9.6036249951328898</v>
      </c>
      <c r="K9">
        <f>J9+I8*0.66</f>
        <v>9.6395949822837199</v>
      </c>
      <c r="L9">
        <f>K9+I8*1</f>
        <v>9.6940949628152797</v>
      </c>
      <c r="M9">
        <f>L9+I8*1.5</f>
        <v>9.7758449336126194</v>
      </c>
      <c r="N9">
        <f>IF((C9)&lt;M8,10,IF(AND(C9&gt;=M8,C9&lt;L8),7.75,IF(AND(C9&gt;=L8,C9&lt;K8),5.5,IF(AND(C9&gt;=K8,C9&lt;J8),3.25,IF(AND(C9&gt;=J8,C9&lt;=J9),1,IF(AND(C9&gt;J9,C9&lt;=K9),3.25,IF(AND(C9&gt;K9,C9&lt;=L9),5.5,IF(AND(C9&gt;L9,C9&lt;=M9),7.75,10))))))))</f>
        <v>3.25</v>
      </c>
      <c r="O9" s="22">
        <f>BaseScore!$G$14</f>
        <v>3.7647008405999998</v>
      </c>
      <c r="P9" s="22">
        <f>EnvirScore!$H$14</f>
        <v>3.4787900567549999</v>
      </c>
      <c r="Q9" s="22">
        <f t="shared" si="10"/>
        <v>10.493490897354999</v>
      </c>
      <c r="R9" s="31">
        <f>((N8+O8)+(N9+O9)+(N10+O10))/3</f>
        <v>5.5147008405999998</v>
      </c>
      <c r="S9" s="31">
        <f>((N8+P8)+(N9+P9)+(N10+P10))/3</f>
        <v>5.2287900567549999</v>
      </c>
      <c r="T9" s="30">
        <f>(SUM(R9:S9))/2</f>
        <v>5.3717454486774994</v>
      </c>
      <c r="V9">
        <v>7</v>
      </c>
      <c r="W9" s="21">
        <f>R34</f>
        <v>7.7647008405999998</v>
      </c>
      <c r="X9" s="21">
        <f>S34</f>
        <v>7.478790056754999</v>
      </c>
      <c r="Y9" s="21">
        <f>T34</f>
        <v>7.6217454486774994</v>
      </c>
      <c r="Z9">
        <v>100</v>
      </c>
    </row>
    <row r="10" spans="1:27" x14ac:dyDescent="0.25">
      <c r="B10" t="s">
        <v>33</v>
      </c>
      <c r="C10">
        <v>9.6</v>
      </c>
      <c r="N10">
        <f>IF((C10)&lt;M8,10,IF(AND(C10&gt;=M8,C10&lt;L8),7.75,IF(AND(C10&gt;=L8,C10&lt;K8),5.5,IF(AND(C10&gt;=K8,C10&lt;J8),3.25,IF(AND(C10&gt;=J8,C10&lt;=J9),1,IF(AND(C10&gt;J9,C10&lt;=K9),3.25,IF(AND(C10&gt;K9,C10&lt;=L9),5.5,IF(AND(C10&gt;L9,C10&lt;=M9),7.75,10))))))))</f>
        <v>1</v>
      </c>
      <c r="O10" s="22">
        <f>BaseScore!$G$14</f>
        <v>3.7647008405999998</v>
      </c>
      <c r="P10" s="22">
        <f>EnvirScore!$H$14</f>
        <v>3.4787900567549999</v>
      </c>
      <c r="Q10" s="22">
        <f t="shared" si="10"/>
        <v>8.2434908973549987</v>
      </c>
      <c r="R10" s="11"/>
      <c r="S10" s="11"/>
      <c r="T10" s="11"/>
      <c r="V10">
        <v>8</v>
      </c>
      <c r="W10" s="21">
        <f>R39</f>
        <v>7.7647008405999998</v>
      </c>
      <c r="X10" s="21">
        <f>S39</f>
        <v>7.4787900567549999</v>
      </c>
      <c r="Y10" s="21">
        <f>T39</f>
        <v>7.6217454486774994</v>
      </c>
      <c r="Z10">
        <v>100</v>
      </c>
    </row>
    <row r="11" spans="1:27" x14ac:dyDescent="0.25">
      <c r="P11" s="30"/>
    </row>
    <row r="12" spans="1:27" ht="15.75" thickBot="1" x14ac:dyDescent="0.3">
      <c r="A12" t="s">
        <v>85</v>
      </c>
      <c r="P12" s="30"/>
      <c r="W12" s="21">
        <f>W10-W7</f>
        <v>1.6500000000000004</v>
      </c>
      <c r="X12" s="21">
        <f t="shared" ref="X12:Y12" si="11">X10-X7</f>
        <v>1.6500000000000012</v>
      </c>
      <c r="Y12" s="21">
        <f t="shared" si="11"/>
        <v>1.6499999999999995</v>
      </c>
      <c r="Z12">
        <v>100</v>
      </c>
      <c r="AA12" s="21">
        <f>Y7+Y12</f>
        <v>7.6217454486774994</v>
      </c>
    </row>
    <row r="13" spans="1:27" ht="15.75" thickBot="1" x14ac:dyDescent="0.3">
      <c r="A13" s="13" t="s">
        <v>82</v>
      </c>
      <c r="B13" s="13" t="s">
        <v>31</v>
      </c>
      <c r="C13" s="13">
        <v>9.6</v>
      </c>
      <c r="D13" s="13">
        <f>(_xlfn.STDEV.S(C13,C14,C15)+(D3*4)+(D8*2))/7</f>
        <v>4.0644920413823712E-2</v>
      </c>
      <c r="E13" s="13">
        <f t="shared" ref="E13" si="12">IF(D13=0,1,D13)</f>
        <v>4.0644920413823712E-2</v>
      </c>
      <c r="F13" s="13">
        <v>1</v>
      </c>
      <c r="G13" s="13">
        <f>SUM(C13:C15)</f>
        <v>28.752000000000002</v>
      </c>
      <c r="H13" s="13">
        <f t="shared" ref="H13" si="13">G13/E13</f>
        <v>707.39466844228787</v>
      </c>
      <c r="I13" s="13">
        <f>E13</f>
        <v>4.0644920413823712E-2</v>
      </c>
      <c r="J13" s="13">
        <f>I14-I13*0.25</f>
        <v>9.5898387698965433</v>
      </c>
      <c r="K13" s="13">
        <f>J13-I13*0.66</f>
        <v>9.5630131224234205</v>
      </c>
      <c r="L13" s="13">
        <f>K13-I13*1</f>
        <v>9.5223682020095968</v>
      </c>
      <c r="M13" s="13">
        <f>L13-I13*1.5</f>
        <v>9.4614008213888621</v>
      </c>
      <c r="N13" s="13">
        <f>IF((C13)&lt;M13,10,IF(AND(C13&gt;=M13,C13&lt;L13),7.75,IF(AND(C13&gt;=L13,C13&lt;K13),5.5,IF(AND(C13&gt;=K13,C13&lt;J13),3.25,IF(AND(C13&gt;=J13,C13&lt;=J14),1,IF(AND(C13&gt;J14,C13&lt;=K14),3.25,IF(AND(C13&gt;K14,C13&lt;=L14),5.5,IF(AND(C13&gt;L14,C13&lt;=M14),7.75,10))))))))</f>
        <v>1</v>
      </c>
      <c r="O13" s="22">
        <f>BaseScore!$G$14</f>
        <v>3.7647008405999998</v>
      </c>
      <c r="P13" s="22">
        <f>EnvirScore!$H$14</f>
        <v>3.4787900567549999</v>
      </c>
      <c r="Q13" s="22">
        <f t="shared" ref="Q13:Q15" si="14">N13+O13+P13</f>
        <v>8.2434908973549987</v>
      </c>
      <c r="R13" s="24">
        <f>IF((R14)&gt;9,1,IF(AND(R14&gt;7,R14&lt;=8.9),2,IF(AND(R14&gt;4,R14&lt;=6.9),3,IF(AND(R14&gt;0,R14&lt;=3.9),4,0))))</f>
        <v>3</v>
      </c>
      <c r="S13" s="25">
        <f>IF((S14)&gt;9,1,IF(AND(S14&gt;7,S14&lt;=8.9),2,IF(AND(S14&gt;4,S14&lt;=6.9),3,IF(AND(S14&gt;0,S14&lt;=3.9),4,0))))</f>
        <v>3</v>
      </c>
      <c r="T13" s="26">
        <f>IF((T14)&gt;9,1,IF(AND(T14&gt;7,T14&lt;=8.9),2,IF(AND(T14&gt;4,T14&lt;=6.9),3,IF(AND(T14&gt;0,T14&lt;=3.9),4,0))))</f>
        <v>3</v>
      </c>
      <c r="W13">
        <f>W12/2</f>
        <v>0.82500000000000018</v>
      </c>
      <c r="X13">
        <f t="shared" ref="X13:Y14" si="15">X12/2</f>
        <v>0.82500000000000062</v>
      </c>
      <c r="Y13">
        <f t="shared" si="15"/>
        <v>0.82499999999999973</v>
      </c>
      <c r="Z13">
        <v>50</v>
      </c>
      <c r="AA13" s="21">
        <f>Y7+Y13</f>
        <v>6.7967454486775001</v>
      </c>
    </row>
    <row r="14" spans="1:27" x14ac:dyDescent="0.25">
      <c r="B14" t="s">
        <v>32</v>
      </c>
      <c r="C14">
        <v>9.5519999999999996</v>
      </c>
      <c r="I14">
        <f>MEDIAN(C13:C15)</f>
        <v>9.6</v>
      </c>
      <c r="J14">
        <f>I14+I13*0.25</f>
        <v>9.610161230103456</v>
      </c>
      <c r="K14">
        <f>J14+I13*0.66</f>
        <v>9.6369868775765788</v>
      </c>
      <c r="L14">
        <f>K14+I13*1</f>
        <v>9.6776317979904025</v>
      </c>
      <c r="M14">
        <f>L14+I13*1.5</f>
        <v>9.7385991786111372</v>
      </c>
      <c r="N14">
        <f>IF((C14)&lt;M13,10,IF(AND(C14&gt;=M13,C14&lt;L13),7.75,IF(AND(C14&gt;=L13,C14&lt;K13),5.5,IF(AND(C14&gt;=K13,C14&lt;J13),3.25,IF(AND(C14&gt;=J13,C14&lt;=J14),1,IF(AND(C14&gt;J14,C14&lt;=K14),3.25,IF(AND(C14&gt;K14,C14&lt;=L14),5.5,IF(AND(C14&gt;L14,C14&lt;=M14),7.75,10))))))))</f>
        <v>5.5</v>
      </c>
      <c r="O14" s="22">
        <f>BaseScore!$G$14</f>
        <v>3.7647008405999998</v>
      </c>
      <c r="P14" s="22">
        <f>EnvirScore!$H$14</f>
        <v>3.4787900567549999</v>
      </c>
      <c r="Q14" s="22">
        <f t="shared" si="14"/>
        <v>12.743490897354999</v>
      </c>
      <c r="R14" s="31">
        <f>((N13+O13)+(N14+O14)+(N15+O15))/3</f>
        <v>6.2647008405999998</v>
      </c>
      <c r="S14" s="31">
        <f>((N13+P13)+(N14+P14)+(N15+P15))/3</f>
        <v>5.978790056754999</v>
      </c>
      <c r="T14" s="30">
        <f>(SUM(R14:S14))/2</f>
        <v>6.1217454486774994</v>
      </c>
      <c r="W14">
        <f>W13/2</f>
        <v>0.41250000000000009</v>
      </c>
      <c r="X14">
        <f t="shared" si="15"/>
        <v>0.41250000000000031</v>
      </c>
      <c r="Y14">
        <f t="shared" si="15"/>
        <v>0.41249999999999987</v>
      </c>
      <c r="Z14">
        <v>25</v>
      </c>
      <c r="AA14" s="21">
        <f>Y7+Y14</f>
        <v>6.3842454486774995</v>
      </c>
    </row>
    <row r="15" spans="1:27" x14ac:dyDescent="0.25">
      <c r="B15" t="s">
        <v>33</v>
      </c>
      <c r="C15">
        <v>9.6</v>
      </c>
      <c r="N15">
        <f>IF((C15)&lt;M13,10,IF(AND(C15&gt;=M13,C15&lt;L13),7.75,IF(AND(C15&gt;=L13,C15&lt;K13),5.5,IF(AND(C15&gt;=K13,C15&lt;J13),3.25,IF(AND(C15&gt;=J13,C15&lt;=J14),1,IF(AND(C15&gt;J14,C15&lt;=K14),3.25,IF(AND(C15&gt;K14,C15&lt;=L14),5.5,IF(AND(C15&gt;L14,C15&lt;=M14),7.75,10))))))))</f>
        <v>1</v>
      </c>
      <c r="O15" s="22">
        <f>BaseScore!$G$14</f>
        <v>3.7647008405999998</v>
      </c>
      <c r="P15" s="22">
        <f>EnvirScore!$H$14</f>
        <v>3.4787900567549999</v>
      </c>
      <c r="Q15" s="22">
        <f t="shared" si="14"/>
        <v>8.2434908973549987</v>
      </c>
      <c r="R15" s="11"/>
      <c r="S15" s="11"/>
      <c r="T15" s="11"/>
      <c r="W15">
        <f>W12*2</f>
        <v>3.3000000000000007</v>
      </c>
      <c r="X15">
        <f t="shared" ref="X15:Y15" si="16">X12*2</f>
        <v>3.3000000000000025</v>
      </c>
      <c r="Y15">
        <f t="shared" si="16"/>
        <v>3.2999999999999989</v>
      </c>
      <c r="Z15">
        <v>200</v>
      </c>
      <c r="AA15" s="21">
        <f>Y7+Y15</f>
        <v>9.2717454486774997</v>
      </c>
    </row>
    <row r="16" spans="1:27" x14ac:dyDescent="0.25">
      <c r="P16" s="30"/>
      <c r="W16">
        <f>W12*10</f>
        <v>16.500000000000004</v>
      </c>
      <c r="X16">
        <f t="shared" ref="X16:Y16" si="17">X12*10</f>
        <v>16.500000000000014</v>
      </c>
      <c r="Y16">
        <f t="shared" si="17"/>
        <v>16.499999999999993</v>
      </c>
      <c r="Z16">
        <v>1000</v>
      </c>
      <c r="AA16" s="21">
        <f>Y7+Y16</f>
        <v>22.471745448677492</v>
      </c>
    </row>
    <row r="17" spans="1:20" ht="15.75" thickBot="1" x14ac:dyDescent="0.3">
      <c r="A17" t="s">
        <v>86</v>
      </c>
      <c r="P17" s="30"/>
    </row>
    <row r="18" spans="1:20" ht="15.75" thickBot="1" x14ac:dyDescent="0.3">
      <c r="A18" s="13" t="s">
        <v>82</v>
      </c>
      <c r="B18" s="13" t="s">
        <v>31</v>
      </c>
      <c r="C18" s="13">
        <v>9.58</v>
      </c>
      <c r="D18" s="13">
        <f>(_xlfn.STDEV.S(C18,C19,C20)+(D3*8)+(D8*4)+(D13*2))/15</f>
        <v>4.1551433087824351E-2</v>
      </c>
      <c r="E18" s="13">
        <f t="shared" ref="E18" si="18">IF(D18=0,1,D18)</f>
        <v>4.1551433087824351E-2</v>
      </c>
      <c r="F18" s="13">
        <v>1</v>
      </c>
      <c r="G18" s="13">
        <f>SUM(C18:C20)</f>
        <v>28.724000000000004</v>
      </c>
      <c r="H18" s="13">
        <f t="shared" ref="H18" si="19">G18/E18</f>
        <v>691.28782969502151</v>
      </c>
      <c r="I18" s="13">
        <f>E18</f>
        <v>4.1551433087824351E-2</v>
      </c>
      <c r="J18" s="13">
        <f>I19-I18*0.25</f>
        <v>9.5696121417280438</v>
      </c>
      <c r="K18" s="13">
        <f>J18-I18*0.66</f>
        <v>9.5421881958900805</v>
      </c>
      <c r="L18" s="13">
        <f>K18-I18*1</f>
        <v>9.500636762802257</v>
      </c>
      <c r="M18" s="13">
        <f>L18-I18*1.5</f>
        <v>9.4383096131705209</v>
      </c>
      <c r="N18" s="13">
        <f>IF((C18)&lt;M18,10,IF(AND(C18&gt;=M18,C18&lt;L18),7.75,IF(AND(C18&gt;=L18,C18&lt;K18),5.5,IF(AND(C18&gt;=K18,C18&lt;J18),3.25,IF(AND(C18&gt;=J18,C18&lt;=J19),1,IF(AND(C18&gt;J19,C18&lt;=K19),3.25,IF(AND(C18&gt;K19,C18&lt;=L19),5.5,IF(AND(C18&gt;L19,C18&lt;=M19),7.75,10))))))))</f>
        <v>1</v>
      </c>
      <c r="O18" s="22">
        <f>BaseScore!$G$14</f>
        <v>3.7647008405999998</v>
      </c>
      <c r="P18" s="22">
        <f>EnvirScore!$H$14</f>
        <v>3.4787900567549999</v>
      </c>
      <c r="Q18" s="22">
        <f t="shared" ref="Q18:Q20" si="20">N18+O18+P18</f>
        <v>8.2434908973549987</v>
      </c>
      <c r="R18" s="24">
        <f>IF((R19)&gt;9,1,IF(AND(R19&gt;7,R19&lt;=8.9),2,IF(AND(R19&gt;4,R19&lt;=6.9),3,IF(AND(R19&gt;0,R19&lt;=3.9),4,0))))</f>
        <v>3</v>
      </c>
      <c r="S18" s="25">
        <f>IF((S19)&gt;9,1,IF(AND(S19&gt;7,S19&lt;=8.9),2,IF(AND(S19&gt;4,S19&lt;=6.9),3,IF(AND(S19&gt;0,S19&lt;=3.9),4,0))))</f>
        <v>3</v>
      </c>
      <c r="T18" s="26">
        <f>IF((T19)&gt;9,1,IF(AND(T19&gt;7,T19&lt;=8.9),2,IF(AND(T19&gt;4,T19&lt;=6.9),3,IF(AND(T19&gt;0,T19&lt;=3.9),4,0))))</f>
        <v>3</v>
      </c>
    </row>
    <row r="19" spans="1:20" x14ac:dyDescent="0.25">
      <c r="B19" t="s">
        <v>32</v>
      </c>
      <c r="C19">
        <v>9.5440000000000005</v>
      </c>
      <c r="I19">
        <f>MEDIAN(C18:C20)</f>
        <v>9.58</v>
      </c>
      <c r="J19">
        <f>I19+I18*0.25</f>
        <v>9.5903878582719564</v>
      </c>
      <c r="K19">
        <f>J19+I18*0.66</f>
        <v>9.6178118041099196</v>
      </c>
      <c r="L19">
        <f>K19+I18*1</f>
        <v>9.6593632371977431</v>
      </c>
      <c r="M19">
        <f>L19+I18*1.5</f>
        <v>9.7216903868294793</v>
      </c>
      <c r="N19">
        <f>IF((C19)&lt;M18,10,IF(AND(C19&gt;=M18,C19&lt;L18),7.75,IF(AND(C19&gt;=L18,C19&lt;K18),5.5,IF(AND(C19&gt;=K18,C19&lt;J18),3.25,IF(AND(C19&gt;=J18,C19&lt;=J19),1,IF(AND(C19&gt;J19,C19&lt;=K19),3.25,IF(AND(C19&gt;K19,C19&lt;=L19),5.5,IF(AND(C19&gt;L19,C19&lt;=M19),7.75,10))))))))</f>
        <v>3.25</v>
      </c>
      <c r="O19" s="22">
        <f>BaseScore!$G$14</f>
        <v>3.7647008405999998</v>
      </c>
      <c r="P19" s="22">
        <f>EnvirScore!$H$14</f>
        <v>3.4787900567549999</v>
      </c>
      <c r="Q19" s="22">
        <f t="shared" si="20"/>
        <v>10.493490897354999</v>
      </c>
      <c r="R19" s="31">
        <f>((N18+O18)+(N19+O19)+(N20+O20))/3</f>
        <v>6.2647008405999998</v>
      </c>
      <c r="S19" s="31">
        <f>((N18+P18)+(N19+P19)+(N20+P20))/3</f>
        <v>5.9787900567549999</v>
      </c>
      <c r="T19" s="30">
        <f>(SUM(R19:S19))/2</f>
        <v>6.1217454486774994</v>
      </c>
    </row>
    <row r="20" spans="1:20" x14ac:dyDescent="0.25">
      <c r="B20" t="s">
        <v>33</v>
      </c>
      <c r="C20">
        <v>9.6</v>
      </c>
      <c r="N20">
        <f>IF((C20)&lt;M18,10,IF(AND(C20&gt;=M18,C20&lt;L18),7.75,IF(AND(C20&gt;=L18,C20&lt;K18),5.5,IF(AND(C20&gt;=K18,C20&lt;J18),3.25,IF(AND(C20&gt;=J18,C20&lt;=J19),1,IF(AND(C20&gt;J19,C20&lt;=K19),3.25,IF(AND(C20&gt;K19,C20&lt;=L19),5.5,IF(AND(C20&gt;L19,C20&lt;=M19),7.75,10))))))))</f>
        <v>3.25</v>
      </c>
      <c r="O20" s="22">
        <f>BaseScore!$G$14</f>
        <v>3.7647008405999998</v>
      </c>
      <c r="P20" s="22">
        <f>EnvirScore!$H$14</f>
        <v>3.4787900567549999</v>
      </c>
      <c r="Q20" s="22">
        <f t="shared" si="20"/>
        <v>10.493490897354999</v>
      </c>
      <c r="R20" s="11"/>
      <c r="S20" s="11"/>
      <c r="T20" s="11"/>
    </row>
    <row r="21" spans="1:20" x14ac:dyDescent="0.25">
      <c r="P21" s="30"/>
    </row>
    <row r="22" spans="1:20" ht="15.75" thickBot="1" x14ac:dyDescent="0.3">
      <c r="A22" t="s">
        <v>87</v>
      </c>
      <c r="P22" s="30"/>
    </row>
    <row r="23" spans="1:20" ht="15.75" thickBot="1" x14ac:dyDescent="0.3">
      <c r="A23" s="13" t="s">
        <v>82</v>
      </c>
      <c r="B23" s="13" t="s">
        <v>31</v>
      </c>
      <c r="C23" s="13">
        <v>9.58</v>
      </c>
      <c r="D23" s="13">
        <f>(_xlfn.STDEV.S(C23,C24,C25)+(D3*16)+(D8*8)+(D13*4)+(D18*2))/31</f>
        <v>4.1838707187966652E-2</v>
      </c>
      <c r="E23" s="13">
        <f t="shared" ref="E23" si="21">IF(D23=0,1,D23)</f>
        <v>4.1838707187966652E-2</v>
      </c>
      <c r="F23" s="13">
        <v>1</v>
      </c>
      <c r="G23" s="13">
        <f>SUM(C23:C25)</f>
        <v>28.731999999999999</v>
      </c>
      <c r="H23" s="13">
        <f t="shared" ref="H23" si="22">G23/E23</f>
        <v>686.7325003833696</v>
      </c>
      <c r="I23" s="13">
        <f>E23</f>
        <v>4.1838707187966652E-2</v>
      </c>
      <c r="J23" s="13">
        <f>I24-I23*0.25</f>
        <v>9.5695403232030092</v>
      </c>
      <c r="K23" s="13">
        <f>J23-I23*0.66</f>
        <v>9.5419267764589506</v>
      </c>
      <c r="L23" s="13">
        <f>K23-I23*1</f>
        <v>9.5000880692709835</v>
      </c>
      <c r="M23" s="13">
        <f>L23-I23*1.5</f>
        <v>9.4373300084890328</v>
      </c>
      <c r="N23" s="13">
        <f>IF((C23)&lt;M23,10,IF(AND(C23&gt;=M23,C23&lt;L23),7.75,IF(AND(C23&gt;=L23,C23&lt;K23),5.5,IF(AND(C23&gt;=K23,C23&lt;J23),3.25,IF(AND(C23&gt;=J23,C23&lt;=J24),1,IF(AND(C23&gt;J24,C23&lt;=K24),3.25,IF(AND(C23&gt;K24,C23&lt;=L24),5.5,IF(AND(C23&gt;L24,C23&lt;=M24),7.75,10))))))))</f>
        <v>1</v>
      </c>
      <c r="O23" s="22">
        <f>BaseScore!$G$14</f>
        <v>3.7647008405999998</v>
      </c>
      <c r="P23" s="22">
        <f>EnvirScore!$H$14</f>
        <v>3.4787900567549999</v>
      </c>
      <c r="Q23" s="22">
        <f t="shared" ref="Q23:Q25" si="23">N23+O23+P23</f>
        <v>8.2434908973549987</v>
      </c>
      <c r="R23" s="24">
        <f>IF((R24)&gt;9,1,IF(AND(R24&gt;7,R24&lt;=8.9),2,IF(AND(R24&gt;4,R24&lt;=6.9),3,IF(AND(R24&gt;0,R24&lt;=3.9),4,0))))</f>
        <v>3</v>
      </c>
      <c r="S23" s="25">
        <f>IF((S24)&gt;9,1,IF(AND(S24&gt;7,S24&lt;=8.9),2,IF(AND(S24&gt;4,S24&lt;=6.9),3,IF(AND(S24&gt;0,S24&lt;=3.9),4,0))))</f>
        <v>3</v>
      </c>
      <c r="T23" s="26">
        <f>IF((T24)&gt;9,1,IF(AND(T24&gt;7,T24&lt;=8.9),2,IF(AND(T24&gt;4,T24&lt;=6.9),3,IF(AND(T24&gt;0,T24&lt;=3.9),4,0))))</f>
        <v>3</v>
      </c>
    </row>
    <row r="24" spans="1:20" x14ac:dyDescent="0.25">
      <c r="B24" t="s">
        <v>32</v>
      </c>
      <c r="C24">
        <v>9.5519999999999996</v>
      </c>
      <c r="I24">
        <f>MEDIAN(C23:C25)</f>
        <v>9.58</v>
      </c>
      <c r="J24">
        <f>I24+I23*0.25</f>
        <v>9.590459676796991</v>
      </c>
      <c r="K24">
        <f>J24+I23*0.66</f>
        <v>9.6180732235410495</v>
      </c>
      <c r="L24">
        <f>K24+I23*1</f>
        <v>9.6599119307290167</v>
      </c>
      <c r="M24">
        <f>L24+I23*1.5</f>
        <v>9.7226699915109673</v>
      </c>
      <c r="N24">
        <f>IF((C24)&lt;M23,10,IF(AND(C24&gt;=M23,C24&lt;L23),7.75,IF(AND(C24&gt;=L23,C24&lt;K23),5.5,IF(AND(C24&gt;=K23,C24&lt;J23),3.25,IF(AND(C24&gt;=J23,C24&lt;=J24),1,IF(AND(C24&gt;J24,C24&lt;=K24),3.25,IF(AND(C24&gt;K24,C24&lt;=L24),5.5,IF(AND(C24&gt;L24,C24&lt;=M24),7.75,10))))))))</f>
        <v>3.25</v>
      </c>
      <c r="O24" s="22">
        <f>BaseScore!$G$14</f>
        <v>3.7647008405999998</v>
      </c>
      <c r="P24" s="22">
        <f>EnvirScore!$H$14</f>
        <v>3.4787900567549999</v>
      </c>
      <c r="Q24" s="22">
        <f t="shared" si="23"/>
        <v>10.493490897354999</v>
      </c>
      <c r="R24" s="31">
        <f>((N23+O23)+(N24+O24)+(N25+O25))/3</f>
        <v>6.2647008405999998</v>
      </c>
      <c r="S24" s="31">
        <f>((N23+P23)+(N24+P24)+(N25+P25))/3</f>
        <v>5.9787900567549999</v>
      </c>
      <c r="T24" s="30">
        <f>(SUM(R24:S24))/2</f>
        <v>6.1217454486774994</v>
      </c>
    </row>
    <row r="25" spans="1:20" x14ac:dyDescent="0.25">
      <c r="B25" t="s">
        <v>33</v>
      </c>
      <c r="C25">
        <v>9.6</v>
      </c>
      <c r="N25">
        <f>IF((C25)&lt;M23,10,IF(AND(C25&gt;=M23,C25&lt;L23),7.75,IF(AND(C25&gt;=L23,C25&lt;K23),5.5,IF(AND(C25&gt;=K23,C25&lt;J23),3.25,IF(AND(C25&gt;=J23,C25&lt;=J24),1,IF(AND(C25&gt;J24,C25&lt;=K24),3.25,IF(AND(C25&gt;K24,C25&lt;=L24),5.5,IF(AND(C25&gt;L24,C25&lt;=M24),7.75,10))))))))</f>
        <v>3.25</v>
      </c>
      <c r="O25" s="22">
        <f>BaseScore!$G$14</f>
        <v>3.7647008405999998</v>
      </c>
      <c r="P25" s="22">
        <f>EnvirScore!$H$14</f>
        <v>3.4787900567549999</v>
      </c>
      <c r="Q25" s="22">
        <f t="shared" si="23"/>
        <v>10.493490897354999</v>
      </c>
      <c r="R25" s="11"/>
      <c r="S25" s="11"/>
      <c r="T25" s="11"/>
    </row>
    <row r="26" spans="1:20" x14ac:dyDescent="0.25">
      <c r="O26" s="22"/>
      <c r="P26" s="22"/>
      <c r="Q26" s="22"/>
      <c r="R26" s="11"/>
      <c r="S26" s="11"/>
      <c r="T26" s="11"/>
    </row>
    <row r="27" spans="1:20" ht="15.75" thickBot="1" x14ac:dyDescent="0.3">
      <c r="A27" t="s">
        <v>89</v>
      </c>
    </row>
    <row r="28" spans="1:20" ht="15.75" thickBot="1" x14ac:dyDescent="0.3">
      <c r="A28" s="13" t="s">
        <v>82</v>
      </c>
      <c r="B28" s="13" t="s">
        <v>31</v>
      </c>
      <c r="C28" s="13">
        <v>6.1</v>
      </c>
      <c r="D28" s="13">
        <f>(_xlfn.STDEV.S(C28,C29,C30)+(B43*2))/3</f>
        <v>0.69539461460959506</v>
      </c>
      <c r="E28" s="13">
        <f t="shared" ref="E28" si="24">IF(D28=0,1,D28)</f>
        <v>0.69539461460959506</v>
      </c>
      <c r="F28" s="13">
        <v>1</v>
      </c>
      <c r="G28" s="13">
        <f>SUM(C28:C30)</f>
        <v>25.235999999999997</v>
      </c>
      <c r="H28" s="13">
        <f t="shared" ref="H28" si="25">G28/E28</f>
        <v>36.2901861329022</v>
      </c>
      <c r="I28" s="13">
        <f>E28</f>
        <v>0.69539461460959506</v>
      </c>
      <c r="J28" s="13">
        <f>I29-I28*0.25</f>
        <v>9.3621513463476003</v>
      </c>
      <c r="K28" s="13">
        <f>J28-I28*0.66</f>
        <v>8.9031909007052672</v>
      </c>
      <c r="L28" s="13">
        <f>K28-I28*1</f>
        <v>8.2077962860956717</v>
      </c>
      <c r="M28" s="13">
        <f>L28-I28*1.5</f>
        <v>7.1647043641812793</v>
      </c>
      <c r="N28" s="13">
        <f>IF((C28)&lt;M28,10,IF(AND(C28&gt;=M28,C28&lt;L28),7.75,IF(AND(C28&gt;=L28,C28&lt;K28),5.5,IF(AND(C28&gt;=K28,C28&lt;J28),3.25,IF(AND(C28&gt;=J28,C28&lt;=J29),1,IF(AND(C28&gt;J29,C28&lt;=K29),3.25,IF(AND(C28&gt;K29,C28&lt;=L29),5.5,IF(AND(C28&gt;L29,C28&lt;=M29),7.75,10))))))))</f>
        <v>10</v>
      </c>
      <c r="O28" s="22">
        <f>BaseScore!$G$14</f>
        <v>3.7647008405999998</v>
      </c>
      <c r="P28" s="22">
        <f>EnvirScore!$H$14</f>
        <v>3.4787900567549999</v>
      </c>
      <c r="Q28" s="22">
        <f t="shared" ref="Q28:Q30" si="26">N28+O28+P28</f>
        <v>17.243490897354999</v>
      </c>
      <c r="R28" s="24">
        <f>IF((R29)&gt;9,1,IF(AND(R29&gt;7,R29&lt;=8.9),2,IF(AND(R29&gt;4,R29&lt;=6.9),3,IF(AND(R29&gt;0,R29&lt;=3.9),4,0))))</f>
        <v>2</v>
      </c>
      <c r="S28" s="25">
        <f>IF((S29)&gt;9,1,IF(AND(S29&gt;7,S29&lt;=8.9),2,IF(AND(S29&gt;4,S29&lt;=6.9),3,IF(AND(S29&gt;0,S29&lt;=3.9),4,0))))</f>
        <v>2</v>
      </c>
      <c r="T28" s="26">
        <f>IF((T29)&gt;9,1,IF(AND(T29&gt;7,T29&lt;=8.9),2,IF(AND(T29&gt;4,T29&lt;=6.9),3,IF(AND(T29&gt;0,T29&lt;=3.9),4,0))))</f>
        <v>2</v>
      </c>
    </row>
    <row r="29" spans="1:20" x14ac:dyDescent="0.25">
      <c r="B29" t="s">
        <v>32</v>
      </c>
      <c r="C29">
        <v>9.5359999999999996</v>
      </c>
      <c r="I29">
        <f>MEDIAN(C28:C30)</f>
        <v>9.5359999999999996</v>
      </c>
      <c r="J29">
        <f>I29+I28*0.25</f>
        <v>9.7098486536523989</v>
      </c>
      <c r="K29">
        <f>J29+I28*0.66</f>
        <v>10.168809099294732</v>
      </c>
      <c r="L29">
        <f>K29+I28*1</f>
        <v>10.864203713904327</v>
      </c>
      <c r="M29">
        <f>L29+I28*1.5</f>
        <v>11.90729563581872</v>
      </c>
      <c r="N29">
        <f>IF((C29)&lt;M28,10,IF(AND(C29&gt;=M28,C29&lt;L28),7.75,IF(AND(C29&gt;=L28,C29&lt;K28),5.5,IF(AND(C29&gt;=K28,C29&lt;J28),3.25,IF(AND(C29&gt;=J28,C29&lt;=J29),1,IF(AND(C29&gt;J29,C29&lt;=K29),3.25,IF(AND(C29&gt;K29,C29&lt;=L29),5.5,IF(AND(C29&gt;L29,C29&lt;=M29),7.75,10))))))))</f>
        <v>1</v>
      </c>
      <c r="O29" s="22">
        <f>BaseScore!$G$14</f>
        <v>3.7647008405999998</v>
      </c>
      <c r="P29" s="22">
        <f>EnvirScore!$H$14</f>
        <v>3.4787900567549999</v>
      </c>
      <c r="Q29" s="22">
        <f t="shared" si="26"/>
        <v>8.2434908973549987</v>
      </c>
      <c r="R29" s="31">
        <f>((N28+O28)+(N29+O29)+(N30+O30))/3</f>
        <v>7.7647008405999998</v>
      </c>
      <c r="S29" s="31">
        <f>((N28+P28)+(N29+P29)+(N30+P30))/3</f>
        <v>7.478790056754999</v>
      </c>
      <c r="T29" s="30">
        <f>(SUM(R29:S29))/2</f>
        <v>7.6217454486774994</v>
      </c>
    </row>
    <row r="30" spans="1:20" x14ac:dyDescent="0.25">
      <c r="B30" t="s">
        <v>33</v>
      </c>
      <c r="C30">
        <v>9.6</v>
      </c>
      <c r="N30">
        <f>IF((C30)&lt;M28,10,IF(AND(C30&gt;=M28,C30&lt;L28),7.75,IF(AND(C30&gt;=L28,C30&lt;K28),5.5,IF(AND(C30&gt;=K28,C30&lt;J28),3.25,IF(AND(C30&gt;=J28,C30&lt;=J29),1,IF(AND(C30&gt;J29,C30&lt;=K29),3.25,IF(AND(C30&gt;K29,C30&lt;=L29),5.5,IF(AND(C30&gt;L29,C30&lt;=M29),7.75,10))))))))</f>
        <v>1</v>
      </c>
      <c r="O30" s="22">
        <f>BaseScore!$G$14</f>
        <v>3.7647008405999998</v>
      </c>
      <c r="P30" s="22">
        <f>EnvirScore!$H$14</f>
        <v>3.4787900567549999</v>
      </c>
      <c r="Q30" s="22">
        <f t="shared" si="26"/>
        <v>8.2434908973549987</v>
      </c>
      <c r="R30" s="11"/>
      <c r="S30" s="11"/>
      <c r="T30" s="11"/>
    </row>
    <row r="31" spans="1:20" x14ac:dyDescent="0.25">
      <c r="P31" s="30"/>
    </row>
    <row r="32" spans="1:20" ht="15.75" thickBot="1" x14ac:dyDescent="0.3">
      <c r="A32" t="s">
        <v>88</v>
      </c>
      <c r="P32" s="30"/>
    </row>
    <row r="33" spans="1:20" ht="15.75" thickBot="1" x14ac:dyDescent="0.3">
      <c r="A33" s="13" t="s">
        <v>82</v>
      </c>
      <c r="B33" s="13" t="s">
        <v>31</v>
      </c>
      <c r="C33" s="13">
        <v>9.59</v>
      </c>
      <c r="D33" s="13">
        <f>(_xlfn.STDEV.S(C33,C34,C35)+(B43*2))/3</f>
        <v>0.38546862237436708</v>
      </c>
      <c r="E33" s="13">
        <f t="shared" ref="E33" si="27">IF(D33=0,1,D33)</f>
        <v>0.38546862237436708</v>
      </c>
      <c r="F33" s="13">
        <v>1</v>
      </c>
      <c r="G33" s="13">
        <f>SUM(C33:C35)</f>
        <v>26.927</v>
      </c>
      <c r="H33" s="13">
        <f t="shared" ref="H33" si="28">G33/E33</f>
        <v>69.855231884084461</v>
      </c>
      <c r="I33" s="13">
        <f>E33</f>
        <v>0.38546862237436708</v>
      </c>
      <c r="J33" s="13">
        <f>I34-I33*0.25</f>
        <v>9.4936328444064078</v>
      </c>
      <c r="K33" s="13">
        <f>J33-I33*0.66</f>
        <v>9.2392235536393255</v>
      </c>
      <c r="L33" s="13">
        <f>K33-I33*1</f>
        <v>8.8537549312649588</v>
      </c>
      <c r="M33" s="13">
        <f>L33-I33*1.5</f>
        <v>8.275551997703408</v>
      </c>
      <c r="N33" s="13">
        <f>IF((C33)&lt;M33,10,IF(AND(C33&gt;=M33,C33&lt;L33),7.75,IF(AND(C33&gt;=L33,C33&lt;K33),5.5,IF(AND(C33&gt;=K33,C33&lt;J33),3.25,IF(AND(C33&gt;=J33,C33&lt;=J34),1,IF(AND(C33&gt;J34,C33&lt;=K34),3.25,IF(AND(C33&gt;K34,C33&lt;=L34),5.5,IF(AND(C33&gt;L34,C33&lt;=M34),7.75,10))))))))</f>
        <v>1</v>
      </c>
      <c r="O33" s="22">
        <f>BaseScore!$G$14</f>
        <v>3.7647008405999998</v>
      </c>
      <c r="P33" s="22">
        <f>EnvirScore!$H$14</f>
        <v>3.4787900567549999</v>
      </c>
      <c r="Q33" s="22">
        <f t="shared" ref="Q33:Q35" si="29">N33+O33+P33</f>
        <v>8.2434908973549987</v>
      </c>
      <c r="R33" s="24">
        <f>IF((R34)&gt;9,1,IF(AND(R34&gt;7,R34&lt;=8.9),2,IF(AND(R34&gt;4,R34&lt;=6.9),3,IF(AND(R34&gt;0,R34&lt;=3.9),4,0))))</f>
        <v>2</v>
      </c>
      <c r="S33" s="25">
        <f>IF((S34)&gt;9,1,IF(AND(S34&gt;7,S34&lt;=8.9),2,IF(AND(S34&gt;4,S34&lt;=6.9),3,IF(AND(S34&gt;0,S34&lt;=3.9),4,0))))</f>
        <v>2</v>
      </c>
      <c r="T33" s="26">
        <f>IF((T34)&gt;9,1,IF(AND(T34&gt;7,T34&lt;=8.9),2,IF(AND(T34&gt;4,T34&lt;=6.9),3,IF(AND(T34&gt;0,T34&lt;=3.9),4,0))))</f>
        <v>2</v>
      </c>
    </row>
    <row r="34" spans="1:20" x14ac:dyDescent="0.25">
      <c r="B34" t="s">
        <v>32</v>
      </c>
      <c r="C34">
        <v>7.7370000000000001</v>
      </c>
      <c r="I34">
        <f>MEDIAN(C33:C35)</f>
        <v>9.59</v>
      </c>
      <c r="J34">
        <f>I34+I33*0.25</f>
        <v>9.686367155593592</v>
      </c>
      <c r="K34">
        <f>J34+I33*0.66</f>
        <v>9.9407764463606743</v>
      </c>
      <c r="L34">
        <f>K34+I33*1</f>
        <v>10.326245068735041</v>
      </c>
      <c r="M34">
        <f>L34+I33*1.5</f>
        <v>10.904448002296592</v>
      </c>
      <c r="N34">
        <f>IF((C34)&lt;M33,10,IF(AND(C34&gt;=M33,C34&lt;L33),7.75,IF(AND(C34&gt;=L33,C34&lt;K33),5.5,IF(AND(C34&gt;=K33,C34&lt;J33),3.25,IF(AND(C34&gt;=J33,C34&lt;=J34),1,IF(AND(C34&gt;J34,C34&lt;=K34),3.25,IF(AND(C34&gt;K34,C34&lt;=L34),5.5,IF(AND(C34&gt;L34,C34&lt;=M34),7.75,10))))))))</f>
        <v>10</v>
      </c>
      <c r="O34" s="22">
        <f>BaseScore!$G$14</f>
        <v>3.7647008405999998</v>
      </c>
      <c r="P34" s="22">
        <f>EnvirScore!$H$14</f>
        <v>3.4787900567549999</v>
      </c>
      <c r="Q34" s="22">
        <f t="shared" si="29"/>
        <v>17.243490897354999</v>
      </c>
      <c r="R34" s="31">
        <f>((N33+O33)+(N34+O34)+(N35+O35))/3</f>
        <v>7.7647008405999998</v>
      </c>
      <c r="S34" s="31">
        <f>((N33+P33)+(N34+P34)+(N35+P35))/3</f>
        <v>7.478790056754999</v>
      </c>
      <c r="T34" s="30">
        <f>(SUM(R34:S34))/2</f>
        <v>7.6217454486774994</v>
      </c>
    </row>
    <row r="35" spans="1:20" x14ac:dyDescent="0.25">
      <c r="B35" t="s">
        <v>33</v>
      </c>
      <c r="C35">
        <v>9.6</v>
      </c>
      <c r="N35">
        <f>IF((C35)&lt;M33,10,IF(AND(C35&gt;=M33,C35&lt;L33),7.75,IF(AND(C35&gt;=L33,C35&lt;K33),5.5,IF(AND(C35&gt;=K33,C35&lt;J33),3.25,IF(AND(C35&gt;=J33,C35&lt;=J34),1,IF(AND(C35&gt;J34,C35&lt;=K34),3.25,IF(AND(C35&gt;K34,C35&lt;=L34),5.5,IF(AND(C35&gt;L34,C35&lt;=M34),7.75,10))))))))</f>
        <v>1</v>
      </c>
      <c r="O35" s="22">
        <f>BaseScore!$G$14</f>
        <v>3.7647008405999998</v>
      </c>
      <c r="P35" s="22">
        <f>EnvirScore!$H$14</f>
        <v>3.4787900567549999</v>
      </c>
      <c r="Q35" s="22">
        <f t="shared" si="29"/>
        <v>8.2434908973549987</v>
      </c>
      <c r="R35" s="11"/>
      <c r="S35" s="11"/>
      <c r="T35" s="11"/>
    </row>
    <row r="36" spans="1:20" x14ac:dyDescent="0.25">
      <c r="P36" s="30"/>
    </row>
    <row r="37" spans="1:20" ht="15.75" thickBot="1" x14ac:dyDescent="0.3">
      <c r="A37" t="s">
        <v>90</v>
      </c>
      <c r="P37" s="30"/>
    </row>
    <row r="38" spans="1:20" ht="15.75" thickBot="1" x14ac:dyDescent="0.3">
      <c r="A38" s="13" t="s">
        <v>82</v>
      </c>
      <c r="B38" s="13" t="s">
        <v>31</v>
      </c>
      <c r="C38" s="22">
        <v>9.6</v>
      </c>
      <c r="D38" s="13">
        <f>(_xlfn.STDEV.S(C38,C39,C40)+(B43*2))/3</f>
        <v>0.69689681734498643</v>
      </c>
      <c r="E38" s="13">
        <f t="shared" ref="E38" si="30">IF(D38=0,1,D38)</f>
        <v>0.69689681734498643</v>
      </c>
      <c r="F38" s="13">
        <v>1</v>
      </c>
      <c r="G38" s="13">
        <f>SUM(C38:C40)</f>
        <v>25.252000000000002</v>
      </c>
      <c r="H38" s="13">
        <f t="shared" ref="H38" si="31">G38/E38</f>
        <v>36.234919390512076</v>
      </c>
      <c r="I38" s="13">
        <f>E38</f>
        <v>0.69689681734498643</v>
      </c>
      <c r="J38" s="13">
        <f>I39-I38*0.25</f>
        <v>9.3777757956637533</v>
      </c>
      <c r="K38" s="13">
        <f>J38-I38*0.66</f>
        <v>8.9178238962160616</v>
      </c>
      <c r="L38" s="13">
        <f>K38-I38*1</f>
        <v>8.2209270788710747</v>
      </c>
      <c r="M38" s="13">
        <f>L38-I38*1.5</f>
        <v>7.1755818528535951</v>
      </c>
      <c r="N38" s="13">
        <f>IF((C38)&lt;M38,10,IF(AND(C38&gt;=M38,C38&lt;L38),7.75,IF(AND(C38&gt;=L38,C38&lt;K38),5.5,IF(AND(C38&gt;=K38,C38&lt;J38),3.25,IF(AND(C38&gt;=J38,C38&lt;=J39),1,IF(AND(C38&gt;J39,C38&lt;=K39),3.25,IF(AND(C38&gt;K39,C38&lt;=L39),5.5,IF(AND(C38&gt;L39,C38&lt;=M39),7.75,10))))))))</f>
        <v>1</v>
      </c>
      <c r="O38" s="22">
        <f>BaseScore!$G$14</f>
        <v>3.7647008405999998</v>
      </c>
      <c r="P38" s="22">
        <f>EnvirScore!$H$14</f>
        <v>3.4787900567549999</v>
      </c>
      <c r="Q38" s="22">
        <f t="shared" ref="Q38:Q40" si="32">N38+O38+P38</f>
        <v>8.2434908973549987</v>
      </c>
      <c r="R38" s="24">
        <f>IF((R39)&gt;9,1,IF(AND(R39&gt;7,R39&lt;=8.9),2,IF(AND(R39&gt;4,R39&lt;=6.9),3,IF(AND(R39&gt;0,R39&lt;=3.9),4,0))))</f>
        <v>2</v>
      </c>
      <c r="S38" s="25">
        <f>IF((S39)&gt;9,1,IF(AND(S39&gt;7,S39&lt;=8.9),2,IF(AND(S39&gt;4,S39&lt;=6.9),3,IF(AND(S39&gt;0,S39&lt;=3.9),4,0))))</f>
        <v>2</v>
      </c>
      <c r="T38" s="26">
        <f>IF((T39)&gt;9,1,IF(AND(T39&gt;7,T39&lt;=8.9),2,IF(AND(T39&gt;4,T39&lt;=6.9),3,IF(AND(T39&gt;0,T39&lt;=3.9),4,0))))</f>
        <v>2</v>
      </c>
    </row>
    <row r="39" spans="1:20" x14ac:dyDescent="0.25">
      <c r="B39" t="s">
        <v>32</v>
      </c>
      <c r="C39">
        <v>9.5519999999999996</v>
      </c>
      <c r="I39">
        <f>MEDIAN(C38:C40)</f>
        <v>9.5519999999999996</v>
      </c>
      <c r="J39">
        <f>I39+I38*0.25</f>
        <v>9.7262242043362459</v>
      </c>
      <c r="K39">
        <f>J39+I38*0.66</f>
        <v>10.186176103783938</v>
      </c>
      <c r="L39">
        <f>K39+I38*1</f>
        <v>10.883072921128925</v>
      </c>
      <c r="M39">
        <f>L39+I38*1.5</f>
        <v>11.928418147146404</v>
      </c>
      <c r="N39">
        <f>IF((C39)&lt;M38,10,IF(AND(C39&gt;=M38,C39&lt;L38),7.75,IF(AND(C39&gt;=L38,C39&lt;K38),5.5,IF(AND(C39&gt;=K38,C39&lt;J38),3.25,IF(AND(C39&gt;=J38,C39&lt;=J39),1,IF(AND(C39&gt;J39,C39&lt;=K39),3.25,IF(AND(C39&gt;K39,C39&lt;=L39),5.5,IF(AND(C39&gt;L39,C39&lt;=M39),7.75,10))))))))</f>
        <v>1</v>
      </c>
      <c r="O39" s="22">
        <f>BaseScore!$G$14</f>
        <v>3.7647008405999998</v>
      </c>
      <c r="P39" s="22">
        <f>EnvirScore!$H$14</f>
        <v>3.4787900567549999</v>
      </c>
      <c r="Q39" s="22">
        <f t="shared" si="32"/>
        <v>8.2434908973549987</v>
      </c>
      <c r="R39" s="31">
        <f>((N38+O38)+(N39+O39)+(N40+O40))/3</f>
        <v>7.7647008405999998</v>
      </c>
      <c r="S39" s="31">
        <f>((N38+P38)+(N39+P39)+(N40+P40))/3</f>
        <v>7.4787900567549999</v>
      </c>
      <c r="T39" s="30">
        <f>(SUM(R39:S39))/2</f>
        <v>7.6217454486774994</v>
      </c>
    </row>
    <row r="40" spans="1:20" x14ac:dyDescent="0.25">
      <c r="B40" t="s">
        <v>33</v>
      </c>
      <c r="C40">
        <v>6.1</v>
      </c>
      <c r="N40">
        <f>IF((C40)&lt;M38,10,IF(AND(C40&gt;=M38,C40&lt;L38),7.75,IF(AND(C40&gt;=L38,C40&lt;K38),5.5,IF(AND(C40&gt;=K38,C40&lt;J38),3.25,IF(AND(C40&gt;=J38,C40&lt;=J39),1,IF(AND(C40&gt;J39,C40&lt;=K39),3.25,IF(AND(C40&gt;K39,C40&lt;=L39),5.5,IF(AND(C40&gt;L39,C40&lt;=M39),7.75,10))))))))</f>
        <v>10</v>
      </c>
      <c r="O40" s="22">
        <f>BaseScore!$G$14</f>
        <v>3.7647008405999998</v>
      </c>
      <c r="P40" s="22">
        <f>EnvirScore!$H$14</f>
        <v>3.4787900567549999</v>
      </c>
      <c r="Q40" s="22">
        <f t="shared" si="32"/>
        <v>17.243490897354999</v>
      </c>
      <c r="R40" s="11"/>
      <c r="S40" s="11"/>
      <c r="T40" s="11"/>
    </row>
    <row r="43" spans="1:20" x14ac:dyDescent="0.25">
      <c r="A43" t="s">
        <v>106</v>
      </c>
      <c r="B43">
        <f>'5mb Transfer Rate'!$D$24</f>
        <v>4.1838707187966652E-2</v>
      </c>
    </row>
  </sheetData>
  <conditionalFormatting sqref="T18">
    <cfRule type="cellIs" dxfId="707" priority="57" operator="equal">
      <formula>1</formula>
    </cfRule>
    <cfRule type="cellIs" dxfId="706" priority="58" operator="equal">
      <formula>2</formula>
    </cfRule>
    <cfRule type="cellIs" dxfId="705" priority="59" operator="equal">
      <formula>3</formula>
    </cfRule>
    <cfRule type="cellIs" dxfId="704" priority="60" operator="equal">
      <formula>4</formula>
    </cfRule>
  </conditionalFormatting>
  <conditionalFormatting sqref="R18">
    <cfRule type="cellIs" dxfId="703" priority="53" operator="equal">
      <formula>1</formula>
    </cfRule>
    <cfRule type="cellIs" dxfId="702" priority="54" operator="equal">
      <formula>2</formula>
    </cfRule>
    <cfRule type="cellIs" dxfId="701" priority="55" operator="equal">
      <formula>3</formula>
    </cfRule>
    <cfRule type="cellIs" dxfId="700" priority="56" operator="equal">
      <formula>4</formula>
    </cfRule>
  </conditionalFormatting>
  <conditionalFormatting sqref="S18">
    <cfRule type="cellIs" dxfId="699" priority="49" operator="equal">
      <formula>1</formula>
    </cfRule>
    <cfRule type="cellIs" dxfId="698" priority="50" operator="equal">
      <formula>2</formula>
    </cfRule>
    <cfRule type="cellIs" dxfId="697" priority="51" operator="equal">
      <formula>3</formula>
    </cfRule>
    <cfRule type="cellIs" dxfId="696" priority="52" operator="equal">
      <formula>4</formula>
    </cfRule>
  </conditionalFormatting>
  <conditionalFormatting sqref="S23">
    <cfRule type="cellIs" dxfId="695" priority="37" operator="equal">
      <formula>1</formula>
    </cfRule>
    <cfRule type="cellIs" dxfId="694" priority="38" operator="equal">
      <formula>2</formula>
    </cfRule>
    <cfRule type="cellIs" dxfId="693" priority="39" operator="equal">
      <formula>3</formula>
    </cfRule>
    <cfRule type="cellIs" dxfId="692" priority="40" operator="equal">
      <formula>4</formula>
    </cfRule>
  </conditionalFormatting>
  <conditionalFormatting sqref="T8">
    <cfRule type="cellIs" dxfId="691" priority="93" operator="equal">
      <formula>1</formula>
    </cfRule>
    <cfRule type="cellIs" dxfId="690" priority="94" operator="equal">
      <formula>2</formula>
    </cfRule>
    <cfRule type="cellIs" dxfId="689" priority="95" operator="equal">
      <formula>3</formula>
    </cfRule>
    <cfRule type="cellIs" dxfId="688" priority="96" operator="equal">
      <formula>4</formula>
    </cfRule>
  </conditionalFormatting>
  <conditionalFormatting sqref="R8">
    <cfRule type="cellIs" dxfId="687" priority="89" operator="equal">
      <formula>1</formula>
    </cfRule>
    <cfRule type="cellIs" dxfId="686" priority="90" operator="equal">
      <formula>2</formula>
    </cfRule>
    <cfRule type="cellIs" dxfId="685" priority="91" operator="equal">
      <formula>3</formula>
    </cfRule>
    <cfRule type="cellIs" dxfId="684" priority="92" operator="equal">
      <formula>4</formula>
    </cfRule>
  </conditionalFormatting>
  <conditionalFormatting sqref="S8">
    <cfRule type="cellIs" dxfId="683" priority="85" operator="equal">
      <formula>1</formula>
    </cfRule>
    <cfRule type="cellIs" dxfId="682" priority="86" operator="equal">
      <formula>2</formula>
    </cfRule>
    <cfRule type="cellIs" dxfId="681" priority="87" operator="equal">
      <formula>3</formula>
    </cfRule>
    <cfRule type="cellIs" dxfId="680" priority="88" operator="equal">
      <formula>4</formula>
    </cfRule>
  </conditionalFormatting>
  <conditionalFormatting sqref="T3">
    <cfRule type="cellIs" dxfId="679" priority="81" operator="equal">
      <formula>1</formula>
    </cfRule>
    <cfRule type="cellIs" dxfId="678" priority="82" operator="equal">
      <formula>2</formula>
    </cfRule>
    <cfRule type="cellIs" dxfId="677" priority="83" operator="equal">
      <formula>3</formula>
    </cfRule>
    <cfRule type="cellIs" dxfId="676" priority="84" operator="equal">
      <formula>4</formula>
    </cfRule>
  </conditionalFormatting>
  <conditionalFormatting sqref="R3">
    <cfRule type="cellIs" dxfId="675" priority="77" operator="equal">
      <formula>1</formula>
    </cfRule>
    <cfRule type="cellIs" dxfId="674" priority="78" operator="equal">
      <formula>2</formula>
    </cfRule>
    <cfRule type="cellIs" dxfId="673" priority="79" operator="equal">
      <formula>3</formula>
    </cfRule>
    <cfRule type="cellIs" dxfId="672" priority="80" operator="equal">
      <formula>4</formula>
    </cfRule>
  </conditionalFormatting>
  <conditionalFormatting sqref="S3">
    <cfRule type="cellIs" dxfId="671" priority="73" operator="equal">
      <formula>1</formula>
    </cfRule>
    <cfRule type="cellIs" dxfId="670" priority="74" operator="equal">
      <formula>2</formula>
    </cfRule>
    <cfRule type="cellIs" dxfId="669" priority="75" operator="equal">
      <formula>3</formula>
    </cfRule>
    <cfRule type="cellIs" dxfId="668" priority="76" operator="equal">
      <formula>4</formula>
    </cfRule>
  </conditionalFormatting>
  <conditionalFormatting sqref="T13">
    <cfRule type="cellIs" dxfId="667" priority="69" operator="equal">
      <formula>1</formula>
    </cfRule>
    <cfRule type="cellIs" dxfId="666" priority="70" operator="equal">
      <formula>2</formula>
    </cfRule>
    <cfRule type="cellIs" dxfId="665" priority="71" operator="equal">
      <formula>3</formula>
    </cfRule>
    <cfRule type="cellIs" dxfId="664" priority="72" operator="equal">
      <formula>4</formula>
    </cfRule>
  </conditionalFormatting>
  <conditionalFormatting sqref="R13">
    <cfRule type="cellIs" dxfId="663" priority="65" operator="equal">
      <formula>1</formula>
    </cfRule>
    <cfRule type="cellIs" dxfId="662" priority="66" operator="equal">
      <formula>2</formula>
    </cfRule>
    <cfRule type="cellIs" dxfId="661" priority="67" operator="equal">
      <formula>3</formula>
    </cfRule>
    <cfRule type="cellIs" dxfId="660" priority="68" operator="equal">
      <formula>4</formula>
    </cfRule>
  </conditionalFormatting>
  <conditionalFormatting sqref="S13">
    <cfRule type="cellIs" dxfId="659" priority="61" operator="equal">
      <formula>1</formula>
    </cfRule>
    <cfRule type="cellIs" dxfId="658" priority="62" operator="equal">
      <formula>2</formula>
    </cfRule>
    <cfRule type="cellIs" dxfId="657" priority="63" operator="equal">
      <formula>3</formula>
    </cfRule>
    <cfRule type="cellIs" dxfId="656" priority="64" operator="equal">
      <formula>4</formula>
    </cfRule>
  </conditionalFormatting>
  <conditionalFormatting sqref="T23">
    <cfRule type="cellIs" dxfId="655" priority="45" operator="equal">
      <formula>1</formula>
    </cfRule>
    <cfRule type="cellIs" dxfId="654" priority="46" operator="equal">
      <formula>2</formula>
    </cfRule>
    <cfRule type="cellIs" dxfId="653" priority="47" operator="equal">
      <formula>3</formula>
    </cfRule>
    <cfRule type="cellIs" dxfId="652" priority="48" operator="equal">
      <formula>4</formula>
    </cfRule>
  </conditionalFormatting>
  <conditionalFormatting sqref="R23">
    <cfRule type="cellIs" dxfId="651" priority="41" operator="equal">
      <formula>1</formula>
    </cfRule>
    <cfRule type="cellIs" dxfId="650" priority="42" operator="equal">
      <formula>2</formula>
    </cfRule>
    <cfRule type="cellIs" dxfId="649" priority="43" operator="equal">
      <formula>3</formula>
    </cfRule>
    <cfRule type="cellIs" dxfId="648" priority="44" operator="equal">
      <formula>4</formula>
    </cfRule>
  </conditionalFormatting>
  <conditionalFormatting sqref="T33">
    <cfRule type="cellIs" dxfId="647" priority="33" operator="equal">
      <formula>1</formula>
    </cfRule>
    <cfRule type="cellIs" dxfId="646" priority="34" operator="equal">
      <formula>2</formula>
    </cfRule>
    <cfRule type="cellIs" dxfId="645" priority="35" operator="equal">
      <formula>3</formula>
    </cfRule>
    <cfRule type="cellIs" dxfId="644" priority="36" operator="equal">
      <formula>4</formula>
    </cfRule>
  </conditionalFormatting>
  <conditionalFormatting sqref="R33">
    <cfRule type="cellIs" dxfId="643" priority="29" operator="equal">
      <formula>1</formula>
    </cfRule>
    <cfRule type="cellIs" dxfId="642" priority="30" operator="equal">
      <formula>2</formula>
    </cfRule>
    <cfRule type="cellIs" dxfId="641" priority="31" operator="equal">
      <formula>3</formula>
    </cfRule>
    <cfRule type="cellIs" dxfId="640" priority="32" operator="equal">
      <formula>4</formula>
    </cfRule>
  </conditionalFormatting>
  <conditionalFormatting sqref="S33">
    <cfRule type="cellIs" dxfId="639" priority="25" operator="equal">
      <formula>1</formula>
    </cfRule>
    <cfRule type="cellIs" dxfId="638" priority="26" operator="equal">
      <formula>2</formula>
    </cfRule>
    <cfRule type="cellIs" dxfId="637" priority="27" operator="equal">
      <formula>3</formula>
    </cfRule>
    <cfRule type="cellIs" dxfId="636" priority="28" operator="equal">
      <formula>4</formula>
    </cfRule>
  </conditionalFormatting>
  <conditionalFormatting sqref="T28">
    <cfRule type="cellIs" dxfId="635" priority="21" operator="equal">
      <formula>1</formula>
    </cfRule>
    <cfRule type="cellIs" dxfId="634" priority="22" operator="equal">
      <formula>2</formula>
    </cfRule>
    <cfRule type="cellIs" dxfId="633" priority="23" operator="equal">
      <formula>3</formula>
    </cfRule>
    <cfRule type="cellIs" dxfId="632" priority="24" operator="equal">
      <formula>4</formula>
    </cfRule>
  </conditionalFormatting>
  <conditionalFormatting sqref="R28">
    <cfRule type="cellIs" dxfId="631" priority="17" operator="equal">
      <formula>1</formula>
    </cfRule>
    <cfRule type="cellIs" dxfId="630" priority="18" operator="equal">
      <formula>2</formula>
    </cfRule>
    <cfRule type="cellIs" dxfId="629" priority="19" operator="equal">
      <formula>3</formula>
    </cfRule>
    <cfRule type="cellIs" dxfId="628" priority="20" operator="equal">
      <formula>4</formula>
    </cfRule>
  </conditionalFormatting>
  <conditionalFormatting sqref="S28">
    <cfRule type="cellIs" dxfId="627" priority="13" operator="equal">
      <formula>1</formula>
    </cfRule>
    <cfRule type="cellIs" dxfId="626" priority="14" operator="equal">
      <formula>2</formula>
    </cfRule>
    <cfRule type="cellIs" dxfId="625" priority="15" operator="equal">
      <formula>3</formula>
    </cfRule>
    <cfRule type="cellIs" dxfId="624" priority="16" operator="equal">
      <formula>4</formula>
    </cfRule>
  </conditionalFormatting>
  <conditionalFormatting sqref="T38">
    <cfRule type="cellIs" dxfId="623" priority="9" operator="equal">
      <formula>1</formula>
    </cfRule>
    <cfRule type="cellIs" dxfId="622" priority="10" operator="equal">
      <formula>2</formula>
    </cfRule>
    <cfRule type="cellIs" dxfId="621" priority="11" operator="equal">
      <formula>3</formula>
    </cfRule>
    <cfRule type="cellIs" dxfId="620" priority="12" operator="equal">
      <formula>4</formula>
    </cfRule>
  </conditionalFormatting>
  <conditionalFormatting sqref="R38">
    <cfRule type="cellIs" dxfId="619" priority="5" operator="equal">
      <formula>1</formula>
    </cfRule>
    <cfRule type="cellIs" dxfId="618" priority="6" operator="equal">
      <formula>2</formula>
    </cfRule>
    <cfRule type="cellIs" dxfId="617" priority="7" operator="equal">
      <formula>3</formula>
    </cfRule>
    <cfRule type="cellIs" dxfId="616" priority="8" operator="equal">
      <formula>4</formula>
    </cfRule>
  </conditionalFormatting>
  <conditionalFormatting sqref="S38">
    <cfRule type="cellIs" dxfId="615" priority="1" operator="equal">
      <formula>1</formula>
    </cfRule>
    <cfRule type="cellIs" dxfId="614" priority="2" operator="equal">
      <formula>2</formula>
    </cfRule>
    <cfRule type="cellIs" dxfId="613" priority="3" operator="equal">
      <formula>3</formula>
    </cfRule>
    <cfRule type="cellIs" dxfId="612" priority="4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80" zoomScaleNormal="80" workbookViewId="0">
      <selection activeCell="M2" sqref="M2"/>
    </sheetView>
  </sheetViews>
  <sheetFormatPr defaultRowHeight="15" x14ac:dyDescent="0.25"/>
  <cols>
    <col min="1" max="1" width="22.28515625" customWidth="1"/>
    <col min="2" max="2" width="6.7109375" bestFit="1" customWidth="1"/>
    <col min="3" max="3" width="10.7109375" customWidth="1"/>
    <col min="4" max="4" width="10.85546875" bestFit="1" customWidth="1"/>
    <col min="5" max="5" width="10.85546875" customWidth="1"/>
    <col min="6" max="6" width="8.85546875" bestFit="1" customWidth="1"/>
    <col min="7" max="7" width="14.7109375" customWidth="1"/>
    <col min="8" max="8" width="13.7109375" customWidth="1"/>
    <col min="9" max="9" width="12.42578125" customWidth="1"/>
    <col min="10" max="10" width="8.85546875" bestFit="1" customWidth="1"/>
    <col min="11" max="11" width="12.7109375" customWidth="1"/>
    <col min="12" max="13" width="10.42578125" customWidth="1"/>
    <col min="15" max="16" width="10.28515625" customWidth="1"/>
    <col min="17" max="17" width="7.7109375" bestFit="1" customWidth="1"/>
    <col min="18" max="18" width="6.140625" bestFit="1" customWidth="1"/>
    <col min="19" max="19" width="6.140625" customWidth="1"/>
    <col min="20" max="20" width="12.7109375" customWidth="1"/>
    <col min="21" max="22" width="14.7109375" customWidth="1"/>
    <col min="23" max="23" width="12" customWidth="1"/>
    <col min="24" max="24" width="5" customWidth="1"/>
    <col min="25" max="25" width="6" bestFit="1" customWidth="1"/>
    <col min="26" max="26" width="5" customWidth="1"/>
    <col min="27" max="27" width="7.7109375" bestFit="1" customWidth="1"/>
    <col min="28" max="28" width="5.5703125" bestFit="1" customWidth="1"/>
  </cols>
  <sheetData>
    <row r="1" spans="1:72" s="17" customFormat="1" ht="63.75" thickBot="1" x14ac:dyDescent="0.3">
      <c r="A1" s="18" t="s">
        <v>9</v>
      </c>
      <c r="B1" s="18" t="s">
        <v>30</v>
      </c>
      <c r="C1" s="18" t="s">
        <v>5</v>
      </c>
      <c r="D1" s="18" t="s">
        <v>4</v>
      </c>
      <c r="E1" s="18" t="s">
        <v>3</v>
      </c>
      <c r="F1" s="18" t="s">
        <v>37</v>
      </c>
      <c r="G1" s="18" t="s">
        <v>35</v>
      </c>
      <c r="H1" s="18" t="s">
        <v>41</v>
      </c>
      <c r="I1" s="18" t="s">
        <v>96</v>
      </c>
      <c r="J1" s="18" t="s">
        <v>0</v>
      </c>
      <c r="K1" s="18" t="s">
        <v>38</v>
      </c>
      <c r="L1" s="18" t="s">
        <v>39</v>
      </c>
      <c r="M1" s="18" t="s">
        <v>67</v>
      </c>
      <c r="N1" s="18" t="s">
        <v>68</v>
      </c>
      <c r="O1" s="18" t="s">
        <v>69</v>
      </c>
      <c r="P1" s="18" t="s">
        <v>70</v>
      </c>
      <c r="Q1" s="18" t="s">
        <v>29</v>
      </c>
      <c r="R1" s="19" t="s">
        <v>65</v>
      </c>
      <c r="S1" s="19" t="s">
        <v>66</v>
      </c>
      <c r="T1" s="19" t="s">
        <v>2</v>
      </c>
      <c r="U1" s="19" t="s">
        <v>75</v>
      </c>
      <c r="V1" s="19" t="s">
        <v>76</v>
      </c>
      <c r="W1" s="19" t="s">
        <v>1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</row>
    <row r="2" spans="1:72" ht="15.75" thickBot="1" x14ac:dyDescent="0.3">
      <c r="A2" s="13" t="s">
        <v>24</v>
      </c>
      <c r="B2" s="13" t="s">
        <v>31</v>
      </c>
      <c r="C2" s="15" t="s">
        <v>44</v>
      </c>
      <c r="D2" s="15" t="s">
        <v>44</v>
      </c>
      <c r="E2" s="15" t="s">
        <v>44</v>
      </c>
      <c r="F2" s="13"/>
      <c r="G2" s="13"/>
      <c r="H2" s="13"/>
      <c r="I2" s="13">
        <v>3</v>
      </c>
      <c r="J2" s="13">
        <f>AVERAGE(L2:O2)</f>
        <v>3</v>
      </c>
      <c r="K2" s="13"/>
      <c r="L2" s="13">
        <f>IF(C2="OpenVSwtich",1,IF(C2="HP FlexFabric 12900",3,IF(C2="Cisco Nexus 9000",3,IF(C2="Juniper OCX1100",3,2))))</f>
        <v>3</v>
      </c>
      <c r="M2" s="4">
        <f>IF(C2="OpenVSwtich",1,IF(C2="HP FlexFabric 12900",3,IF(C2="Cisco Nexus 9000",3,IF(C2="Juniper OCX1100",3,2))))</f>
        <v>3</v>
      </c>
      <c r="N2" s="4">
        <f>IF(D2="OpenVSwtich",1,IF(D2="HP FlexFabric 12900",3,IF(D2="Cisco Nexus 9000",3,IF(D2="Juniper OCX1100",3,2))))</f>
        <v>3</v>
      </c>
      <c r="O2" s="4">
        <f>IF(E2="OpenVSwtich",1,IF(E2="HP FlexFabric 12900",3,IF(E2="Cisco Nexus 9000",3,IF(E2="Juniper OCX1100",3,2))))</f>
        <v>3</v>
      </c>
      <c r="P2" s="4">
        <f>IF(F2="OpenVSwtich",1,IF(F2="HP FlexFabric 12900",3,IF(F2="Cisco Nexus 9000",3,IF(F2="Juniper OCX1100",3,2))))</f>
        <v>2</v>
      </c>
      <c r="Q2" s="13">
        <f>IF((J2)&lt;2,10,IF(AND(J2&gt;=2,J2&lt;3),5,1))</f>
        <v>1</v>
      </c>
      <c r="R2" s="22">
        <f>BaseScore!$G$12</f>
        <v>3.7674103445999991</v>
      </c>
      <c r="S2" s="22">
        <f>EnvirScore!$H$12</f>
        <v>5.4071200631549994</v>
      </c>
      <c r="T2" s="22">
        <f t="shared" ref="T2:T10" si="0">Q2+R2+S2</f>
        <v>10.174530407754999</v>
      </c>
      <c r="U2" s="24">
        <f>IF((U3)&gt;9,1,IF(AND(U3&gt;7,U3&lt;=8.9),2,IF(AND(U3&gt;4,U3&lt;=6.9),3,IF(AND(U3&gt;0,U3&lt;=3.9),4,0))))</f>
        <v>3</v>
      </c>
      <c r="V2" s="25">
        <f>IF((V3)&gt;9,1,IF(AND(V3&gt;7,V3&lt;=8.9),2,IF(AND(V3&gt;4,V3&lt;=6.9),3,IF(AND(V3&gt;0,V3&lt;=3.9),4,0))))</f>
        <v>3</v>
      </c>
      <c r="W2" s="26">
        <f>IF((W3)&gt;9,1,IF(AND(W3&gt;7,W3&lt;=8.99),2,IF(AND(W3&gt;4,W3&lt;=6.99),3,IF(AND(W3&gt;0,W3&lt;=3.99),4,0))))</f>
        <v>3</v>
      </c>
      <c r="X2" s="20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</row>
    <row r="3" spans="1:72" x14ac:dyDescent="0.25">
      <c r="B3" t="s">
        <v>32</v>
      </c>
      <c r="C3" s="9" t="s">
        <v>44</v>
      </c>
      <c r="D3" s="9" t="s">
        <v>44</v>
      </c>
      <c r="E3" s="9" t="s">
        <v>44</v>
      </c>
      <c r="F3" s="3"/>
      <c r="I3">
        <v>3</v>
      </c>
      <c r="J3">
        <f>AVERAGE(L3:O3)</f>
        <v>3</v>
      </c>
      <c r="L3">
        <f t="shared" ref="L3:L4" si="1">IF(C3="OpenVSwtich",1,IF(C3="HP FlexFabric 12900",3,IF(C3="Cisco Nexus 9000",3,IF(C3="Juniper OCX1100",3,2))))</f>
        <v>3</v>
      </c>
      <c r="M3" s="4">
        <f>IF(C3="OpenVSwtich",1,IF(C3="HP FlexFabric 12900",3,IF(C3="Cisco Nexus 9000",3,IF(C3="Juniper OCX1100",3,2))))</f>
        <v>3</v>
      </c>
      <c r="N3" s="4">
        <f>IF(D3="OpenVSwtich",1,IF(D3="HP FlexFabric 12900",3,IF(D3="Cisco Nexus 9000",3,IF(D3="Juniper OCX1100",3,2))))</f>
        <v>3</v>
      </c>
      <c r="O3" s="4">
        <f t="shared" ref="O3:P4" si="2">IF(E3="OpenVSwtich",1,IF(E3="HP FlexFabric 12900",3,IF(E3="Cisco Nexus 9000",3,IF(E3="Juniper OCX1100",3,2))))</f>
        <v>3</v>
      </c>
      <c r="P3" s="4">
        <f t="shared" si="2"/>
        <v>2</v>
      </c>
      <c r="Q3" s="16">
        <f t="shared" ref="Q3:Q4" si="3">IF((J3)&lt;2,10,IF(AND(J3&gt;=2,J3&lt;3),5,1))</f>
        <v>1</v>
      </c>
      <c r="R3" s="22">
        <f>BaseScore!$G$12</f>
        <v>3.7674103445999991</v>
      </c>
      <c r="S3" s="22">
        <f>EnvirScore!$H$12</f>
        <v>5.4071200631549994</v>
      </c>
      <c r="T3" s="22">
        <f t="shared" si="0"/>
        <v>10.174530407754999</v>
      </c>
      <c r="U3" s="31">
        <f>((Q2+R2)+(Q3+R3)+(Q4+R4))/3</f>
        <v>4.7674103445999991</v>
      </c>
      <c r="V3" s="31">
        <f>((Q2+S2)+(Q3+S3)+(Q4+S4))/3</f>
        <v>6.4071200631549994</v>
      </c>
      <c r="W3" s="30">
        <f>(SUM(U3:V3))/2</f>
        <v>5.5872652038774993</v>
      </c>
      <c r="X3" s="20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spans="1:72" ht="15.75" thickBot="1" x14ac:dyDescent="0.3">
      <c r="B4" t="s">
        <v>33</v>
      </c>
      <c r="C4" s="9" t="s">
        <v>44</v>
      </c>
      <c r="D4" s="9" t="s">
        <v>44</v>
      </c>
      <c r="E4" s="9" t="s">
        <v>44</v>
      </c>
      <c r="F4" s="3"/>
      <c r="I4">
        <v>3</v>
      </c>
      <c r="J4">
        <f>AVERAGE(L4:O4)</f>
        <v>3</v>
      </c>
      <c r="L4">
        <f t="shared" si="1"/>
        <v>3</v>
      </c>
      <c r="M4" s="4">
        <f>IF(C4="OpenVSwtich",1,IF(C4="HP FlexFabric 12900",3,IF(C4="Cisco Nexus 9000",3,IF(C4="Juniper OCX1100",3,2))))</f>
        <v>3</v>
      </c>
      <c r="N4" s="4">
        <f>IF(D4="OpenVSwtich",1,IF(D4="HP FlexFabric 12900",3,IF(D4="Cisco Nexus 9000",3,IF(D4="Juniper OCX1100",3,2))))</f>
        <v>3</v>
      </c>
      <c r="O4" s="4">
        <f t="shared" si="2"/>
        <v>3</v>
      </c>
      <c r="P4" s="4">
        <f t="shared" si="2"/>
        <v>2</v>
      </c>
      <c r="Q4" s="16">
        <f t="shared" si="3"/>
        <v>1</v>
      </c>
      <c r="R4" s="22">
        <f>BaseScore!$G$12</f>
        <v>3.7674103445999991</v>
      </c>
      <c r="S4" s="22">
        <f>EnvirScore!$H$12</f>
        <v>5.4071200631549994</v>
      </c>
      <c r="T4" s="22">
        <f t="shared" si="0"/>
        <v>10.174530407754999</v>
      </c>
      <c r="U4" s="12"/>
      <c r="V4" s="12"/>
      <c r="W4" s="12"/>
      <c r="X4" s="20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72" ht="15.75" thickBot="1" x14ac:dyDescent="0.3">
      <c r="A5" s="13" t="s">
        <v>82</v>
      </c>
      <c r="B5" s="13" t="s">
        <v>31</v>
      </c>
      <c r="C5" s="13"/>
      <c r="D5" s="13"/>
      <c r="E5" s="13"/>
      <c r="F5" s="13">
        <v>9.59</v>
      </c>
      <c r="G5" s="13">
        <v>0.69539461460959506</v>
      </c>
      <c r="H5" s="13">
        <f t="shared" ref="H5" si="4">IF(G5=0,1,G5)</f>
        <v>0.69539461460959506</v>
      </c>
      <c r="I5" s="13">
        <v>1</v>
      </c>
      <c r="J5" s="13">
        <f>SUM(G5:I5)</f>
        <v>2.3907892292191901</v>
      </c>
      <c r="K5" s="13">
        <f t="shared" ref="K5" si="5">J5/H5</f>
        <v>3.4380324192781031</v>
      </c>
      <c r="L5" s="13">
        <f>H5</f>
        <v>0.69539461460959506</v>
      </c>
      <c r="M5" s="13">
        <f>L6-L5*0.25</f>
        <v>9.4161513463476005</v>
      </c>
      <c r="N5" s="13">
        <f>M5-L5*0.66</f>
        <v>8.9571909007052675</v>
      </c>
      <c r="O5" s="13">
        <f>N5-L5*1</f>
        <v>8.261796286095672</v>
      </c>
      <c r="P5" s="13">
        <f>O5-L5*1.5</f>
        <v>7.2187043641812796</v>
      </c>
      <c r="Q5" s="13">
        <f>IF((F5)&lt;P5,1,IF(AND(F5&gt;=P5,F5&lt;O5),7.75,IF(AND(F5&gt;=O5,F5&lt;N5),5.5,IF(AND(F5&gt;=N5,F5&lt;M5),3.25,IF(AND(F5&gt;=M5,F5&lt;=M6),1,IF(AND(F5&gt;M6,F5&lt;=N6),3.25,IF(AND(F5&gt;N6,F5&lt;=O6),5.5,IF(AND(F5&gt;O6,F5&lt;=P6),7.75,10))))))))</f>
        <v>1</v>
      </c>
      <c r="R5" s="22">
        <f>BaseScore!$G$13</f>
        <v>3.7647008405999998</v>
      </c>
      <c r="S5" s="22">
        <f>EnvirScore!$H$13</f>
        <v>3.4787900567549999</v>
      </c>
      <c r="T5" s="22">
        <f t="shared" si="0"/>
        <v>8.2434908973549987</v>
      </c>
      <c r="U5" s="24">
        <f>IF((U6)&gt;9,1,IF(AND(U6&gt;7,U6&lt;=8.9),2,IF(AND(U6&gt;4,U6&lt;=6.9),3,IF(AND(U6&gt;0,U6&lt;=3.9),4,0))))</f>
        <v>2</v>
      </c>
      <c r="V5" s="25">
        <f>IF((V6)&gt;9,1,IF(AND(V6&gt;7,V6&lt;=8.9),2,IF(AND(V6&gt;4,V6&lt;=6.9),3,IF(AND(V6&gt;0,V6&lt;=3.9),4,0))))</f>
        <v>3</v>
      </c>
      <c r="W5" s="26">
        <f>IF((W6)&gt;9,1,IF(AND(W6&gt;7,W6&lt;=8.9),2,IF(AND(W6&gt;4,W6&lt;=6.9),3,IF(AND(W6&gt;0,W6&lt;=3.9),4,0))))</f>
        <v>3</v>
      </c>
      <c r="X5" s="20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</row>
    <row r="6" spans="1:72" x14ac:dyDescent="0.25">
      <c r="B6" t="s">
        <v>32</v>
      </c>
      <c r="C6" s="3"/>
      <c r="D6" s="3"/>
      <c r="E6" s="3"/>
      <c r="F6">
        <v>7.7370000000000001</v>
      </c>
      <c r="L6">
        <f>MEDIAN(F5:F7)</f>
        <v>9.59</v>
      </c>
      <c r="M6">
        <f>L6+L5*0.25</f>
        <v>9.7638486536523992</v>
      </c>
      <c r="N6">
        <f>M6+L5*0.66</f>
        <v>10.222809099294732</v>
      </c>
      <c r="O6">
        <f>N6+L5*1</f>
        <v>10.918203713904328</v>
      </c>
      <c r="P6">
        <f>O6+L5*1.5</f>
        <v>11.96129563581872</v>
      </c>
      <c r="Q6">
        <f>IF((F6)&lt;P5,10,IF(AND(F6&gt;=P5,F6&lt;O5),7.75,IF(AND(F6&gt;=O5,F6&lt;N5),5.5,IF(AND(F6&gt;=N5,F6&lt;M5),3.25,IF(AND(F6&gt;=M5,F6&lt;=M6),1,IF(AND(F6&gt;M6,F6&lt;=N6),3.25,IF(AND(F6&gt;N6,F6&lt;=O6),5.5,IF(AND(F6&gt;O6,F6&lt;=P6),7.75,10))))))))</f>
        <v>7.75</v>
      </c>
      <c r="R6" s="22">
        <f>BaseScore!$G$13</f>
        <v>3.7647008405999998</v>
      </c>
      <c r="S6" s="22">
        <f>EnvirScore!$H$13</f>
        <v>3.4787900567549999</v>
      </c>
      <c r="T6" s="22">
        <f t="shared" si="0"/>
        <v>14.993490897354999</v>
      </c>
      <c r="U6" s="31">
        <f>((Q5+R5)+(Q6+R6)+(Q7+R7))/3</f>
        <v>7.0147008405999998</v>
      </c>
      <c r="V6" s="31">
        <f>((Q5+S5)+(Q6+S6)+(Q7+S7))/3</f>
        <v>6.728790056754999</v>
      </c>
      <c r="W6" s="30">
        <f>(SUM(U6:V6))/2</f>
        <v>6.8717454486774994</v>
      </c>
      <c r="X6" s="20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</row>
    <row r="7" spans="1:72" ht="15.75" thickBot="1" x14ac:dyDescent="0.3">
      <c r="B7" t="s">
        <v>33</v>
      </c>
      <c r="C7" s="3"/>
      <c r="D7" s="3"/>
      <c r="E7" s="3"/>
      <c r="F7">
        <v>9.6</v>
      </c>
      <c r="Q7">
        <f>IF((F7)&lt;P5,10,IF(AND(F7&gt;=P5,F7&lt;O5),7.75,IF(AND(F7&gt;=O5,F7&lt;N5),5.5,IF(AND(F7&gt;=N5,F7&lt;M5),3.25,IF(AND(F7&gt;=M5,F7&lt;=M6),1,IF(AND(F7&gt;M6,F7&lt;=N6),3.25,IF(AND(F7&gt;N6,F7&lt;=O6),5.5,IF(AND(F7&gt;O6,F7&lt;=P6),7.75,10))))))))</f>
        <v>1</v>
      </c>
      <c r="R7" s="22">
        <f>BaseScore!$G$13</f>
        <v>3.7647008405999998</v>
      </c>
      <c r="S7" s="22">
        <f>EnvirScore!$H$13</f>
        <v>3.4787900567549999</v>
      </c>
      <c r="T7" s="22">
        <f t="shared" si="0"/>
        <v>8.2434908973549987</v>
      </c>
      <c r="U7" s="12"/>
      <c r="V7" s="12"/>
      <c r="W7" s="12"/>
      <c r="X7" s="20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</row>
    <row r="8" spans="1:72" ht="15.75" thickBot="1" x14ac:dyDescent="0.3">
      <c r="A8" s="13" t="s">
        <v>107</v>
      </c>
      <c r="B8" s="13" t="s">
        <v>31</v>
      </c>
      <c r="C8" s="13"/>
      <c r="D8" s="13"/>
      <c r="E8" s="13"/>
      <c r="F8" s="13">
        <v>5.4170999999999996</v>
      </c>
      <c r="G8" s="13">
        <v>8.7477390952078182E-2</v>
      </c>
      <c r="H8" s="13">
        <f t="shared" ref="H8" si="6">IF(G8=0,1,G8)</f>
        <v>8.7477390952078182E-2</v>
      </c>
      <c r="I8" s="13">
        <v>1</v>
      </c>
      <c r="J8" s="13">
        <f>SUM(F8:F10)</f>
        <v>14.202500000000001</v>
      </c>
      <c r="K8" s="13">
        <f t="shared" ref="K8" si="7">J8/H8</f>
        <v>162.35623679929373</v>
      </c>
      <c r="L8" s="13">
        <f>H8</f>
        <v>8.7477390952078182E-2</v>
      </c>
      <c r="M8" s="13">
        <f>L9-L8*0.25</f>
        <v>4.3721306522619807</v>
      </c>
      <c r="N8" s="13">
        <f>M8-L8*0.66</f>
        <v>4.3143955742336093</v>
      </c>
      <c r="O8" s="13">
        <f>N8-L8*1</f>
        <v>4.2269181832815308</v>
      </c>
      <c r="P8" s="13">
        <f>O8-L8*1.5</f>
        <v>4.0957020968534135</v>
      </c>
      <c r="Q8" s="13">
        <f>IF((F8)&lt;P8,1,IF(AND(F8&gt;=P8,F8&lt;O8),7.75,IF(AND(F8&gt;=O8,F8&lt;N8),5.5,IF(AND(F8&gt;=N8,F8&lt;M8),3.25,IF(AND(F8&gt;=M8,F8&lt;=M9),1,IF(AND(F8&gt;M9,F8&lt;=N9),3.25,IF(AND(F8&gt;N9,F8&lt;=O9),5.5,IF(AND(F8&gt;O9,F8&lt;=P9),7.75,10))))))))</f>
        <v>10</v>
      </c>
      <c r="R8" s="22">
        <f>BaseScore!$G$14</f>
        <v>3.7647008405999998</v>
      </c>
      <c r="S8" s="22">
        <f>EnvirScore!$H$14</f>
        <v>3.4787900567549999</v>
      </c>
      <c r="T8" s="22">
        <f t="shared" si="0"/>
        <v>17.243490897354999</v>
      </c>
      <c r="U8" s="24">
        <f>IF((U9)&gt;9,1,IF(AND(U9&gt;7,U9&lt;=8.9),2,IF(AND(U9&gt;4,U9&lt;=6.9),3,IF(AND(U9&gt;0,U9&lt;=3.9),4,0))))</f>
        <v>2</v>
      </c>
      <c r="V8" s="25">
        <f>IF((V9)&gt;9,1,IF(AND(V9&gt;7,V9&lt;=8.9),2,IF(AND(V9&gt;4,V9&lt;=6.9),3,IF(AND(V9&gt;0,V9&lt;=3.9),4,0))))</f>
        <v>2</v>
      </c>
      <c r="W8" s="26">
        <f>IF((W9)&gt;9,1,IF(AND(W9&gt;7,W9&lt;=8.9),2,IF(AND(W9&gt;4,W9&lt;=6.9),3,IF(AND(W9&gt;0,W9&lt;=3.9),4,0))))</f>
        <v>2</v>
      </c>
      <c r="X8" s="20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</row>
    <row r="9" spans="1:72" x14ac:dyDescent="0.25">
      <c r="B9" t="s">
        <v>32</v>
      </c>
      <c r="C9" s="3"/>
      <c r="D9" s="3"/>
      <c r="E9" s="3"/>
      <c r="F9">
        <v>4.3940000000000001</v>
      </c>
      <c r="L9">
        <f>MEDIAN(F8:F10)</f>
        <v>4.3940000000000001</v>
      </c>
      <c r="M9">
        <f>L9+L8*0.25</f>
        <v>4.4158693477380195</v>
      </c>
      <c r="N9">
        <f>M9+L8*0.66</f>
        <v>4.4736044257663909</v>
      </c>
      <c r="O9">
        <f>N9+L8*1</f>
        <v>4.5610818167184695</v>
      </c>
      <c r="P9">
        <f>O9+L8*1.5</f>
        <v>4.6922979031465868</v>
      </c>
      <c r="Q9">
        <f>IF((F9)&lt;P8,10,IF(AND(F9&gt;=P8,F9&lt;O8),7.75,IF(AND(F9&gt;=O8,F9&lt;N8),5.5,IF(AND(F9&gt;=N8,F9&lt;M8),3.25,IF(AND(F9&gt;=M8,F9&lt;=M9),1,IF(AND(F9&gt;M9,F9&lt;=N9),3.25,IF(AND(F9&gt;N9,F9&lt;=O9),5.5,IF(AND(F9&gt;O9,F9&lt;=P9),7.75,10))))))))</f>
        <v>1</v>
      </c>
      <c r="R9" s="22">
        <f>BaseScore!$G$14</f>
        <v>3.7647008405999998</v>
      </c>
      <c r="S9" s="22">
        <f>EnvirScore!$H$14</f>
        <v>3.4787900567549999</v>
      </c>
      <c r="T9" s="22">
        <f t="shared" si="0"/>
        <v>8.2434908973549987</v>
      </c>
      <c r="U9" s="31">
        <f>((Q8+R8)+(Q9+R9)+(Q10+R10))/3</f>
        <v>7.7647008405999998</v>
      </c>
      <c r="V9" s="31">
        <f>((Q8+S8)+(Q9+S9)+(Q10+S10))/3</f>
        <v>7.478790056754999</v>
      </c>
      <c r="W9" s="30">
        <f>(SUM(U9:V9))/2</f>
        <v>7.6217454486774994</v>
      </c>
      <c r="X9" s="20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</row>
    <row r="10" spans="1:72" x14ac:dyDescent="0.25">
      <c r="B10" t="s">
        <v>33</v>
      </c>
      <c r="C10" s="3"/>
      <c r="D10" s="3"/>
      <c r="E10" s="3"/>
      <c r="F10">
        <v>4.3914</v>
      </c>
      <c r="Q10">
        <f>IF((F10)&lt;P8,10,IF(AND(F10&gt;=P8,F10&lt;O8),7.75,IF(AND(F10&gt;=O8,F10&lt;N8),5.5,IF(AND(F10&gt;=N8,F10&lt;M8),3.25,IF(AND(F10&gt;=M8,F10&lt;=M9),1,IF(AND(F10&gt;M9,F10&lt;=N9),3.25,IF(AND(F10&gt;N9,F10&lt;=O9),5.5,IF(AND(F10&gt;O9,F10&lt;=P9),7.75,10))))))))</f>
        <v>1</v>
      </c>
      <c r="R10" s="22">
        <f>BaseScore!$G$14</f>
        <v>3.7647008405999998</v>
      </c>
      <c r="S10" s="22">
        <f>EnvirScore!$H$14</f>
        <v>3.4787900567549999</v>
      </c>
      <c r="T10" s="22">
        <f t="shared" si="0"/>
        <v>8.2434908973549987</v>
      </c>
      <c r="U10" s="11"/>
      <c r="V10" s="11"/>
      <c r="W10" s="11"/>
      <c r="X10" s="2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</row>
    <row r="11" spans="1:7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</row>
    <row r="12" spans="1:72" ht="15.75" thickBot="1" x14ac:dyDescent="0.3">
      <c r="T12" s="2" t="s">
        <v>40</v>
      </c>
      <c r="U12" s="21">
        <f>(SUM(U3,U6,U9))/3</f>
        <v>6.5156040085999996</v>
      </c>
      <c r="V12" s="21">
        <f>(SUM(V3,V6,V9))/3</f>
        <v>6.8715667255549988</v>
      </c>
      <c r="W12" s="30">
        <f>(SUM(U12:V12))/2</f>
        <v>6.6935853670774996</v>
      </c>
      <c r="Y12" s="16"/>
      <c r="Z12" s="16"/>
      <c r="AA12" s="16"/>
      <c r="AB12" s="16"/>
    </row>
    <row r="13" spans="1:72" ht="19.5" thickBot="1" x14ac:dyDescent="0.35">
      <c r="R13" s="8"/>
      <c r="T13" s="10" t="s">
        <v>54</v>
      </c>
      <c r="U13" s="27">
        <f>IF((U12)&gt;9,1,IF(AND(U12&gt;7,U12&lt;=8.99),2,IF(AND(U12&gt;4,U12&lt;=6.99),3,IF(AND(U12&gt;0,U12&lt;=3.99),4,0))))</f>
        <v>3</v>
      </c>
      <c r="V13" s="28">
        <f>IF((V12)&gt;9,1,IF(AND(V12&gt;7,V12&lt;=8.9),2,IF(AND(V12&gt;4,V12&lt;=6.9),3,IF(AND(V12&gt;0,V12&lt;=3.9),4,0))))</f>
        <v>3</v>
      </c>
      <c r="W13" s="29">
        <f>IF((W12)&gt;9,1,IF(AND(W12&gt;7,W12&lt;=8.9),2,IF(AND(W12&gt;4,W12&lt;=6.9),3,IF(AND(W12&gt;0,W12&lt;=3.9),4,0))))</f>
        <v>3</v>
      </c>
      <c r="Y13" s="30"/>
      <c r="Z13" s="30"/>
      <c r="AA13" s="16"/>
      <c r="AB13" s="16"/>
    </row>
    <row r="14" spans="1:72" x14ac:dyDescent="0.25">
      <c r="O14" s="7"/>
      <c r="P14" s="7"/>
    </row>
    <row r="15" spans="1:72" x14ac:dyDescent="0.25">
      <c r="O15" s="7"/>
      <c r="P15" s="7"/>
      <c r="S15" s="2" t="s">
        <v>55</v>
      </c>
      <c r="T15" s="39" t="s">
        <v>71</v>
      </c>
      <c r="U15" s="39"/>
      <c r="V15" s="39"/>
      <c r="W15" s="39"/>
      <c r="X15" s="39"/>
    </row>
    <row r="16" spans="1:72" x14ac:dyDescent="0.25">
      <c r="O16" s="7"/>
      <c r="P16" s="7"/>
      <c r="T16" s="40" t="s">
        <v>72</v>
      </c>
      <c r="U16" s="40"/>
      <c r="V16" s="40"/>
      <c r="W16" s="40"/>
      <c r="X16" s="40"/>
    </row>
    <row r="17" spans="20:24" x14ac:dyDescent="0.25">
      <c r="T17" s="41" t="s">
        <v>73</v>
      </c>
      <c r="U17" s="41"/>
      <c r="V17" s="41"/>
      <c r="W17" s="41"/>
      <c r="X17" s="41"/>
    </row>
    <row r="18" spans="20:24" x14ac:dyDescent="0.25">
      <c r="T18" s="42" t="s">
        <v>74</v>
      </c>
      <c r="U18" s="42"/>
      <c r="V18" s="42"/>
      <c r="W18" s="42"/>
      <c r="X18" s="42"/>
    </row>
  </sheetData>
  <dataConsolidate/>
  <mergeCells count="4">
    <mergeCell ref="T15:X15"/>
    <mergeCell ref="T16:X16"/>
    <mergeCell ref="T17:X17"/>
    <mergeCell ref="T18:X18"/>
  </mergeCells>
  <conditionalFormatting sqref="W2">
    <cfRule type="cellIs" dxfId="611" priority="45" operator="equal">
      <formula>1</formula>
    </cfRule>
    <cfRule type="cellIs" dxfId="610" priority="46" operator="equal">
      <formula>2</formula>
    </cfRule>
    <cfRule type="cellIs" dxfId="609" priority="47" operator="equal">
      <formula>3</formula>
    </cfRule>
    <cfRule type="cellIs" dxfId="608" priority="48" operator="equal">
      <formula>4</formula>
    </cfRule>
  </conditionalFormatting>
  <conditionalFormatting sqref="U2">
    <cfRule type="cellIs" dxfId="607" priority="41" operator="equal">
      <formula>1</formula>
    </cfRule>
    <cfRule type="cellIs" dxfId="606" priority="42" operator="equal">
      <formula>2</formula>
    </cfRule>
    <cfRule type="cellIs" dxfId="605" priority="43" operator="equal">
      <formula>3</formula>
    </cfRule>
    <cfRule type="cellIs" dxfId="604" priority="44" operator="equal">
      <formula>4</formula>
    </cfRule>
  </conditionalFormatting>
  <conditionalFormatting sqref="V2">
    <cfRule type="cellIs" dxfId="603" priority="37" operator="equal">
      <formula>1</formula>
    </cfRule>
    <cfRule type="cellIs" dxfId="602" priority="38" operator="equal">
      <formula>2</formula>
    </cfRule>
    <cfRule type="cellIs" dxfId="601" priority="39" operator="equal">
      <formula>3</formula>
    </cfRule>
    <cfRule type="cellIs" dxfId="600" priority="40" operator="equal">
      <formula>4</formula>
    </cfRule>
  </conditionalFormatting>
  <conditionalFormatting sqref="W5">
    <cfRule type="cellIs" dxfId="599" priority="33" operator="equal">
      <formula>1</formula>
    </cfRule>
    <cfRule type="cellIs" dxfId="598" priority="34" operator="equal">
      <formula>2</formula>
    </cfRule>
    <cfRule type="cellIs" dxfId="597" priority="35" operator="equal">
      <formula>3</formula>
    </cfRule>
    <cfRule type="cellIs" dxfId="596" priority="36" operator="equal">
      <formula>4</formula>
    </cfRule>
  </conditionalFormatting>
  <conditionalFormatting sqref="U5">
    <cfRule type="cellIs" dxfId="595" priority="29" operator="equal">
      <formula>1</formula>
    </cfRule>
    <cfRule type="cellIs" dxfId="594" priority="30" operator="equal">
      <formula>2</formula>
    </cfRule>
    <cfRule type="cellIs" dxfId="593" priority="31" operator="equal">
      <formula>3</formula>
    </cfRule>
    <cfRule type="cellIs" dxfId="592" priority="32" operator="equal">
      <formula>4</formula>
    </cfRule>
  </conditionalFormatting>
  <conditionalFormatting sqref="V5">
    <cfRule type="cellIs" dxfId="591" priority="25" operator="equal">
      <formula>1</formula>
    </cfRule>
    <cfRule type="cellIs" dxfId="590" priority="26" operator="equal">
      <formula>2</formula>
    </cfRule>
    <cfRule type="cellIs" dxfId="589" priority="27" operator="equal">
      <formula>3</formula>
    </cfRule>
    <cfRule type="cellIs" dxfId="588" priority="28" operator="equal">
      <formula>4</formula>
    </cfRule>
  </conditionalFormatting>
  <conditionalFormatting sqref="W8">
    <cfRule type="cellIs" dxfId="587" priority="21" operator="equal">
      <formula>1</formula>
    </cfRule>
    <cfRule type="cellIs" dxfId="586" priority="22" operator="equal">
      <formula>2</formula>
    </cfRule>
    <cfRule type="cellIs" dxfId="585" priority="23" operator="equal">
      <formula>3</formula>
    </cfRule>
    <cfRule type="cellIs" dxfId="584" priority="24" operator="equal">
      <formula>4</formula>
    </cfRule>
  </conditionalFormatting>
  <conditionalFormatting sqref="U8">
    <cfRule type="cellIs" dxfId="583" priority="17" operator="equal">
      <formula>1</formula>
    </cfRule>
    <cfRule type="cellIs" dxfId="582" priority="18" operator="equal">
      <formula>2</formula>
    </cfRule>
    <cfRule type="cellIs" dxfId="581" priority="19" operator="equal">
      <formula>3</formula>
    </cfRule>
    <cfRule type="cellIs" dxfId="580" priority="20" operator="equal">
      <formula>4</formula>
    </cfRule>
  </conditionalFormatting>
  <conditionalFormatting sqref="V8">
    <cfRule type="cellIs" dxfId="579" priority="13" operator="equal">
      <formula>1</formula>
    </cfRule>
    <cfRule type="cellIs" dxfId="578" priority="14" operator="equal">
      <formula>2</formula>
    </cfRule>
    <cfRule type="cellIs" dxfId="577" priority="15" operator="equal">
      <formula>3</formula>
    </cfRule>
    <cfRule type="cellIs" dxfId="576" priority="16" operator="equal">
      <formula>4</formula>
    </cfRule>
  </conditionalFormatting>
  <conditionalFormatting sqref="W13">
    <cfRule type="cellIs" dxfId="575" priority="9" operator="equal">
      <formula>1</formula>
    </cfRule>
    <cfRule type="cellIs" dxfId="574" priority="10" operator="equal">
      <formula>2</formula>
    </cfRule>
    <cfRule type="cellIs" dxfId="573" priority="11" operator="equal">
      <formula>3</formula>
    </cfRule>
    <cfRule type="cellIs" dxfId="572" priority="12" operator="equal">
      <formula>4</formula>
    </cfRule>
  </conditionalFormatting>
  <conditionalFormatting sqref="U13">
    <cfRule type="cellIs" dxfId="571" priority="5" operator="equal">
      <formula>1</formula>
    </cfRule>
    <cfRule type="cellIs" dxfId="570" priority="6" operator="equal">
      <formula>2</formula>
    </cfRule>
    <cfRule type="cellIs" dxfId="569" priority="7" operator="equal">
      <formula>3</formula>
    </cfRule>
    <cfRule type="cellIs" dxfId="568" priority="8" operator="equal">
      <formula>4</formula>
    </cfRule>
  </conditionalFormatting>
  <conditionalFormatting sqref="V13">
    <cfRule type="cellIs" dxfId="567" priority="1" operator="equal">
      <formula>1</formula>
    </cfRule>
    <cfRule type="cellIs" dxfId="566" priority="2" operator="equal">
      <formula>2</formula>
    </cfRule>
    <cfRule type="cellIs" dxfId="565" priority="3" operator="equal">
      <formula>3</formula>
    </cfRule>
    <cfRule type="cellIs" dxfId="564" priority="4" operator="equal">
      <formula>4</formula>
    </cfRule>
  </conditionalFormatting>
  <dataValidations count="1">
    <dataValidation type="list" allowBlank="1" showInputMessage="1" showErrorMessage="1" sqref="C2:E4">
      <formula1>Types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"/>
  <sheetViews>
    <sheetView topLeftCell="A7" zoomScale="90" zoomScaleNormal="90" workbookViewId="0">
      <selection activeCell="N26" sqref="N26"/>
    </sheetView>
  </sheetViews>
  <sheetFormatPr defaultRowHeight="15" x14ac:dyDescent="0.25"/>
  <cols>
    <col min="1" max="1" width="27.28515625" bestFit="1" customWidth="1"/>
    <col min="2" max="2" width="6.7109375" bestFit="1" customWidth="1"/>
    <col min="3" max="3" width="10.7109375" customWidth="1"/>
    <col min="4" max="4" width="10.85546875" bestFit="1" customWidth="1"/>
    <col min="5" max="6" width="10.85546875" customWidth="1"/>
    <col min="7" max="7" width="8.85546875" bestFit="1" customWidth="1"/>
    <col min="8" max="8" width="15.7109375" customWidth="1"/>
    <col min="9" max="9" width="17.7109375" bestFit="1" customWidth="1"/>
    <col min="10" max="10" width="15.5703125" bestFit="1" customWidth="1"/>
    <col min="11" max="11" width="10" bestFit="1" customWidth="1"/>
    <col min="12" max="12" width="13.85546875" customWidth="1"/>
    <col min="13" max="14" width="10.42578125" customWidth="1"/>
    <col min="16" max="17" width="10.28515625" customWidth="1"/>
    <col min="18" max="18" width="7.7109375" bestFit="1" customWidth="1"/>
    <col min="19" max="19" width="6.140625" bestFit="1" customWidth="1"/>
    <col min="20" max="20" width="6.140625" customWidth="1"/>
    <col min="21" max="21" width="14.7109375" bestFit="1" customWidth="1"/>
    <col min="22" max="23" width="14.7109375" customWidth="1"/>
    <col min="24" max="24" width="12" customWidth="1"/>
    <col min="25" max="25" width="5" customWidth="1"/>
    <col min="26" max="26" width="6" bestFit="1" customWidth="1"/>
    <col min="27" max="27" width="5" customWidth="1"/>
    <col min="28" max="28" width="7.7109375" bestFit="1" customWidth="1"/>
    <col min="29" max="29" width="5.5703125" bestFit="1" customWidth="1"/>
  </cols>
  <sheetData>
    <row r="1" spans="1:70" s="17" customFormat="1" ht="63.75" thickBot="1" x14ac:dyDescent="0.3">
      <c r="A1" s="18" t="s">
        <v>9</v>
      </c>
      <c r="B1" s="18" t="s">
        <v>30</v>
      </c>
      <c r="C1" s="18" t="s">
        <v>5</v>
      </c>
      <c r="D1" s="18" t="s">
        <v>77</v>
      </c>
      <c r="E1" s="18" t="s">
        <v>78</v>
      </c>
      <c r="F1" s="18" t="s">
        <v>3</v>
      </c>
      <c r="G1" s="18" t="s">
        <v>37</v>
      </c>
      <c r="H1" s="18" t="s">
        <v>35</v>
      </c>
      <c r="I1" s="18" t="s">
        <v>41</v>
      </c>
      <c r="J1" s="18" t="s">
        <v>36</v>
      </c>
      <c r="K1" s="18" t="s">
        <v>0</v>
      </c>
      <c r="L1" s="18" t="s">
        <v>38</v>
      </c>
      <c r="M1" s="18" t="s">
        <v>39</v>
      </c>
      <c r="N1" s="18" t="s">
        <v>67</v>
      </c>
      <c r="O1" s="18" t="s">
        <v>68</v>
      </c>
      <c r="P1" s="18" t="s">
        <v>69</v>
      </c>
      <c r="Q1" s="18" t="s">
        <v>70</v>
      </c>
      <c r="R1" s="18" t="s">
        <v>29</v>
      </c>
      <c r="S1" s="19" t="s">
        <v>65</v>
      </c>
      <c r="T1" s="19" t="s">
        <v>66</v>
      </c>
      <c r="U1" s="19" t="s">
        <v>2</v>
      </c>
      <c r="V1" s="19" t="s">
        <v>75</v>
      </c>
      <c r="W1" s="19" t="s">
        <v>76</v>
      </c>
      <c r="X1" s="19" t="s">
        <v>79</v>
      </c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</row>
    <row r="2" spans="1:70" s="13" customFormat="1" ht="15.75" thickBot="1" x14ac:dyDescent="0.3">
      <c r="A2" s="13" t="s">
        <v>10</v>
      </c>
      <c r="B2" s="13" t="s">
        <v>31</v>
      </c>
      <c r="C2" s="13">
        <v>12</v>
      </c>
      <c r="D2" s="13">
        <v>24</v>
      </c>
      <c r="E2" s="13">
        <v>48</v>
      </c>
      <c r="F2" s="13">
        <v>96</v>
      </c>
      <c r="H2" s="13">
        <v>0</v>
      </c>
      <c r="I2" s="13">
        <v>1</v>
      </c>
      <c r="J2" s="13">
        <v>4</v>
      </c>
      <c r="K2" s="13">
        <v>1</v>
      </c>
      <c r="R2" s="13">
        <f>IF(AND(C2=C3,C2=C4),1,10)</f>
        <v>1</v>
      </c>
      <c r="S2" s="22">
        <f>BaseScore!$G$2</f>
        <v>3.2774417045999993</v>
      </c>
      <c r="T2" s="22">
        <f>EnvirScore!$G$2</f>
        <v>2.8888913045999995</v>
      </c>
      <c r="U2" s="22">
        <f>R2+S2+T2</f>
        <v>7.1663330091999988</v>
      </c>
      <c r="V2" s="24">
        <f>IF((V3)&gt;9,1,IF(AND(V3&gt;7,V3&lt;=8.9),2,IF(AND(V3&gt;4,V3&lt;=6.9),3,IF(AND(V3&gt;0,V3&lt;=3.9),4,0))))</f>
        <v>3</v>
      </c>
      <c r="W2" s="25">
        <f>IF((W3)&gt;9,1,IF(AND(W3&gt;7,W3&lt;=8.9),2,IF(AND(W3&gt;4,W3&lt;=6.9),3,IF(AND(W3&gt;0,W3&lt;=3.9),4,0))))</f>
        <v>4</v>
      </c>
      <c r="X2" s="26">
        <f>IF((X3)&gt;9,1,IF(AND(X3&gt;7,X3&lt;=8.9),2,IF(AND(X3&gt;4,X3&lt;=6.9),3,IF(AND(X3&gt;0,X3&lt;=3.9),4,0))))</f>
        <v>3</v>
      </c>
      <c r="Y2" s="20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s="16" customFormat="1" x14ac:dyDescent="0.25">
      <c r="B3" s="16" t="s">
        <v>32</v>
      </c>
      <c r="C3" s="16">
        <v>12</v>
      </c>
      <c r="D3" s="16">
        <v>24</v>
      </c>
      <c r="E3" s="16">
        <v>48</v>
      </c>
      <c r="F3" s="16">
        <v>96</v>
      </c>
      <c r="G3" s="3"/>
      <c r="H3" s="16">
        <v>0</v>
      </c>
      <c r="I3" s="16">
        <v>1</v>
      </c>
      <c r="J3" s="16">
        <v>4</v>
      </c>
      <c r="K3" s="16">
        <v>1</v>
      </c>
      <c r="R3" s="16">
        <f>IF(AND(D2=D3,D2=D4),1,10)</f>
        <v>1</v>
      </c>
      <c r="S3" s="22">
        <f>BaseScore!$G$2</f>
        <v>3.2774417045999993</v>
      </c>
      <c r="T3" s="22">
        <f>EnvirScore!$G$2</f>
        <v>2.8888913045999995</v>
      </c>
      <c r="U3" s="22">
        <f t="shared" ref="U3:U34" si="0">R3+S3+T3</f>
        <v>7.1663330091999988</v>
      </c>
      <c r="V3" s="31">
        <f>((R2+S2)+(R3+S3)+(R4+S4))/3</f>
        <v>4.2774417045999993</v>
      </c>
      <c r="W3" s="31">
        <f>((R2+T2)+(R3+T3)+(R4+T4))/3</f>
        <v>3.8888913045999995</v>
      </c>
      <c r="X3" s="30">
        <f>(SUM(V3:W3))/2</f>
        <v>4.0831665045999994</v>
      </c>
      <c r="Y3" s="20"/>
      <c r="Z3" s="30"/>
    </row>
    <row r="4" spans="1:70" s="16" customFormat="1" ht="15.75" thickBot="1" x14ac:dyDescent="0.3">
      <c r="B4" s="16" t="s">
        <v>33</v>
      </c>
      <c r="C4" s="16">
        <v>12</v>
      </c>
      <c r="D4" s="16">
        <v>24</v>
      </c>
      <c r="E4" s="16">
        <v>48</v>
      </c>
      <c r="F4" s="16">
        <v>96</v>
      </c>
      <c r="G4" s="3"/>
      <c r="H4" s="16">
        <v>0</v>
      </c>
      <c r="I4" s="16">
        <v>1</v>
      </c>
      <c r="J4" s="16">
        <v>4</v>
      </c>
      <c r="K4" s="16">
        <v>1</v>
      </c>
      <c r="R4" s="16">
        <f>IF(AND(D2=D3,D2=D4),1,10)</f>
        <v>1</v>
      </c>
      <c r="S4" s="22">
        <f>BaseScore!$G$2</f>
        <v>3.2774417045999993</v>
      </c>
      <c r="T4" s="22">
        <f>EnvirScore!$G$2</f>
        <v>2.8888913045999995</v>
      </c>
      <c r="U4" s="22">
        <f t="shared" si="0"/>
        <v>7.1663330091999988</v>
      </c>
      <c r="V4" s="30"/>
      <c r="W4" s="30"/>
      <c r="X4" s="30"/>
      <c r="Y4" s="20"/>
    </row>
    <row r="5" spans="1:70" ht="15.75" thickBot="1" x14ac:dyDescent="0.3">
      <c r="A5" s="13" t="s">
        <v>12</v>
      </c>
      <c r="B5" s="13" t="s">
        <v>31</v>
      </c>
      <c r="C5" s="13"/>
      <c r="D5" s="13"/>
      <c r="E5" s="13"/>
      <c r="F5" s="13"/>
      <c r="G5" s="13">
        <f>(SUM(C2:F2))*G29</f>
        <v>1440</v>
      </c>
      <c r="H5" s="13">
        <f>_xlfn.STDEV.S(G5,G6,G7)</f>
        <v>0</v>
      </c>
      <c r="I5" s="13">
        <f t="shared" ref="I5:I17" si="1">IF(H5=0,1,H5)</f>
        <v>1</v>
      </c>
      <c r="J5" s="13">
        <v>4</v>
      </c>
      <c r="K5" s="13">
        <f>SUM(G5:G7)</f>
        <v>4320</v>
      </c>
      <c r="L5" s="13">
        <f t="shared" ref="L5:L17" si="2">K5/I5</f>
        <v>4320</v>
      </c>
      <c r="M5" s="13">
        <f>I5</f>
        <v>1</v>
      </c>
      <c r="N5" s="13">
        <f>M6-M5*0.25</f>
        <v>1439.75</v>
      </c>
      <c r="O5" s="13">
        <f>N5-M5*0.66</f>
        <v>1439.09</v>
      </c>
      <c r="P5" s="13">
        <f>O5-M5*1.5</f>
        <v>1437.59</v>
      </c>
      <c r="Q5" s="13">
        <f>P5-M5*1.5</f>
        <v>1436.09</v>
      </c>
      <c r="R5" s="13">
        <f>IF((G5)&lt;Q5,1,IF(AND(G5&gt;=Q5,G5&lt;P5),7.75,IF(AND(G5&gt;=P5,G5&lt;O5),5.5,IF(AND(G5&gt;=O5,G5&lt;N5),3.25,IF(AND(G5&gt;=N5,G5&lt;=N6),1,IF(AND(G5&gt;N6,G5&lt;=O6),3.25,IF(AND(G5&gt;O6,G5&lt;=P6),5.5,IF(AND(G5&gt;P6,G5&lt;=Q6),7.75,10))))))))</f>
        <v>1</v>
      </c>
      <c r="S5" s="22">
        <f>BaseScore!$G$3</f>
        <v>3.2774417045999993</v>
      </c>
      <c r="T5" s="22">
        <f>EnvirScore!$G$3</f>
        <v>4.0464892565999993</v>
      </c>
      <c r="U5" s="22">
        <f t="shared" si="0"/>
        <v>8.3239309611999985</v>
      </c>
      <c r="V5" s="24">
        <f>IF((V6)&gt;9,1,IF(AND(V6&gt;7,V6&lt;=8.9),2,IF(AND(V6&gt;4,V6&lt;=6.9),3,IF(AND(V6&gt;0,V6&lt;=3.9),4,0))))</f>
        <v>3</v>
      </c>
      <c r="W5" s="25">
        <f>IF((W6)&gt;9,1,IF(AND(W6&gt;7,W6&lt;=8.9),2,IF(AND(W6&gt;4,W6&lt;=6.9),3,IF(AND(W6&gt;0,W6&lt;=3.9),4,0))))</f>
        <v>3</v>
      </c>
      <c r="X5" s="26">
        <f>IF((X6)&gt;9,1,IF(AND(X6&gt;7,X6&lt;=8.9),2,IF(AND(X6&gt;4,X6&lt;=6.9),3,IF(AND(X6&gt;0,X6&lt;=3.9),4,0))))</f>
        <v>3</v>
      </c>
      <c r="Y5" s="20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x14ac:dyDescent="0.25">
      <c r="B6" t="s">
        <v>32</v>
      </c>
      <c r="C6" s="3"/>
      <c r="D6" s="3"/>
      <c r="E6" s="3"/>
      <c r="F6" s="3"/>
      <c r="G6">
        <f>(SUM(C3:F3))*G30</f>
        <v>1440</v>
      </c>
      <c r="M6">
        <f>MEDIAN(G5:G7)</f>
        <v>1440</v>
      </c>
      <c r="N6">
        <f>M6+M5*0.25</f>
        <v>1440.25</v>
      </c>
      <c r="O6">
        <f>N6+M5*0.66</f>
        <v>1440.91</v>
      </c>
      <c r="P6">
        <f>O6+M5*1</f>
        <v>1441.91</v>
      </c>
      <c r="Q6">
        <f>P6+M5*1.5</f>
        <v>1443.41</v>
      </c>
      <c r="R6">
        <f>IF((G6)&lt;Q5,10,IF(AND(G6&gt;=Q5,G6&lt;P5),7.75,IF(AND(G6&gt;=P5,G6&lt;O5),5.5,IF(AND(G6&gt;=O5,G6&lt;N5),3.25,IF(AND(G6&gt;=N5,G6&lt;=N6),1,IF(AND(G6&gt;N6,G6&lt;=O6),3.25,IF(AND(G6&gt;O6,G6&lt;=P6),5.5,IF(AND(G6&gt;P6,G6&lt;=Q6),7.75,10))))))))</f>
        <v>1</v>
      </c>
      <c r="S6" s="22">
        <f>BaseScore!$G$3</f>
        <v>3.2774417045999993</v>
      </c>
      <c r="T6" s="22">
        <f>EnvirScore!$G$3</f>
        <v>4.0464892565999993</v>
      </c>
      <c r="U6" s="22">
        <f t="shared" si="0"/>
        <v>8.3239309611999985</v>
      </c>
      <c r="V6" s="30">
        <f>((R5+S5)+(R6+S6)+(R7+S7))/3</f>
        <v>4.2774417045999993</v>
      </c>
      <c r="W6" s="30">
        <f>((R5+T5)+(R6+T6)+(R7+T7))/3</f>
        <v>5.0464892565999993</v>
      </c>
      <c r="X6" s="30">
        <f>(SUM(V6:W6))/2</f>
        <v>4.6619654805999993</v>
      </c>
      <c r="Y6" s="20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5.75" thickBot="1" x14ac:dyDescent="0.3">
      <c r="B7" t="s">
        <v>33</v>
      </c>
      <c r="C7" s="3"/>
      <c r="D7" s="3"/>
      <c r="E7" s="3"/>
      <c r="F7" s="3"/>
      <c r="G7">
        <f>(SUM(C4:F4))*G31</f>
        <v>1440</v>
      </c>
      <c r="R7">
        <f>IF((G7)&lt;Q5,10,IF(AND(G7&gt;=Q5,G7&lt;P5),7.75,IF(AND(G7&gt;=P5,G7&lt;O5),5.5,IF(AND(G7&gt;=O5,G7&lt;N5),3.25,IF(AND(G7&gt;=N5,G7&lt;=N6),1,IF(AND(G7&gt;N6,G7&lt;=O6),3.25,IF(AND(G7&gt;O6,G7&lt;=P6),5.5,IF(AND(G7&gt;P6,G7&lt;=Q6),7.75,10))))))))</f>
        <v>1</v>
      </c>
      <c r="S7" s="22">
        <f>BaseScore!$G$3</f>
        <v>3.2774417045999993</v>
      </c>
      <c r="T7" s="22">
        <f>EnvirScore!$G$3</f>
        <v>4.0464892565999993</v>
      </c>
      <c r="U7" s="22">
        <f t="shared" si="0"/>
        <v>8.3239309611999985</v>
      </c>
      <c r="V7" s="32"/>
      <c r="W7" s="32"/>
      <c r="X7" s="32"/>
      <c r="Y7" s="20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5.75" thickBot="1" x14ac:dyDescent="0.3">
      <c r="A8" s="13" t="s">
        <v>25</v>
      </c>
      <c r="B8" s="13" t="s">
        <v>31</v>
      </c>
      <c r="C8" s="13">
        <v>934246</v>
      </c>
      <c r="D8" s="13">
        <v>915933</v>
      </c>
      <c r="E8" s="13">
        <v>889199</v>
      </c>
      <c r="F8" s="13">
        <v>884045</v>
      </c>
      <c r="G8" s="13"/>
      <c r="H8" s="13">
        <f>_xlfn.STDEV.S(C8,D8,E8,F8)</f>
        <v>23528.092419842851</v>
      </c>
      <c r="I8" s="13">
        <f t="shared" si="1"/>
        <v>23528.092419842851</v>
      </c>
      <c r="J8" s="13">
        <v>4</v>
      </c>
      <c r="K8" s="13">
        <f>SUM(C8,D8,E8,F8)</f>
        <v>3623423</v>
      </c>
      <c r="L8" s="13">
        <f t="shared" si="2"/>
        <v>154.00411284274449</v>
      </c>
      <c r="M8" s="13">
        <f>_xlfn.STDEV.S(L8:L10)</f>
        <v>30.35868040957358</v>
      </c>
      <c r="N8" s="13">
        <f>M9-M8*0.25</f>
        <v>146.41444274035109</v>
      </c>
      <c r="O8" s="13">
        <f>N8-M8*0.66</f>
        <v>126.37771367003253</v>
      </c>
      <c r="P8" s="13">
        <f>O8-M8*1</f>
        <v>96.019033260458954</v>
      </c>
      <c r="Q8" s="13">
        <f>P8-M8*1.5</f>
        <v>50.481012646098584</v>
      </c>
      <c r="R8" s="13">
        <f>IF((L8)&lt;Q8,10,IF(AND(L8&gt;=Q8,L8&lt;P8),7.75,IF(AND(L8&gt;=P8,L8&lt;O8),5.5,IF(AND(L8&gt;=O8,L8&lt;N8),3.25,IF(AND(L8&gt;=N8,L8&lt;=N9),1,IF(AND(L8&gt;N9,L8&lt;=O9),3.25,IF(AND(L8&gt;O9,L8&lt;=P9),5.5,IF(AND(L8&gt;P9,L8&lt;=Q9),7.75,10))))))))</f>
        <v>1</v>
      </c>
      <c r="S8" s="22">
        <f>BaseScore!$G$5</f>
        <v>4.542328488599999</v>
      </c>
      <c r="T8" s="22">
        <f>EnvirScore!$G$5</f>
        <v>3.0111953045999993</v>
      </c>
      <c r="U8" s="22">
        <f>R8+S8+T8</f>
        <v>8.5535237931999983</v>
      </c>
      <c r="V8" s="24">
        <f>IF((V9)&gt;9,1,IF(AND(V9&gt;7,V9&lt;=8.9),2,IF(AND(V9&gt;4,V9&lt;=6.9),3,IF(AND(V9&gt;0,V9&lt;=3.9),4,0))))</f>
        <v>2</v>
      </c>
      <c r="W8" s="25">
        <f>IF((W9)&gt;9,1,IF(AND(W9&gt;7,W9&lt;=8.9),2,IF(AND(W9&gt;4,W9&lt;=6.9),3,IF(AND(W9&gt;0,W9&lt;=3.9),4,0))))</f>
        <v>3</v>
      </c>
      <c r="X8" s="26">
        <f>IF((X9)&gt;9,1,IF(AND(X9&gt;7,X9&lt;=8.9),2,IF(AND(X9&gt;4,X9&lt;=6.9),3,IF(AND(X9&gt;0,X9&lt;=3.9),4,0))))</f>
        <v>3</v>
      </c>
      <c r="Y8" s="20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x14ac:dyDescent="0.25">
      <c r="B9" t="s">
        <v>32</v>
      </c>
      <c r="C9">
        <v>857230</v>
      </c>
      <c r="D9">
        <v>899044</v>
      </c>
      <c r="E9">
        <v>936830</v>
      </c>
      <c r="F9">
        <v>924111</v>
      </c>
      <c r="G9" s="3"/>
      <c r="H9" s="16">
        <f t="shared" ref="H9:H16" si="3">_xlfn.STDEV.S(C9,D9,E9,F9)</f>
        <v>35089.82283963068</v>
      </c>
      <c r="I9">
        <f t="shared" si="1"/>
        <v>35089.82283963068</v>
      </c>
      <c r="J9">
        <v>4</v>
      </c>
      <c r="K9" s="16">
        <f t="shared" ref="K9:K16" si="4">SUM(C9,D9,E9,F9)</f>
        <v>3617215</v>
      </c>
      <c r="L9">
        <f t="shared" si="2"/>
        <v>103.08444749155852</v>
      </c>
      <c r="M9">
        <f>MEDIAN(L8:L10)</f>
        <v>154.00411284274449</v>
      </c>
      <c r="N9">
        <f>M9+M8*0.25</f>
        <v>161.59378294513789</v>
      </c>
      <c r="O9">
        <f>N9+M8*0.66</f>
        <v>181.63051201545645</v>
      </c>
      <c r="P9">
        <f>O9+M8*1</f>
        <v>211.98919242503001</v>
      </c>
      <c r="Q9">
        <f>P9+M8*1.5</f>
        <v>257.5272130393904</v>
      </c>
      <c r="R9">
        <f>IF((L9)&lt;Q8,10,IF(AND(L9&gt;=Q8,L9&lt;P8),7.75,IF(AND(L9&gt;=P8,L9&lt;O8),5.5,IF(AND(L9&gt;=O8,L9&lt;N8),3.25,IF(AND(L9&gt;=N8,L9&lt;=N9),1,IF(AND(L9&gt;N9,L9&lt;=O9),3.25,IF(AND(L9&gt;O9,L9&lt;=P9),5.5,IF(AND(L9&gt;P9,L9&lt;=Q9),7.75,10))))))))</f>
        <v>5.5</v>
      </c>
      <c r="S9" s="22">
        <f>BaseScore!$G$5</f>
        <v>4.542328488599999</v>
      </c>
      <c r="T9" s="22">
        <f>EnvirScore!$G$5</f>
        <v>3.0111953045999993</v>
      </c>
      <c r="U9" s="22">
        <f t="shared" si="0"/>
        <v>13.053523793199998</v>
      </c>
      <c r="V9" s="30">
        <f>((R8+S8)+(R9+S9)+(R10+S10))/3</f>
        <v>7.042328488599999</v>
      </c>
      <c r="W9" s="30">
        <f>((R8+T8)+(R9+T9)+(R10+T10))/3</f>
        <v>5.5111953045999984</v>
      </c>
      <c r="X9" s="30">
        <f>(SUM(V9:W9))/2</f>
        <v>6.2767618965999983</v>
      </c>
      <c r="Y9" s="20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5.75" thickBot="1" x14ac:dyDescent="0.3">
      <c r="B10" t="s">
        <v>33</v>
      </c>
      <c r="C10">
        <v>903751</v>
      </c>
      <c r="D10">
        <v>895933</v>
      </c>
      <c r="E10">
        <v>861739</v>
      </c>
      <c r="F10">
        <v>861111</v>
      </c>
      <c r="G10" s="3"/>
      <c r="H10" s="16">
        <f t="shared" si="3"/>
        <v>22409.995113787954</v>
      </c>
      <c r="I10">
        <f t="shared" si="1"/>
        <v>22409.995113787954</v>
      </c>
      <c r="J10">
        <v>4</v>
      </c>
      <c r="K10" s="16">
        <f t="shared" si="4"/>
        <v>3522534</v>
      </c>
      <c r="L10">
        <f t="shared" si="2"/>
        <v>157.1858441786419</v>
      </c>
      <c r="R10">
        <f>IF((L10)&lt;Q8,10,IF(AND(L10&gt;=Q8,L10&lt;P8),7.75,IF(AND(L10&gt;=P8,L10&lt;O8),5.5,IF(AND(L10&gt;=O8,L10&lt;N8),3.25,IF(AND(L10&gt;=N8,L10&lt;=N9),1,IF(AND(L10&gt;N9,L10&lt;=O9),3.25,IF(AND(L10&gt;O9,L10&lt;=P9),5.5,IF(AND(L10&gt;P9,L10&lt;=Q9),7.75,10))))))))</f>
        <v>1</v>
      </c>
      <c r="S10" s="22">
        <f>BaseScore!$G$5</f>
        <v>4.542328488599999</v>
      </c>
      <c r="T10" s="22">
        <f>EnvirScore!$G$5</f>
        <v>3.0111953045999993</v>
      </c>
      <c r="U10" s="22">
        <f t="shared" si="0"/>
        <v>8.5535237931999983</v>
      </c>
      <c r="V10" s="32"/>
      <c r="W10" s="32"/>
      <c r="X10" s="32"/>
      <c r="Y10" s="20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5.75" thickBot="1" x14ac:dyDescent="0.3">
      <c r="A11" s="13" t="s">
        <v>17</v>
      </c>
      <c r="B11" s="13" t="s">
        <v>31</v>
      </c>
      <c r="C11" s="13">
        <v>934246</v>
      </c>
      <c r="D11" s="13">
        <v>915933</v>
      </c>
      <c r="E11" s="13">
        <v>889199</v>
      </c>
      <c r="F11" s="13">
        <v>884045</v>
      </c>
      <c r="G11" s="13"/>
      <c r="H11" s="13">
        <f t="shared" si="3"/>
        <v>23528.092419842851</v>
      </c>
      <c r="I11" s="13">
        <f t="shared" si="1"/>
        <v>23528.092419842851</v>
      </c>
      <c r="J11" s="13">
        <v>4</v>
      </c>
      <c r="K11" s="13">
        <f>SUM(C11,D11,E11,F11)</f>
        <v>3623423</v>
      </c>
      <c r="L11" s="13">
        <f t="shared" si="2"/>
        <v>154.00411284274449</v>
      </c>
      <c r="M11" s="13">
        <f>_xlfn.STDEV.S(L11:L13)</f>
        <v>30.35868040957358</v>
      </c>
      <c r="N11" s="13">
        <f>M12-M11*0.25</f>
        <v>146.41444274035109</v>
      </c>
      <c r="O11" s="13">
        <f>N11-M11*0.66</f>
        <v>126.37771367003253</v>
      </c>
      <c r="P11" s="13">
        <f>O11-M11*1</f>
        <v>96.019033260458954</v>
      </c>
      <c r="Q11" s="13">
        <f>P11-M11*1.5</f>
        <v>50.481012646098584</v>
      </c>
      <c r="R11" s="13">
        <f>IF((L11)&lt;Q11,10,IF(AND(L11&gt;=Q11,L11&lt;P11),7.75,IF(AND(L11&gt;=P11,L11&lt;O11),5.5,IF(AND(L11&gt;=O11,L11&lt;N11),3.25,IF(AND(L11&gt;=N11,L11&lt;=N12),1,IF(AND(L11&gt;N12,L11&lt;=O12),3.25,IF(AND(L11&gt;O12,L11&lt;=P12),5.5,IF(AND(L11&gt;P12,L11&lt;=Q12),7.75,10))))))))</f>
        <v>1</v>
      </c>
      <c r="S11" s="22">
        <f>BaseScore!$G$6</f>
        <v>4.542328488599999</v>
      </c>
      <c r="T11" s="22">
        <f>EnvirScore!$G$6</f>
        <v>3.0111953045999993</v>
      </c>
      <c r="U11" s="22">
        <f t="shared" si="0"/>
        <v>8.5535237931999983</v>
      </c>
      <c r="V11" s="24">
        <f>IF((V12)&gt;9,1,IF(AND(V12&gt;7,V12&lt;=8.9),2,IF(AND(V12&gt;4,V12&lt;=6.9),3,IF(AND(V12&gt;0,V12&lt;=3.9),4,0))))</f>
        <v>2</v>
      </c>
      <c r="W11" s="25">
        <f>IF((W12)&gt;9,1,IF(AND(W12&gt;7,W12&lt;=8.9),2,IF(AND(W12&gt;4,W12&lt;=6.9),3,IF(AND(W12&gt;0,W12&lt;=3.9),4,0))))</f>
        <v>3</v>
      </c>
      <c r="X11" s="26">
        <f>IF((X12)&gt;9,1,IF(AND(X12&gt;7,X12&lt;=8.9),2,IF(AND(X12&gt;4,X12&lt;=6.9),3,IF(AND(X12&gt;0,X12&lt;=3.9),4,0))))</f>
        <v>3</v>
      </c>
      <c r="Y11" s="20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x14ac:dyDescent="0.25">
      <c r="B12" t="s">
        <v>32</v>
      </c>
      <c r="C12">
        <v>857230</v>
      </c>
      <c r="D12">
        <v>899044</v>
      </c>
      <c r="E12">
        <v>936830</v>
      </c>
      <c r="F12">
        <v>924111</v>
      </c>
      <c r="G12" s="3"/>
      <c r="H12" s="16">
        <f t="shared" si="3"/>
        <v>35089.82283963068</v>
      </c>
      <c r="I12">
        <f t="shared" si="1"/>
        <v>35089.82283963068</v>
      </c>
      <c r="J12">
        <v>4</v>
      </c>
      <c r="K12" s="16">
        <f t="shared" si="4"/>
        <v>3617215</v>
      </c>
      <c r="L12">
        <f t="shared" si="2"/>
        <v>103.08444749155852</v>
      </c>
      <c r="M12">
        <f>MEDIAN(L11:L13)</f>
        <v>154.00411284274449</v>
      </c>
      <c r="N12">
        <f>M12+M11*0.25</f>
        <v>161.59378294513789</v>
      </c>
      <c r="O12">
        <f>N12+M11*0.66</f>
        <v>181.63051201545645</v>
      </c>
      <c r="P12">
        <f>O12+M11*1</f>
        <v>211.98919242503001</v>
      </c>
      <c r="Q12">
        <f>P12+M11*1.5</f>
        <v>257.5272130393904</v>
      </c>
      <c r="R12">
        <f>IF((L12)&lt;Q11,10,IF(AND(L12&gt;=Q11,L12&lt;P11),7.75,IF(AND(L12&gt;=P11,L12&lt;O11),5.5,IF(AND(L12&gt;=O11,L12&lt;N11),3.25,IF(AND(L12&gt;=N11,L12&lt;=N12),1,IF(AND(L12&gt;N12,L12&lt;=O12),3.25,IF(AND(L12&gt;O12,L12&lt;=P12),5.5,IF(AND(L12&gt;P12,L12&lt;=Q12),7.75,10))))))))</f>
        <v>5.5</v>
      </c>
      <c r="S12" s="22">
        <f>BaseScore!$G$6</f>
        <v>4.542328488599999</v>
      </c>
      <c r="T12" s="22">
        <f>EnvirScore!$G$6</f>
        <v>3.0111953045999993</v>
      </c>
      <c r="U12" s="22">
        <f t="shared" si="0"/>
        <v>13.053523793199998</v>
      </c>
      <c r="V12" s="30">
        <f>((R11+S11)+(R12+S12)+(R13+S13))/3</f>
        <v>7.042328488599999</v>
      </c>
      <c r="W12" s="30">
        <f>((R11+T11)+(R12+T12)+(R13+T13))/3</f>
        <v>5.5111953045999984</v>
      </c>
      <c r="X12" s="30">
        <f>(SUM(V12:W12))/2</f>
        <v>6.2767618965999983</v>
      </c>
      <c r="Y12" s="20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5.75" thickBot="1" x14ac:dyDescent="0.3">
      <c r="B13" t="s">
        <v>33</v>
      </c>
      <c r="C13">
        <v>903751</v>
      </c>
      <c r="D13">
        <v>895933</v>
      </c>
      <c r="E13">
        <v>861739</v>
      </c>
      <c r="F13">
        <v>861111</v>
      </c>
      <c r="G13" s="3"/>
      <c r="H13" s="16">
        <f t="shared" si="3"/>
        <v>22409.995113787954</v>
      </c>
      <c r="I13">
        <f t="shared" si="1"/>
        <v>22409.995113787954</v>
      </c>
      <c r="J13">
        <v>4</v>
      </c>
      <c r="K13" s="16">
        <f t="shared" si="4"/>
        <v>3522534</v>
      </c>
      <c r="L13">
        <f t="shared" si="2"/>
        <v>157.1858441786419</v>
      </c>
      <c r="R13">
        <f>IF((L13)&lt;Q11,10,IF(AND(L13&gt;=Q11,L13&lt;P11),7.75,IF(AND(L13&gt;=P11,L13&lt;O11),5.5,IF(AND(L13&gt;=O11,L13&lt;N11),3.25,IF(AND(L13&gt;=N11,L13&lt;=N12),1,IF(AND(L13&gt;N12,L13&lt;=O12),3.25,IF(AND(L13&gt;O12,L13&lt;=P12),5.5,IF(AND(L13&gt;P12,L13&lt;=Q12),7.75,10))))))))</f>
        <v>1</v>
      </c>
      <c r="S13" s="22">
        <f>BaseScore!$G$6</f>
        <v>4.542328488599999</v>
      </c>
      <c r="T13" s="22">
        <f>EnvirScore!$G$6</f>
        <v>3.0111953045999993</v>
      </c>
      <c r="U13" s="22">
        <f t="shared" si="0"/>
        <v>8.5535237931999983</v>
      </c>
      <c r="V13" s="32"/>
      <c r="W13" s="32"/>
      <c r="X13" s="32"/>
      <c r="Y13" s="20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5.75" thickBot="1" x14ac:dyDescent="0.3">
      <c r="A14" s="13" t="s">
        <v>19</v>
      </c>
      <c r="B14" s="13" t="s">
        <v>31</v>
      </c>
      <c r="C14" s="13">
        <f>C8</f>
        <v>934246</v>
      </c>
      <c r="D14" s="13">
        <f>D8+C14</f>
        <v>1850179</v>
      </c>
      <c r="E14" s="13">
        <f>E8+D14</f>
        <v>2739378</v>
      </c>
      <c r="F14" s="13">
        <f>F8+E14</f>
        <v>3623423</v>
      </c>
      <c r="G14" s="13"/>
      <c r="H14" s="13">
        <f t="shared" si="3"/>
        <v>1156348.8675714033</v>
      </c>
      <c r="I14" s="13">
        <f t="shared" si="1"/>
        <v>1156348.8675714033</v>
      </c>
      <c r="J14" s="13">
        <v>4</v>
      </c>
      <c r="K14" s="13">
        <f>SUM(C14,D14,E14,F14)</f>
        <v>9147226</v>
      </c>
      <c r="L14" s="13">
        <f t="shared" si="2"/>
        <v>7.9104379798557369</v>
      </c>
      <c r="M14" s="13">
        <f>_xlfn.STDEV.S(L14:L16)</f>
        <v>0.23320161388569932</v>
      </c>
      <c r="N14" s="13">
        <f>M15-M14*0.25</f>
        <v>7.8377183900336105</v>
      </c>
      <c r="O14" s="13">
        <f>N14-M14*0.66</f>
        <v>7.6838053248690485</v>
      </c>
      <c r="P14" s="13">
        <f>O14-M14*1</f>
        <v>7.4506037109833496</v>
      </c>
      <c r="Q14" s="13">
        <f>P14-M14*1.5</f>
        <v>7.1008012901548003</v>
      </c>
      <c r="R14" s="13">
        <f>IF((L14)&lt;Q14,10,IF(AND(L14&gt;=Q14,L14&lt;P14),7.75,IF(AND(L14&gt;=P14,L14&lt;O14),5.5,IF(AND(L14&gt;=O14,L14&lt;N14),3.25,IF(AND(L14&gt;=N14,L14&lt;=N15),1,IF(AND(L14&gt;N15,L14&lt;=O15),3.25,IF(AND(L14&gt;O15,L14&lt;=P15),5.5,IF(AND(L14&gt;P15,L14&lt;=Q15),7.75,10))))))))</f>
        <v>1</v>
      </c>
      <c r="S14" s="22">
        <f>BaseScore!$G$8</f>
        <v>3.9495021845999996</v>
      </c>
      <c r="T14" s="22">
        <f>EnvirScore!$G$8</f>
        <v>4.542328488599999</v>
      </c>
      <c r="U14" s="22">
        <f t="shared" si="0"/>
        <v>9.4918306731999991</v>
      </c>
      <c r="V14" s="24">
        <f>IF((V15)&gt;9,1,IF(AND(V15&gt;7,V15&lt;=8.9),2,IF(AND(V15&gt;4,V15&lt;=6.9),3,IF(AND(V15&gt;0,V15&lt;=3.9),4,0))))</f>
        <v>3</v>
      </c>
      <c r="W14" s="25">
        <f>IF((W15)&gt;9,1,IF(AND(W15&gt;7,W15&lt;=8.9),2,IF(AND(W15&gt;4,W15&lt;=6.9),3,IF(AND(W15&gt;0,W15&lt;=3.9),4,0))))</f>
        <v>2</v>
      </c>
      <c r="X14" s="26">
        <f>IF((X15)&gt;9,1,IF(AND(X15&gt;7,X15&lt;=8.9),2,IF(AND(X15&gt;4,X15&lt;=6.9),3,IF(AND(X15&gt;0,X15&lt;=3.9),4,0))))</f>
        <v>3</v>
      </c>
      <c r="Y14" s="20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x14ac:dyDescent="0.25">
      <c r="B15" t="s">
        <v>32</v>
      </c>
      <c r="C15" s="16">
        <f t="shared" ref="C15:C16" si="5">C9</f>
        <v>857230</v>
      </c>
      <c r="D15" s="16">
        <f t="shared" ref="D15:F15" si="6">D9+C15</f>
        <v>1756274</v>
      </c>
      <c r="E15" s="16">
        <f t="shared" si="6"/>
        <v>2693104</v>
      </c>
      <c r="F15" s="16">
        <f t="shared" si="6"/>
        <v>3617215</v>
      </c>
      <c r="G15" s="3"/>
      <c r="H15" s="16">
        <f t="shared" si="3"/>
        <v>1189921.6939480724</v>
      </c>
      <c r="I15">
        <f t="shared" si="1"/>
        <v>1189921.6939480724</v>
      </c>
      <c r="J15">
        <v>4</v>
      </c>
      <c r="K15" s="16">
        <f t="shared" si="4"/>
        <v>8923823</v>
      </c>
      <c r="L15">
        <f t="shared" si="2"/>
        <v>7.4995044172960776</v>
      </c>
      <c r="M15">
        <f>MEDIAN(L14:L16)</f>
        <v>7.8960187935050357</v>
      </c>
      <c r="N15">
        <f>M15+M14*0.25</f>
        <v>7.9543191969764608</v>
      </c>
      <c r="O15">
        <f>N15+M14*0.66</f>
        <v>8.1082322621410228</v>
      </c>
      <c r="P15">
        <f>O15+M14*1</f>
        <v>8.3414338760267217</v>
      </c>
      <c r="Q15">
        <f>P15+M14*1.5</f>
        <v>8.691236296855271</v>
      </c>
      <c r="R15">
        <f>IF((L15)&lt;Q14,10,IF(AND(L15&gt;=Q14,L15&lt;P14),7.75,IF(AND(L15&gt;=P14,L15&lt;O14),5.5,IF(AND(L15&gt;=O14,L15&lt;N14),3.25,IF(AND(L15&gt;=N14,L15&lt;=N15),1,IF(AND(L15&gt;N15,L15&lt;=O15),3.25,IF(AND(L15&gt;O15,L15&lt;=P15),5.5,IF(AND(L15&gt;P15,L15&lt;=Q15),7.75,10))))))))</f>
        <v>5.5</v>
      </c>
      <c r="S15" s="22">
        <f>BaseScore!$G$8</f>
        <v>3.9495021845999996</v>
      </c>
      <c r="T15" s="22">
        <f>EnvirScore!$G$8</f>
        <v>4.542328488599999</v>
      </c>
      <c r="U15" s="22">
        <f t="shared" si="0"/>
        <v>13.991830673199999</v>
      </c>
      <c r="V15" s="30">
        <f>((R14+S14)+(R15+S15)+(R16+S16))/3</f>
        <v>6.4495021846</v>
      </c>
      <c r="W15" s="30">
        <f>((R14+T14)+(R15+T15)+(R16+T16))/3</f>
        <v>7.042328488599999</v>
      </c>
      <c r="X15" s="30">
        <f>(SUM(V15:W15))/2</f>
        <v>6.7459153365999995</v>
      </c>
      <c r="Y15" s="20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5.75" thickBot="1" x14ac:dyDescent="0.3">
      <c r="B16" t="s">
        <v>33</v>
      </c>
      <c r="C16" s="16">
        <f t="shared" si="5"/>
        <v>903751</v>
      </c>
      <c r="D16" s="16">
        <f t="shared" ref="D16:F16" si="7">D10+C16</f>
        <v>1799684</v>
      </c>
      <c r="E16" s="16">
        <f t="shared" si="7"/>
        <v>2661423</v>
      </c>
      <c r="F16" s="16">
        <f t="shared" si="7"/>
        <v>3522534</v>
      </c>
      <c r="G16" s="3"/>
      <c r="H16" s="16">
        <f t="shared" si="3"/>
        <v>1125553.5520394696</v>
      </c>
      <c r="I16">
        <f t="shared" si="1"/>
        <v>1125553.5520394696</v>
      </c>
      <c r="J16">
        <v>4</v>
      </c>
      <c r="K16" s="16">
        <f t="shared" si="4"/>
        <v>8887392</v>
      </c>
      <c r="L16">
        <f t="shared" si="2"/>
        <v>7.8960187935050357</v>
      </c>
      <c r="R16">
        <f>IF((L16)&lt;Q14,10,IF(AND(L16&gt;=Q14,L16&lt;P14),7.75,IF(AND(L16&gt;=P14,L16&lt;O14),5.5,IF(AND(L16&gt;=O14,L16&lt;N14),3.25,IF(AND(L16&gt;=N14,L16&lt;=N15),1,IF(AND(L16&gt;N15,L16&lt;=O15),3.25,IF(AND(L16&gt;O15,L16&lt;=P15),5.5,IF(AND(L16&gt;P15,L16&lt;=Q15),7.75,10))))))))</f>
        <v>1</v>
      </c>
      <c r="S16" s="22">
        <f>BaseScore!$G$8</f>
        <v>3.9495021845999996</v>
      </c>
      <c r="T16" s="22">
        <f>EnvirScore!$G$8</f>
        <v>4.542328488599999</v>
      </c>
      <c r="U16" s="22">
        <f t="shared" si="0"/>
        <v>9.4918306731999991</v>
      </c>
      <c r="V16" s="32"/>
      <c r="W16" s="32"/>
      <c r="X16" s="32"/>
      <c r="Y16" s="20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5.75" thickBot="1" x14ac:dyDescent="0.3">
      <c r="A17" s="13" t="s">
        <v>20</v>
      </c>
      <c r="B17" s="13" t="s">
        <v>31</v>
      </c>
      <c r="C17" s="13"/>
      <c r="D17" s="13"/>
      <c r="E17" s="13"/>
      <c r="F17" s="13"/>
      <c r="G17" s="13">
        <f>F14</f>
        <v>3623423</v>
      </c>
      <c r="H17" s="13">
        <f>_xlfn.STDEV.S(G17,G18,G19)</f>
        <v>56541.461698473977</v>
      </c>
      <c r="I17" s="13">
        <f t="shared" si="1"/>
        <v>56541.461698473977</v>
      </c>
      <c r="J17" s="13">
        <v>1</v>
      </c>
      <c r="K17" s="13">
        <f>SUM(G17:G19)</f>
        <v>10763172</v>
      </c>
      <c r="L17" s="13">
        <f t="shared" si="2"/>
        <v>190.35892735490586</v>
      </c>
      <c r="M17" s="13">
        <f>I17</f>
        <v>56541.461698473977</v>
      </c>
      <c r="N17" s="13">
        <f>M18-M17*0.25</f>
        <v>3603079.6345753814</v>
      </c>
      <c r="O17" s="13">
        <f>N17-M17*0.66</f>
        <v>3565762.2698543887</v>
      </c>
      <c r="P17" s="13">
        <f>O17-M17*1</f>
        <v>3509220.8081559148</v>
      </c>
      <c r="Q17" s="13">
        <f>P17-M17*1.5</f>
        <v>3424408.6156082037</v>
      </c>
      <c r="R17" s="13">
        <f>IF((G17)&lt;Q17,1,IF(AND(G17&gt;=Q17,G17&lt;P17),7.75,IF(AND(G17&gt;=P17,G17&lt;O17),5.5,IF(AND(G17&gt;=O17,G17&lt;N17),3.25,IF(AND(G17&gt;=N17,G17&lt;=N18),1,IF(AND(G17&gt;N18,G17&lt;=O18),3.25,IF(AND(G17&gt;O18,G17&lt;=P18),5.5,IF(AND(G17&gt;P18,G17&lt;=Q18),7.75,10))))))))</f>
        <v>1</v>
      </c>
      <c r="S17" s="22">
        <f>BaseScore!$G$9</f>
        <v>3.7647008405999998</v>
      </c>
      <c r="T17" s="22">
        <f>EnvirScore!$G$9</f>
        <v>3.0347153045999997</v>
      </c>
      <c r="U17" s="22">
        <f t="shared" si="0"/>
        <v>7.7994161451999995</v>
      </c>
      <c r="V17" s="24">
        <f>IF((V18)&gt;9,1,IF(AND(V18&gt;7,V18&lt;=8.9),2,IF(AND(V18&gt;4,V18&lt;=6.9),3,IF(AND(V18&gt;0,V18&lt;=3.9),4,0))))</f>
        <v>3</v>
      </c>
      <c r="W17" s="25">
        <f>IF((W18)&gt;9,1,IF(AND(W18&gt;7,W18&lt;=8.9),2,IF(AND(W18&gt;4,W18&lt;=6.9),3,IF(AND(W18&gt;0,W18&lt;=3.9),4,0))))</f>
        <v>3</v>
      </c>
      <c r="X17" s="26">
        <f>IF((X18)&gt;9,1,IF(AND(X18&gt;7,X18&lt;=8.9),2,IF(AND(X18&gt;4,X18&lt;=6.9),3,IF(AND(X18&gt;0,X18&lt;=3.9),4,0))))</f>
        <v>3</v>
      </c>
      <c r="Y17" s="20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x14ac:dyDescent="0.25">
      <c r="B18" t="s">
        <v>32</v>
      </c>
      <c r="C18" s="3"/>
      <c r="D18" s="3"/>
      <c r="E18" s="3"/>
      <c r="F18" s="3"/>
      <c r="G18">
        <f>F15</f>
        <v>3617215</v>
      </c>
      <c r="M18">
        <f>MEDIAN(G17:G19)</f>
        <v>3617215</v>
      </c>
      <c r="N18">
        <f>M18+M17*0.25</f>
        <v>3631350.3654246186</v>
      </c>
      <c r="O18">
        <f>N18+M17*0.66</f>
        <v>3668667.7301456113</v>
      </c>
      <c r="P18">
        <f>O18+M17*1</f>
        <v>3725209.1918440852</v>
      </c>
      <c r="Q18">
        <f>P18+M17*1.5</f>
        <v>3810021.3843917963</v>
      </c>
      <c r="R18">
        <f>IF((G18)&lt;Q17,10,IF(AND(G18&gt;=Q17,G18&lt;P17),7.75,IF(AND(G18&gt;=P17,G18&lt;O17),5.5,IF(AND(G18&gt;=O17,G18&lt;N17),3.25,IF(AND(G18&gt;=N17,G18&lt;=N18),1,IF(AND(G18&gt;N18,G18&lt;=O18),3.25,IF(AND(G18&gt;O18,G18&lt;=P18),5.5,IF(AND(G18&gt;P18,G18&lt;=Q18),7.75,10))))))))</f>
        <v>1</v>
      </c>
      <c r="S18" s="22">
        <f>BaseScore!$G$9</f>
        <v>3.7647008405999998</v>
      </c>
      <c r="T18" s="22">
        <f>EnvirScore!$G$9</f>
        <v>3.0347153045999997</v>
      </c>
      <c r="U18" s="22">
        <f t="shared" si="0"/>
        <v>7.7994161451999995</v>
      </c>
      <c r="V18" s="30">
        <f>((R17+S17)+(R18+S18)+(R19+S19))/3</f>
        <v>6.2647008405999998</v>
      </c>
      <c r="W18" s="30">
        <f>((R17+T17)+(R18+T18)+(R19+T19))/3</f>
        <v>5.5347153045999988</v>
      </c>
      <c r="X18" s="30">
        <f>(SUM(V18:W18))/2</f>
        <v>5.8997080725999993</v>
      </c>
      <c r="Y18" s="20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5.75" thickBot="1" x14ac:dyDescent="0.3">
      <c r="B19" t="s">
        <v>33</v>
      </c>
      <c r="C19" s="3"/>
      <c r="D19" s="3"/>
      <c r="E19" s="3"/>
      <c r="F19" s="3"/>
      <c r="G19">
        <f>F16</f>
        <v>3522534</v>
      </c>
      <c r="R19">
        <f>IF((G19)&lt;Q17,10,IF(AND(G19&gt;=Q17,G19&lt;P17),7.75,IF(AND(G19&gt;=P17,G19&lt;O17),5.5,IF(AND(G19&gt;=O17,G19&lt;N17),3.25,IF(AND(G19&gt;=N17,G19&lt;=N18),1,IF(AND(G19&gt;N18,G19&lt;=O18),3.25,IF(AND(G19&gt;O18,G19&lt;=P18),5.5,IF(AND(G19&gt;P18,G19&lt;=Q18),7.75,10))))))))</f>
        <v>5.5</v>
      </c>
      <c r="S19" s="22">
        <f>BaseScore!$G$9</f>
        <v>3.7647008405999998</v>
      </c>
      <c r="T19" s="22">
        <f>EnvirScore!$G$9</f>
        <v>3.0347153045999997</v>
      </c>
      <c r="U19" s="22">
        <f t="shared" si="0"/>
        <v>12.299416145199999</v>
      </c>
      <c r="V19" s="32"/>
      <c r="W19" s="32"/>
      <c r="X19" s="32"/>
      <c r="Y19" s="20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5.75" thickBot="1" x14ac:dyDescent="0.3">
      <c r="A20" s="13" t="s">
        <v>21</v>
      </c>
      <c r="B20" s="13" t="s">
        <v>31</v>
      </c>
      <c r="C20" s="13"/>
      <c r="D20" s="13"/>
      <c r="E20" s="13"/>
      <c r="F20" s="13"/>
      <c r="G20" s="13">
        <v>4</v>
      </c>
      <c r="H20" s="13">
        <f>_xlfn.STDEV.S(G20,G21,G22)</f>
        <v>0</v>
      </c>
      <c r="I20" s="13">
        <f t="shared" ref="I20" si="8">IF(H20=0,1,H20)</f>
        <v>1</v>
      </c>
      <c r="J20" s="13">
        <v>1</v>
      </c>
      <c r="K20" s="13">
        <f>SUM(H20:J20)</f>
        <v>2</v>
      </c>
      <c r="L20" s="13">
        <f t="shared" ref="L20" si="9">K20/I20</f>
        <v>2</v>
      </c>
      <c r="M20" s="13">
        <f>I20</f>
        <v>1</v>
      </c>
      <c r="N20" s="13">
        <f>M21-M20*0.25</f>
        <v>3.75</v>
      </c>
      <c r="O20" s="13">
        <f>N20-M20*0.66</f>
        <v>3.09</v>
      </c>
      <c r="P20" s="13">
        <f>O20-M20*1</f>
        <v>2.09</v>
      </c>
      <c r="Q20" s="13">
        <f>P20-M20*1.5</f>
        <v>0.58999999999999986</v>
      </c>
      <c r="R20" s="13">
        <f>IF((G20)&lt;Q20,1,IF(AND(G20&gt;=Q20,G20&lt;P20),7.75,IF(AND(G20&gt;=P20,G20&lt;O20),5.5,IF(AND(G20&gt;=O20,G20&lt;N20),3.25,IF(AND(G20&gt;=N20,G20&lt;=N21),1,IF(AND(G20&gt;N21,G20&lt;=O21),3.25,IF(AND(G20&gt;O21,G20&lt;=P21),5.5,IF(AND(G20&gt;P21,G20&lt;=Q21),7.75,10))))))))</f>
        <v>1</v>
      </c>
      <c r="S20" s="22">
        <f>BaseScore!$G$10</f>
        <v>4.8596885525999998</v>
      </c>
      <c r="T20" s="22">
        <f>EnvirScore!$G$10</f>
        <v>3.0582353045999993</v>
      </c>
      <c r="U20" s="22">
        <f t="shared" si="0"/>
        <v>8.9179238571999981</v>
      </c>
      <c r="V20" s="24">
        <f>IF((V21)&gt;9,1,IF(AND(V21&gt;7,V21&lt;=8.9),2,IF(AND(V21&gt;4,V21&lt;=6.9),3,IF(AND(V21&gt;0,V21&lt;=3.9),4,0))))</f>
        <v>3</v>
      </c>
      <c r="W20" s="25">
        <f>IF((W21)&gt;9,1,IF(AND(W21&gt;7,W21&lt;=8.9),2,IF(AND(W21&gt;4,W21&lt;=6.9),3,IF(AND(W21&gt;0,W21&lt;=3.9),4,0))))</f>
        <v>3</v>
      </c>
      <c r="X20" s="26">
        <f>IF((X21)&gt;9,1,IF(AND(X21&gt;7,X21&lt;=8.9),2,IF(AND(X21&gt;4,X21&lt;=6.9),3,IF(AND(X21&gt;0,X21&lt;=3.9),4,0))))</f>
        <v>3</v>
      </c>
      <c r="Y20" s="20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x14ac:dyDescent="0.25">
      <c r="B21" t="s">
        <v>32</v>
      </c>
      <c r="C21" s="3"/>
      <c r="D21" s="3"/>
      <c r="E21" s="3"/>
      <c r="F21" s="3"/>
      <c r="G21">
        <v>4</v>
      </c>
      <c r="M21">
        <f>MEDIAN(G20:G22)</f>
        <v>4</v>
      </c>
      <c r="N21">
        <f>M21+M20*0.25</f>
        <v>4.25</v>
      </c>
      <c r="O21">
        <f>N21+M20*0.66</f>
        <v>4.91</v>
      </c>
      <c r="P21">
        <f>O21+M20*1</f>
        <v>5.91</v>
      </c>
      <c r="Q21">
        <f>P21+M20*1.5</f>
        <v>7.41</v>
      </c>
      <c r="R21">
        <f>IF((G21)&lt;Q20,10,IF(AND(G21&gt;=Q20,G21&lt;P20),7.75,IF(AND(G21&gt;=P20,G21&lt;O20),5.5,IF(AND(G21&gt;=O20,G21&lt;N20),3.25,IF(AND(G21&gt;=N20,G21&lt;=N21),1,IF(AND(G21&gt;N21,G21&lt;=O21),3.25,IF(AND(G21&gt;O21,G21&lt;=P21),5.5,IF(AND(G21&gt;P21,G21&lt;=Q21),7.75,10))))))))</f>
        <v>1</v>
      </c>
      <c r="S21" s="22">
        <f>BaseScore!$G$10</f>
        <v>4.8596885525999998</v>
      </c>
      <c r="T21" s="22">
        <f>EnvirScore!$G$10</f>
        <v>3.0582353045999993</v>
      </c>
      <c r="U21" s="22">
        <f t="shared" si="0"/>
        <v>8.9179238571999981</v>
      </c>
      <c r="V21" s="30">
        <f>((R20+S20)+(R21+S21)+(R22+S22))/3</f>
        <v>5.8596885526000007</v>
      </c>
      <c r="W21" s="30">
        <f>((R20+T20)+(R21+T21)+(R22+T22))/3</f>
        <v>4.0582353045999993</v>
      </c>
      <c r="X21" s="30">
        <f>(SUM(V21:W21))/2</f>
        <v>4.9589619286</v>
      </c>
      <c r="Y21" s="20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5.75" thickBot="1" x14ac:dyDescent="0.3">
      <c r="B22" t="s">
        <v>33</v>
      </c>
      <c r="C22" s="3"/>
      <c r="D22" s="3"/>
      <c r="E22" s="3"/>
      <c r="F22" s="3"/>
      <c r="G22">
        <v>4</v>
      </c>
      <c r="R22">
        <f>IF((G22)&lt;Q20,10,IF(AND(G22&gt;=Q20,G22&lt;P20),7.75,IF(AND(G22&gt;=P20,G22&lt;O20),5.5,IF(AND(G22&gt;=O20,G22&lt;N20),3.25,IF(AND(G22&gt;=N20,G22&lt;=N21),1,IF(AND(G22&gt;N21,G22&lt;=O21),3.25,IF(AND(G22&gt;O21,G22&lt;=P21),5.5,IF(AND(G22&gt;P21,G22&lt;=Q21),7.75,10))))))))</f>
        <v>1</v>
      </c>
      <c r="S22" s="22">
        <f>BaseScore!$G$10</f>
        <v>4.8596885525999998</v>
      </c>
      <c r="T22" s="22">
        <f>EnvirScore!$G$10</f>
        <v>3.0582353045999993</v>
      </c>
      <c r="U22" s="22">
        <f t="shared" si="0"/>
        <v>8.9179238571999981</v>
      </c>
      <c r="V22" s="32"/>
      <c r="W22" s="32"/>
      <c r="X22" s="32"/>
      <c r="Y22" s="20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24" thickBot="1" x14ac:dyDescent="0.3">
      <c r="A23" s="13" t="s">
        <v>22</v>
      </c>
      <c r="B23" s="13" t="s">
        <v>31</v>
      </c>
      <c r="C23" s="14" t="s">
        <v>49</v>
      </c>
      <c r="D23" s="14" t="s">
        <v>49</v>
      </c>
      <c r="E23" s="14" t="s">
        <v>49</v>
      </c>
      <c r="F23" s="14" t="s">
        <v>49</v>
      </c>
      <c r="G23" s="13"/>
      <c r="H23" s="13">
        <v>0</v>
      </c>
      <c r="I23" s="13">
        <f t="shared" ref="I23:I25" si="10">IF(H23=0,1,H23)</f>
        <v>1</v>
      </c>
      <c r="J23" s="13">
        <v>4</v>
      </c>
      <c r="K23" s="13"/>
      <c r="L23" s="13"/>
      <c r="M23" s="13"/>
      <c r="N23" s="13"/>
      <c r="O23" s="13"/>
      <c r="P23" s="13"/>
      <c r="Q23" s="13"/>
      <c r="R23" s="13">
        <f>IF(AND(C23=C24,C23=C25),1,10)</f>
        <v>1</v>
      </c>
      <c r="S23" s="22">
        <f>BaseScore!$G$11</f>
        <v>4.6913512085999995</v>
      </c>
      <c r="T23" s="22">
        <f>EnvirScore!$G$11</f>
        <v>3.0582353045999993</v>
      </c>
      <c r="U23" s="22">
        <f t="shared" si="0"/>
        <v>8.7495865131999988</v>
      </c>
      <c r="V23" s="24">
        <f>IF((V24)&gt;9,1,IF(AND(V24&gt;7,V24&lt;=8.9),2,IF(AND(V24&gt;4,V24&lt;=6.9),3,IF(AND(V24&gt;0,V24&lt;=3.9),4,0))))</f>
        <v>3</v>
      </c>
      <c r="W23" s="25">
        <f>IF((W24)&gt;9,1,IF(AND(W24&gt;7,W24&lt;=8.9),2,IF(AND(W24&gt;4,W24&lt;=6.9),3,IF(AND(W24&gt;0,W24&lt;=3.9),4,0))))</f>
        <v>3</v>
      </c>
      <c r="X23" s="26">
        <f>IF((X24)&gt;9,1,IF(AND(X24&gt;7,X24&lt;=8.9),2,IF(AND(X24&gt;4,X24&lt;=6.9),3,IF(AND(X24&gt;0,X24&lt;=3.9),4,0))))</f>
        <v>3</v>
      </c>
      <c r="Y23" s="20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23.25" x14ac:dyDescent="0.25">
      <c r="B24" t="s">
        <v>32</v>
      </c>
      <c r="C24" s="6" t="s">
        <v>49</v>
      </c>
      <c r="D24" s="6" t="s">
        <v>49</v>
      </c>
      <c r="E24" s="6" t="s">
        <v>49</v>
      </c>
      <c r="F24" s="34" t="s">
        <v>49</v>
      </c>
      <c r="G24" s="3"/>
      <c r="H24">
        <v>0</v>
      </c>
      <c r="I24">
        <f t="shared" si="10"/>
        <v>1</v>
      </c>
      <c r="J24">
        <v>4</v>
      </c>
      <c r="R24" s="16">
        <f>IF(AND(D23=D24,D23=D25),1,10)</f>
        <v>1</v>
      </c>
      <c r="S24" s="22">
        <f>BaseScore!$G$11</f>
        <v>4.6913512085999995</v>
      </c>
      <c r="T24" s="22">
        <f>EnvirScore!$G$11</f>
        <v>3.0582353045999993</v>
      </c>
      <c r="U24" s="22">
        <f t="shared" si="0"/>
        <v>8.7495865131999988</v>
      </c>
      <c r="V24" s="30">
        <f>((R23+S23)+(R24+S24)+(R25+S25))/3</f>
        <v>5.6913512085999995</v>
      </c>
      <c r="W24" s="30">
        <f>((R23+T23)+(R24+T24)+(R25+T25))/3</f>
        <v>4.0582353045999993</v>
      </c>
      <c r="X24" s="30">
        <f>(SUM(V24:W24))/2</f>
        <v>4.8747932565999994</v>
      </c>
      <c r="Y24" s="20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ht="24" thickBot="1" x14ac:dyDescent="0.3">
      <c r="B25" t="s">
        <v>33</v>
      </c>
      <c r="C25" s="6" t="s">
        <v>49</v>
      </c>
      <c r="D25" s="6" t="s">
        <v>49</v>
      </c>
      <c r="E25" s="6" t="s">
        <v>49</v>
      </c>
      <c r="F25" s="34" t="s">
        <v>49</v>
      </c>
      <c r="G25" s="3"/>
      <c r="H25">
        <v>0</v>
      </c>
      <c r="I25">
        <f t="shared" si="10"/>
        <v>1</v>
      </c>
      <c r="J25">
        <v>4</v>
      </c>
      <c r="R25" s="16">
        <f>IF(AND(D23=D24,D23=D25),1,10)</f>
        <v>1</v>
      </c>
      <c r="S25" s="22">
        <f>BaseScore!$G$11</f>
        <v>4.6913512085999995</v>
      </c>
      <c r="T25" s="22">
        <f>EnvirScore!$G$11</f>
        <v>3.0582353045999993</v>
      </c>
      <c r="U25" s="22">
        <f t="shared" si="0"/>
        <v>8.7495865131999988</v>
      </c>
      <c r="V25" s="32"/>
      <c r="W25" s="32"/>
      <c r="X25" s="32"/>
      <c r="Y25" s="20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ht="15.75" thickBot="1" x14ac:dyDescent="0.3">
      <c r="A26" s="13" t="s">
        <v>24</v>
      </c>
      <c r="B26" s="13" t="s">
        <v>31</v>
      </c>
      <c r="C26" s="15" t="s">
        <v>43</v>
      </c>
      <c r="D26" s="15" t="s">
        <v>43</v>
      </c>
      <c r="E26" s="15" t="s">
        <v>43</v>
      </c>
      <c r="F26" s="15" t="s">
        <v>43</v>
      </c>
      <c r="G26" s="13"/>
      <c r="H26" s="13"/>
      <c r="I26" s="13"/>
      <c r="J26" s="13">
        <v>4</v>
      </c>
      <c r="K26" s="13">
        <f>AVERAGE(M26:P26)</f>
        <v>1</v>
      </c>
      <c r="L26" s="13"/>
      <c r="M26" s="13">
        <f>IF(C26="OpenVSwtich",1,IF(C26="HP FlexFabric 12900",3,IF(C26="Cisco Nexus 9000",3,IF(C26="Juniper OCX1100",3,2))))</f>
        <v>1</v>
      </c>
      <c r="N26" s="4">
        <f t="shared" ref="N26:P28" si="11">IF(C26="OpenVSwtich",1,IF(C26="HP FlexFabric 12900",3,IF(C26="Cisco Nexus 9000",3,IF(C26="Juniper OCX1100",3,2))))</f>
        <v>1</v>
      </c>
      <c r="O26" s="4">
        <f t="shared" si="11"/>
        <v>1</v>
      </c>
      <c r="P26" s="4">
        <f t="shared" si="11"/>
        <v>1</v>
      </c>
      <c r="Q26" s="4">
        <f>IF(G26="OpenVSwtich",1,IF(G26="HP FlexFabric 12900",3,IF(G26="Cisco Nexus 9000",3,IF(G26="Juniper OCX1100",3,2))))</f>
        <v>2</v>
      </c>
      <c r="R26" s="13">
        <f>IF((K26)&lt;2,10,IF(AND(K26&gt;=2,K26&lt;3),5,1))</f>
        <v>10</v>
      </c>
      <c r="S26" s="22">
        <f>BaseScore!$G$12</f>
        <v>3.7674103445999991</v>
      </c>
      <c r="T26" s="22">
        <f>EnvirScore!$G$12</f>
        <v>5.0347243925999994</v>
      </c>
      <c r="U26" s="22">
        <f t="shared" si="0"/>
        <v>18.802134737199999</v>
      </c>
      <c r="V26" s="24">
        <f>IF((V27)&gt;9,1,IF(AND(V27&gt;7,V27&lt;=8.9),2,IF(AND(V27&gt;4,V27&lt;=6.9),3,IF(AND(V27&gt;0,V27&lt;=3.9),4,0))))</f>
        <v>2</v>
      </c>
      <c r="W26" s="25">
        <f>IF((W27)&gt;9,1,IF(AND(W27&gt;7,W27&lt;=8.9),2,IF(AND(W27&gt;4,W27&lt;=6.9),3,IF(AND(W27&gt;0,W27&lt;=3.9),4,0))))</f>
        <v>1</v>
      </c>
      <c r="X26" s="26">
        <f>IF((X27)&gt;9,1,IF(AND(X27&gt;7,X27&lt;=8.9),2,IF(AND(X27&gt;4,X27&lt;=6.9),3,IF(AND(X27&gt;0,X27&lt;=3.9),4,0))))</f>
        <v>2</v>
      </c>
      <c r="Y26" s="20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x14ac:dyDescent="0.25">
      <c r="B27" t="s">
        <v>32</v>
      </c>
      <c r="C27" s="9" t="s">
        <v>43</v>
      </c>
      <c r="D27" s="9" t="s">
        <v>43</v>
      </c>
      <c r="E27" s="9" t="s">
        <v>43</v>
      </c>
      <c r="F27" s="35" t="s">
        <v>43</v>
      </c>
      <c r="G27" s="3"/>
      <c r="J27">
        <v>4</v>
      </c>
      <c r="K27">
        <f>AVERAGE(M27:P27)</f>
        <v>1</v>
      </c>
      <c r="M27">
        <f t="shared" ref="M27:M28" si="12">IF(C27="OpenVSwtich",1,IF(C27="HP FlexFabric 12900",3,IF(C27="Cisco Nexus 9000",3,IF(C27="Juniper OCX1100",3,2))))</f>
        <v>1</v>
      </c>
      <c r="N27" s="4">
        <f t="shared" si="11"/>
        <v>1</v>
      </c>
      <c r="O27" s="4">
        <f t="shared" si="11"/>
        <v>1</v>
      </c>
      <c r="P27" s="4">
        <f t="shared" si="11"/>
        <v>1</v>
      </c>
      <c r="Q27" s="4">
        <f t="shared" ref="Q27:Q28" si="13">IF(G27="OpenVSwtich",1,IF(G27="HP FlexFabric 12900",3,IF(G27="Cisco Nexus 9000",3,IF(G27="Juniper OCX1100",3,2))))</f>
        <v>2</v>
      </c>
      <c r="R27">
        <f t="shared" ref="R27:R28" si="14">IF((K27)&lt;2,1,IF(AND(K27&gt;=2,K27&lt;3),2,3))</f>
        <v>1</v>
      </c>
      <c r="S27" s="22">
        <f>BaseScore!$G$12</f>
        <v>3.7674103445999991</v>
      </c>
      <c r="T27" s="22">
        <f>EnvirScore!$G$12</f>
        <v>5.0347243925999994</v>
      </c>
      <c r="U27" s="22">
        <f t="shared" si="0"/>
        <v>9.8021347371999994</v>
      </c>
      <c r="V27" s="30">
        <f>((R26+S26)+(R27+S27)+(R28+S28))/3</f>
        <v>7.7674103445999982</v>
      </c>
      <c r="W27" s="30">
        <f>((R26+T26)+(R27+T27)+(R28+T28))/3</f>
        <v>9.0347243925999994</v>
      </c>
      <c r="X27" s="30">
        <f>(SUM(V27:W27))/2</f>
        <v>8.4010673685999997</v>
      </c>
      <c r="Y27" s="20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15.75" thickBot="1" x14ac:dyDescent="0.3">
      <c r="B28" t="s">
        <v>33</v>
      </c>
      <c r="C28" s="9" t="s">
        <v>43</v>
      </c>
      <c r="D28" s="9" t="s">
        <v>43</v>
      </c>
      <c r="E28" s="9" t="s">
        <v>43</v>
      </c>
      <c r="F28" s="35" t="s">
        <v>43</v>
      </c>
      <c r="G28" s="3"/>
      <c r="J28">
        <v>4</v>
      </c>
      <c r="K28">
        <f>AVERAGE(M28:P28)</f>
        <v>1</v>
      </c>
      <c r="M28">
        <f t="shared" si="12"/>
        <v>1</v>
      </c>
      <c r="N28" s="4">
        <f t="shared" si="11"/>
        <v>1</v>
      </c>
      <c r="O28" s="4">
        <f t="shared" si="11"/>
        <v>1</v>
      </c>
      <c r="P28" s="4">
        <f t="shared" si="11"/>
        <v>1</v>
      </c>
      <c r="Q28" s="4">
        <f t="shared" si="13"/>
        <v>2</v>
      </c>
      <c r="R28">
        <f t="shared" si="14"/>
        <v>1</v>
      </c>
      <c r="S28" s="22">
        <f>BaseScore!$G$12</f>
        <v>3.7674103445999991</v>
      </c>
      <c r="T28" s="22">
        <f>EnvirScore!$G$12</f>
        <v>5.0347243925999994</v>
      </c>
      <c r="U28" s="22">
        <f t="shared" si="0"/>
        <v>9.8021347371999994</v>
      </c>
      <c r="V28" s="32"/>
      <c r="W28" s="32"/>
      <c r="X28" s="32"/>
      <c r="Y28" s="20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5.75" thickBot="1" x14ac:dyDescent="0.3">
      <c r="A29" s="13" t="s">
        <v>26</v>
      </c>
      <c r="B29" s="13" t="s">
        <v>31</v>
      </c>
      <c r="C29" s="13"/>
      <c r="D29" s="13"/>
      <c r="E29" s="13"/>
      <c r="F29" s="13"/>
      <c r="G29" s="13">
        <v>8</v>
      </c>
      <c r="H29" s="13">
        <f>_xlfn.STDEV.S(G29,G30,G31)</f>
        <v>0</v>
      </c>
      <c r="I29" s="13">
        <f t="shared" ref="I29" si="15">IF(H29=0,1,H29)</f>
        <v>1</v>
      </c>
      <c r="J29" s="13">
        <v>1</v>
      </c>
      <c r="K29" s="13">
        <f>SUM(H29:J29)</f>
        <v>2</v>
      </c>
      <c r="L29" s="13">
        <f t="shared" ref="L29" si="16">K29/I29</f>
        <v>2</v>
      </c>
      <c r="M29" s="13">
        <f>I29</f>
        <v>1</v>
      </c>
      <c r="N29" s="13">
        <f>M30-M29*0.25</f>
        <v>7.75</v>
      </c>
      <c r="O29" s="13">
        <f>N29-M29*0.66</f>
        <v>7.09</v>
      </c>
      <c r="P29" s="13">
        <f>O29-M29*1</f>
        <v>6.09</v>
      </c>
      <c r="Q29" s="13">
        <f>P29-M29*1.5</f>
        <v>4.59</v>
      </c>
      <c r="R29" s="13">
        <f>IF((G29)&lt;Q29,1,IF(AND(G29&gt;=Q29,G29&lt;P29),7.75,IF(AND(G29&gt;=P29,G29&lt;O29),5.5,IF(AND(G29&gt;=O29,G29&lt;N29),3.25,IF(AND(G29&gt;=N29,G29&lt;=N30),1,IF(AND(G29&gt;N30,G29&lt;=O30),3.25,IF(AND(G29&gt;O30,G29&lt;=P30),5.5,IF(AND(G29&gt;P30,G29&lt;=Q30),7.75,10))))))))</f>
        <v>1</v>
      </c>
      <c r="S29" s="22">
        <f>BaseScore!$G$13</f>
        <v>3.7647008405999998</v>
      </c>
      <c r="T29" s="22">
        <f>EnvirScore!$G$13</f>
        <v>2.9500433045999999</v>
      </c>
      <c r="U29" s="22">
        <f t="shared" si="0"/>
        <v>7.7147441451999992</v>
      </c>
      <c r="V29" s="24">
        <f>IF((V30)&gt;9,1,IF(AND(V30&gt;7,V30&lt;=8.9),2,IF(AND(V30&gt;4,V30&lt;=6.9),3,IF(AND(V30&gt;0,V30&lt;=3.9),4,0))))</f>
        <v>3</v>
      </c>
      <c r="W29" s="25">
        <f>IF((W30)&gt;9,1,IF(AND(W30&gt;7,W30&lt;=8.9),2,IF(AND(W30&gt;4,W30&lt;=6.9),3,IF(AND(W30&gt;0,W30&lt;=3.9),4,0))))</f>
        <v>0</v>
      </c>
      <c r="X29" s="26">
        <f>IF((X30)&gt;9,1,IF(AND(X30&gt;7,X30&lt;=8.9),2,IF(AND(X30&gt;4,X30&lt;=6.9),3,IF(AND(X30&gt;0,X30&lt;=3.9),4,0))))</f>
        <v>3</v>
      </c>
      <c r="Y29" s="20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x14ac:dyDescent="0.25">
      <c r="B30" t="s">
        <v>32</v>
      </c>
      <c r="C30" s="3"/>
      <c r="D30" s="3"/>
      <c r="E30" s="3"/>
      <c r="F30" s="3"/>
      <c r="G30">
        <v>8</v>
      </c>
      <c r="M30">
        <f>MEDIAN(G29:G31)</f>
        <v>8</v>
      </c>
      <c r="N30">
        <f>M30+M29*0.25</f>
        <v>8.25</v>
      </c>
      <c r="O30">
        <f>N30+M29*0.66</f>
        <v>8.91</v>
      </c>
      <c r="P30">
        <f>O30+M29*1</f>
        <v>9.91</v>
      </c>
      <c r="Q30">
        <f>P30+M29*1.5</f>
        <v>11.41</v>
      </c>
      <c r="R30">
        <f>IF((G30)&lt;Q29,10,IF(AND(G30&gt;=Q29,G30&lt;P29),7.75,IF(AND(G30&gt;=P29,G30&lt;O29),5.5,IF(AND(G30&gt;=O29,G30&lt;N29),3.25,IF(AND(G30&gt;=N29,G30&lt;=N30),1,IF(AND(G30&gt;N30,G30&lt;=O30),3.25,IF(AND(G30&gt;O30,G30&lt;=P30),5.5,IF(AND(G30&gt;P30,G30&lt;=Q30),7.75,10))))))))</f>
        <v>1</v>
      </c>
      <c r="S30" s="22">
        <f>BaseScore!$G$13</f>
        <v>3.7647008405999998</v>
      </c>
      <c r="T30" s="22">
        <f>EnvirScore!$G$13</f>
        <v>2.9500433045999999</v>
      </c>
      <c r="U30" s="22">
        <f t="shared" si="0"/>
        <v>7.7147441451999992</v>
      </c>
      <c r="V30" s="30">
        <f>((R29+S29)+(R30+S30)+(R31+S31))/3</f>
        <v>4.7647008405999998</v>
      </c>
      <c r="W30" s="30">
        <f>((R29+T29)+(R30+T30)+(R31+T31))/3</f>
        <v>3.9500433045999999</v>
      </c>
      <c r="X30" s="30">
        <f>(SUM(V30:W30))/2</f>
        <v>4.3573720725999996</v>
      </c>
      <c r="Y30" s="20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5.75" thickBot="1" x14ac:dyDescent="0.3">
      <c r="B31" t="s">
        <v>33</v>
      </c>
      <c r="C31" s="3"/>
      <c r="D31" s="3"/>
      <c r="E31" s="3"/>
      <c r="F31" s="3"/>
      <c r="G31">
        <v>8</v>
      </c>
      <c r="R31">
        <f>IF((G31)&lt;Q29,10,IF(AND(G31&gt;=Q29,G31&lt;P29),7.75,IF(AND(G31&gt;=P29,G31&lt;O29),5.5,IF(AND(G31&gt;=O29,G31&lt;N29),3.25,IF(AND(G31&gt;=N29,G31&lt;=N30),1,IF(AND(G31&gt;N30,G31&lt;=O30),3.25,IF(AND(G31&gt;O30,G31&lt;=P30),5.5,IF(AND(G31&gt;P30,G31&lt;=Q30),7.75,10))))))))</f>
        <v>1</v>
      </c>
      <c r="S31" s="22">
        <f>BaseScore!$G$13</f>
        <v>3.7647008405999998</v>
      </c>
      <c r="T31" s="22">
        <f>EnvirScore!$G$13</f>
        <v>2.9500433045999999</v>
      </c>
      <c r="U31" s="22">
        <f t="shared" si="0"/>
        <v>7.7147441451999992</v>
      </c>
      <c r="V31" s="32"/>
      <c r="W31" s="32"/>
      <c r="X31" s="32"/>
      <c r="Y31" s="20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5.75" thickBot="1" x14ac:dyDescent="0.3">
      <c r="A32" s="13" t="s">
        <v>34</v>
      </c>
      <c r="B32" s="13" t="s">
        <v>31</v>
      </c>
      <c r="C32" s="13"/>
      <c r="D32" s="13"/>
      <c r="E32" s="13"/>
      <c r="F32" s="13"/>
      <c r="G32" s="13">
        <f>MEDIAN(G5)</f>
        <v>1440</v>
      </c>
      <c r="H32" s="13">
        <f>_xlfn.STDEV.S(G32,G33,G34)</f>
        <v>0</v>
      </c>
      <c r="I32" s="13">
        <f t="shared" ref="I32" si="17">IF(H32=0,1,H32)</f>
        <v>1</v>
      </c>
      <c r="J32" s="13">
        <v>1</v>
      </c>
      <c r="K32" s="13">
        <f>SUM(G32:G34)</f>
        <v>4320</v>
      </c>
      <c r="L32" s="13">
        <f t="shared" ref="L32" si="18">K32/I32</f>
        <v>4320</v>
      </c>
      <c r="M32" s="13">
        <f>I32</f>
        <v>1</v>
      </c>
      <c r="N32" s="13">
        <f>M33-M32*0.25</f>
        <v>1439.75</v>
      </c>
      <c r="O32" s="13">
        <f>N32-M32*0.66</f>
        <v>1439.09</v>
      </c>
      <c r="P32" s="13">
        <f>O32-M32*1</f>
        <v>1438.09</v>
      </c>
      <c r="Q32" s="13">
        <f>P32-M32*1.5</f>
        <v>1436.59</v>
      </c>
      <c r="R32" s="13">
        <f>IF((G32)&lt;Q32,1,IF(AND(G32&gt;=Q32,G32&lt;P32),7.75,IF(AND(G32&gt;=P32,G32&lt;O32),5.5,IF(AND(G32&gt;=O32,G32&lt;N32),3.25,IF(AND(G32&gt;=N32,G32&lt;=N33),1,IF(AND(G32&gt;N33,G32&lt;=O33),3.25,IF(AND(G32&gt;O33,G32&lt;=P33),5.5,IF(AND(G32&gt;P33,G32&lt;=Q33),7.75,10))))))))</f>
        <v>1</v>
      </c>
      <c r="S32" s="22">
        <f>BaseScore!$G$14</f>
        <v>3.7647008405999998</v>
      </c>
      <c r="T32" s="22">
        <f>EnvirScore!$G$14</f>
        <v>2.9500433045999999</v>
      </c>
      <c r="U32" s="22">
        <f t="shared" si="0"/>
        <v>7.7147441451999992</v>
      </c>
      <c r="V32" s="24">
        <f>IF((V33)&gt;9,1,IF(AND(V33&gt;7,V33&lt;=8.9),2,IF(AND(V33&gt;4,V33&lt;=6.9),3,IF(AND(V33&gt;0,V33&lt;=3.9),4,0))))</f>
        <v>3</v>
      </c>
      <c r="W32" s="25">
        <f>IF((W33)&gt;9,1,IF(AND(W33&gt;7,W33&lt;=8.9),2,IF(AND(W33&gt;4,W33&lt;=6.9),3,IF(AND(W33&gt;0,W33&lt;=3.9),4,0))))</f>
        <v>0</v>
      </c>
      <c r="X32" s="26">
        <f>IF((X33)&gt;9,1,IF(AND(X33&gt;7,X33&lt;=8.9),2,IF(AND(X33&gt;4,X33&lt;=6.9),3,IF(AND(X33&gt;0,X33&lt;=3.9),4,0))))</f>
        <v>3</v>
      </c>
      <c r="Y32" s="20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3" x14ac:dyDescent="0.25">
      <c r="B33" t="s">
        <v>32</v>
      </c>
      <c r="C33" s="3"/>
      <c r="D33" s="3"/>
      <c r="E33" s="3"/>
      <c r="F33" s="3"/>
      <c r="G33">
        <f t="shared" ref="G33:G34" si="19">MEDIAN(G6)</f>
        <v>1440</v>
      </c>
      <c r="M33">
        <f>MEDIAN(G32:G34)</f>
        <v>1440</v>
      </c>
      <c r="N33">
        <f>M33+M32*0.25</f>
        <v>1440.25</v>
      </c>
      <c r="O33">
        <f>N33+M32*0.66</f>
        <v>1440.91</v>
      </c>
      <c r="P33">
        <f>O33+M32*1</f>
        <v>1441.91</v>
      </c>
      <c r="Q33">
        <f>P33+M32*1.5</f>
        <v>1443.41</v>
      </c>
      <c r="R33">
        <f>IF((G33)&lt;Q32,10,IF(AND(G33&gt;=Q32,G33&lt;P32),7.75,IF(AND(G33&gt;=P32,G33&lt;O32),5.5,IF(AND(G33&gt;=O32,G33&lt;N32),3.25,IF(AND(G33&gt;=N32,G33&lt;=N33),1,IF(AND(G33&gt;N33,G33&lt;=O33),3.25,IF(AND(G33&gt;O33,G33&lt;=P33),5.5,IF(AND(G33&gt;P33,G33&lt;=Q33),7.75,10))))))))</f>
        <v>1</v>
      </c>
      <c r="S33" s="22">
        <f>BaseScore!$G$14</f>
        <v>3.7647008405999998</v>
      </c>
      <c r="T33" s="22">
        <f>EnvirScore!$G$14</f>
        <v>2.9500433045999999</v>
      </c>
      <c r="U33" s="22">
        <f t="shared" si="0"/>
        <v>7.7147441451999992</v>
      </c>
      <c r="V33" s="30">
        <f>((R32+S32)+(R33+S33)+(R34+S34))/3</f>
        <v>4.7647008405999998</v>
      </c>
      <c r="W33" s="30">
        <f>((R32+T32)+(R33+T33)+(R34+T34))/3</f>
        <v>3.9500433045999999</v>
      </c>
      <c r="X33" s="30">
        <f>(SUM(V33:W33))/2</f>
        <v>4.3573720725999996</v>
      </c>
      <c r="Y33" s="20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3" x14ac:dyDescent="0.25">
      <c r="B34" t="s">
        <v>33</v>
      </c>
      <c r="C34" s="3"/>
      <c r="D34" s="3"/>
      <c r="E34" s="3"/>
      <c r="F34" s="3"/>
      <c r="G34">
        <f t="shared" si="19"/>
        <v>1440</v>
      </c>
      <c r="R34">
        <f>IF((G34)&lt;Q32,10,IF(AND(G34&gt;=Q32,G34&lt;P32),7.75,IF(AND(G34&gt;=P32,G34&lt;O32),5.5,IF(AND(G34&gt;=O32,G34&lt;N32),3.25,IF(AND(G34&gt;=N32,G34&lt;=N33),1,IF(AND(G34&gt;N33,G34&lt;=O33),3.25,IF(AND(G34&gt;O33,G34&lt;=P33),5.5,IF(AND(G34&gt;P33,G34&lt;=Q33),7.75,10))))))))</f>
        <v>1</v>
      </c>
      <c r="S34" s="22">
        <f>BaseScore!$G$14</f>
        <v>3.7647008405999998</v>
      </c>
      <c r="T34" s="22">
        <f>EnvirScore!$G$14</f>
        <v>2.9500433045999999</v>
      </c>
      <c r="U34" s="22">
        <f t="shared" si="0"/>
        <v>7.7147441451999992</v>
      </c>
      <c r="V34" s="33"/>
      <c r="W34" s="33"/>
      <c r="X34" s="33"/>
      <c r="Y34" s="20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3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</row>
    <row r="36" spans="1:73" ht="15.75" thickBot="1" x14ac:dyDescent="0.3">
      <c r="T36" s="2" t="s">
        <v>40</v>
      </c>
      <c r="U36">
        <f>SUM(U2:U35)</f>
        <v>305.36307531959983</v>
      </c>
      <c r="V36" s="21">
        <f t="shared" ref="V36:W36" si="20">(SUM(V3,V6,V9,V12,V15,V18,V24,V27,V30,V33))/11</f>
        <v>5.3038096950909077</v>
      </c>
      <c r="W36" s="21">
        <f t="shared" si="20"/>
        <v>4.8661692063636357</v>
      </c>
      <c r="X36" s="30">
        <f>(SUM(V36:W36))/2</f>
        <v>5.0849894507272717</v>
      </c>
    </row>
    <row r="37" spans="1:73" ht="19.5" thickBot="1" x14ac:dyDescent="0.35">
      <c r="S37" s="8"/>
      <c r="U37" s="10" t="s">
        <v>80</v>
      </c>
      <c r="V37" s="27">
        <f>IF((V36)&gt;9,1,IF(AND(V36&gt;7,V36&lt;=8.9),2,IF(AND(V36&gt;4,V36&lt;=6.9),3,IF(AND(V36&gt;0,V36&lt;=3.9),4,0))))</f>
        <v>3</v>
      </c>
      <c r="W37" s="28">
        <f>IF((W36)&gt;9,1,IF(AND(W36&gt;7,W36&lt;=8.9),2,IF(AND(W36&gt;4,W36&lt;=6.9),3,IF(AND(W36&gt;0,W36&lt;=3.9),4,0))))</f>
        <v>3</v>
      </c>
      <c r="X37" s="29">
        <f>IF((X36)&gt;9,1,IF(AND(X36&gt;7,X36&lt;=8.9),2,IF(AND(X36&gt;4,X36&lt;=6.9),3,IF(AND(X36&gt;0,X36&lt;=3.9),4,0))))</f>
        <v>3</v>
      </c>
    </row>
    <row r="38" spans="1:73" x14ac:dyDescent="0.25">
      <c r="P38" s="7"/>
      <c r="Q38" s="7"/>
    </row>
    <row r="39" spans="1:73" x14ac:dyDescent="0.25">
      <c r="P39" s="7"/>
      <c r="Q39" s="7"/>
      <c r="T39" s="2" t="s">
        <v>55</v>
      </c>
      <c r="U39" s="39" t="s">
        <v>71</v>
      </c>
      <c r="V39" s="39"/>
      <c r="W39" s="39"/>
      <c r="X39" s="39"/>
      <c r="Y39" s="39"/>
    </row>
    <row r="40" spans="1:73" x14ac:dyDescent="0.25">
      <c r="P40" s="7"/>
      <c r="Q40" s="7"/>
      <c r="U40" s="40" t="s">
        <v>72</v>
      </c>
      <c r="V40" s="40"/>
      <c r="W40" s="40"/>
      <c r="X40" s="40"/>
      <c r="Y40" s="40"/>
    </row>
    <row r="41" spans="1:73" x14ac:dyDescent="0.25">
      <c r="U41" s="41" t="s">
        <v>73</v>
      </c>
      <c r="V41" s="41"/>
      <c r="W41" s="41"/>
      <c r="X41" s="41"/>
      <c r="Y41" s="41"/>
    </row>
    <row r="42" spans="1:73" x14ac:dyDescent="0.25">
      <c r="U42" s="42" t="s">
        <v>74</v>
      </c>
      <c r="V42" s="42"/>
      <c r="W42" s="42"/>
      <c r="X42" s="42"/>
      <c r="Y42" s="42"/>
    </row>
  </sheetData>
  <dataConsolidate/>
  <mergeCells count="4">
    <mergeCell ref="U39:Y39"/>
    <mergeCell ref="U40:Y40"/>
    <mergeCell ref="U41:Y41"/>
    <mergeCell ref="U42:Y42"/>
  </mergeCells>
  <conditionalFormatting sqref="X11">
    <cfRule type="cellIs" dxfId="563" priority="129" operator="equal">
      <formula>1</formula>
    </cfRule>
    <cfRule type="cellIs" dxfId="562" priority="130" operator="equal">
      <formula>2</formula>
    </cfRule>
    <cfRule type="cellIs" dxfId="561" priority="131" operator="equal">
      <formula>3</formula>
    </cfRule>
    <cfRule type="cellIs" dxfId="560" priority="132" operator="equal">
      <formula>4</formula>
    </cfRule>
  </conditionalFormatting>
  <conditionalFormatting sqref="X8">
    <cfRule type="cellIs" dxfId="559" priority="141" operator="equal">
      <formula>1</formula>
    </cfRule>
    <cfRule type="cellIs" dxfId="558" priority="142" operator="equal">
      <formula>2</formula>
    </cfRule>
    <cfRule type="cellIs" dxfId="557" priority="143" operator="equal">
      <formula>3</formula>
    </cfRule>
    <cfRule type="cellIs" dxfId="556" priority="144" operator="equal">
      <formula>4</formula>
    </cfRule>
  </conditionalFormatting>
  <conditionalFormatting sqref="V11">
    <cfRule type="cellIs" dxfId="555" priority="85" operator="equal">
      <formula>1</formula>
    </cfRule>
    <cfRule type="cellIs" dxfId="554" priority="86" operator="equal">
      <formula>2</formula>
    </cfRule>
    <cfRule type="cellIs" dxfId="553" priority="87" operator="equal">
      <formula>3</formula>
    </cfRule>
    <cfRule type="cellIs" dxfId="552" priority="88" operator="equal">
      <formula>4</formula>
    </cfRule>
  </conditionalFormatting>
  <conditionalFormatting sqref="X2">
    <cfRule type="cellIs" dxfId="551" priority="137" operator="equal">
      <formula>1</formula>
    </cfRule>
    <cfRule type="cellIs" dxfId="550" priority="138" operator="equal">
      <formula>2</formula>
    </cfRule>
    <cfRule type="cellIs" dxfId="549" priority="139" operator="equal">
      <formula>3</formula>
    </cfRule>
    <cfRule type="cellIs" dxfId="548" priority="140" operator="equal">
      <formula>4</formula>
    </cfRule>
  </conditionalFormatting>
  <conditionalFormatting sqref="X5">
    <cfRule type="cellIs" dxfId="547" priority="133" operator="equal">
      <formula>1</formula>
    </cfRule>
    <cfRule type="cellIs" dxfId="546" priority="134" operator="equal">
      <formula>2</formula>
    </cfRule>
    <cfRule type="cellIs" dxfId="545" priority="135" operator="equal">
      <formula>3</formula>
    </cfRule>
    <cfRule type="cellIs" dxfId="544" priority="136" operator="equal">
      <formula>4</formula>
    </cfRule>
  </conditionalFormatting>
  <conditionalFormatting sqref="X14">
    <cfRule type="cellIs" dxfId="543" priority="125" operator="equal">
      <formula>1</formula>
    </cfRule>
    <cfRule type="cellIs" dxfId="542" priority="126" operator="equal">
      <formula>2</formula>
    </cfRule>
    <cfRule type="cellIs" dxfId="541" priority="127" operator="equal">
      <formula>3</formula>
    </cfRule>
    <cfRule type="cellIs" dxfId="540" priority="128" operator="equal">
      <formula>4</formula>
    </cfRule>
  </conditionalFormatting>
  <conditionalFormatting sqref="X17">
    <cfRule type="cellIs" dxfId="539" priority="121" operator="equal">
      <formula>1</formula>
    </cfRule>
    <cfRule type="cellIs" dxfId="538" priority="122" operator="equal">
      <formula>2</formula>
    </cfRule>
    <cfRule type="cellIs" dxfId="537" priority="123" operator="equal">
      <formula>3</formula>
    </cfRule>
    <cfRule type="cellIs" dxfId="536" priority="124" operator="equal">
      <formula>4</formula>
    </cfRule>
  </conditionalFormatting>
  <conditionalFormatting sqref="X20">
    <cfRule type="cellIs" dxfId="535" priority="117" operator="equal">
      <formula>1</formula>
    </cfRule>
    <cfRule type="cellIs" dxfId="534" priority="118" operator="equal">
      <formula>2</formula>
    </cfRule>
    <cfRule type="cellIs" dxfId="533" priority="119" operator="equal">
      <formula>3</formula>
    </cfRule>
    <cfRule type="cellIs" dxfId="532" priority="120" operator="equal">
      <formula>4</formula>
    </cfRule>
  </conditionalFormatting>
  <conditionalFormatting sqref="X23">
    <cfRule type="cellIs" dxfId="531" priority="113" operator="equal">
      <formula>1</formula>
    </cfRule>
    <cfRule type="cellIs" dxfId="530" priority="114" operator="equal">
      <formula>2</formula>
    </cfRule>
    <cfRule type="cellIs" dxfId="529" priority="115" operator="equal">
      <formula>3</formula>
    </cfRule>
    <cfRule type="cellIs" dxfId="528" priority="116" operator="equal">
      <formula>4</formula>
    </cfRule>
  </conditionalFormatting>
  <conditionalFormatting sqref="X26">
    <cfRule type="cellIs" dxfId="527" priority="109" operator="equal">
      <formula>1</formula>
    </cfRule>
    <cfRule type="cellIs" dxfId="526" priority="110" operator="equal">
      <formula>2</formula>
    </cfRule>
    <cfRule type="cellIs" dxfId="525" priority="111" operator="equal">
      <formula>3</formula>
    </cfRule>
    <cfRule type="cellIs" dxfId="524" priority="112" operator="equal">
      <formula>4</formula>
    </cfRule>
  </conditionalFormatting>
  <conditionalFormatting sqref="X29">
    <cfRule type="cellIs" dxfId="523" priority="105" operator="equal">
      <formula>1</formula>
    </cfRule>
    <cfRule type="cellIs" dxfId="522" priority="106" operator="equal">
      <formula>2</formula>
    </cfRule>
    <cfRule type="cellIs" dxfId="521" priority="107" operator="equal">
      <formula>3</formula>
    </cfRule>
    <cfRule type="cellIs" dxfId="520" priority="108" operator="equal">
      <formula>4</formula>
    </cfRule>
  </conditionalFormatting>
  <conditionalFormatting sqref="X32">
    <cfRule type="cellIs" dxfId="519" priority="101" operator="equal">
      <formula>1</formula>
    </cfRule>
    <cfRule type="cellIs" dxfId="518" priority="102" operator="equal">
      <formula>2</formula>
    </cfRule>
    <cfRule type="cellIs" dxfId="517" priority="103" operator="equal">
      <formula>3</formula>
    </cfRule>
    <cfRule type="cellIs" dxfId="516" priority="104" operator="equal">
      <formula>4</formula>
    </cfRule>
  </conditionalFormatting>
  <conditionalFormatting sqref="V2">
    <cfRule type="cellIs" dxfId="515" priority="97" operator="equal">
      <formula>1</formula>
    </cfRule>
    <cfRule type="cellIs" dxfId="514" priority="98" operator="equal">
      <formula>2</formula>
    </cfRule>
    <cfRule type="cellIs" dxfId="513" priority="99" operator="equal">
      <formula>3</formula>
    </cfRule>
    <cfRule type="cellIs" dxfId="512" priority="100" operator="equal">
      <formula>4</formula>
    </cfRule>
  </conditionalFormatting>
  <conditionalFormatting sqref="V5">
    <cfRule type="cellIs" dxfId="511" priority="93" operator="equal">
      <formula>1</formula>
    </cfRule>
    <cfRule type="cellIs" dxfId="510" priority="94" operator="equal">
      <formula>2</formula>
    </cfRule>
    <cfRule type="cellIs" dxfId="509" priority="95" operator="equal">
      <formula>3</formula>
    </cfRule>
    <cfRule type="cellIs" dxfId="508" priority="96" operator="equal">
      <formula>4</formula>
    </cfRule>
  </conditionalFormatting>
  <conditionalFormatting sqref="V8">
    <cfRule type="cellIs" dxfId="507" priority="89" operator="equal">
      <formula>1</formula>
    </cfRule>
    <cfRule type="cellIs" dxfId="506" priority="90" operator="equal">
      <formula>2</formula>
    </cfRule>
    <cfRule type="cellIs" dxfId="505" priority="91" operator="equal">
      <formula>3</formula>
    </cfRule>
    <cfRule type="cellIs" dxfId="504" priority="92" operator="equal">
      <formula>4</formula>
    </cfRule>
  </conditionalFormatting>
  <conditionalFormatting sqref="V14">
    <cfRule type="cellIs" dxfId="503" priority="81" operator="equal">
      <formula>1</formula>
    </cfRule>
    <cfRule type="cellIs" dxfId="502" priority="82" operator="equal">
      <formula>2</formula>
    </cfRule>
    <cfRule type="cellIs" dxfId="501" priority="83" operator="equal">
      <formula>3</formula>
    </cfRule>
    <cfRule type="cellIs" dxfId="500" priority="84" operator="equal">
      <formula>4</formula>
    </cfRule>
  </conditionalFormatting>
  <conditionalFormatting sqref="V17">
    <cfRule type="cellIs" dxfId="499" priority="77" operator="equal">
      <formula>1</formula>
    </cfRule>
    <cfRule type="cellIs" dxfId="498" priority="78" operator="equal">
      <formula>2</formula>
    </cfRule>
    <cfRule type="cellIs" dxfId="497" priority="79" operator="equal">
      <formula>3</formula>
    </cfRule>
    <cfRule type="cellIs" dxfId="496" priority="80" operator="equal">
      <formula>4</formula>
    </cfRule>
  </conditionalFormatting>
  <conditionalFormatting sqref="V20">
    <cfRule type="cellIs" dxfId="495" priority="73" operator="equal">
      <formula>1</formula>
    </cfRule>
    <cfRule type="cellIs" dxfId="494" priority="74" operator="equal">
      <formula>2</formula>
    </cfRule>
    <cfRule type="cellIs" dxfId="493" priority="75" operator="equal">
      <formula>3</formula>
    </cfRule>
    <cfRule type="cellIs" dxfId="492" priority="76" operator="equal">
      <formula>4</formula>
    </cfRule>
  </conditionalFormatting>
  <conditionalFormatting sqref="V23">
    <cfRule type="cellIs" dxfId="491" priority="69" operator="equal">
      <formula>1</formula>
    </cfRule>
    <cfRule type="cellIs" dxfId="490" priority="70" operator="equal">
      <formula>2</formula>
    </cfRule>
    <cfRule type="cellIs" dxfId="489" priority="71" operator="equal">
      <formula>3</formula>
    </cfRule>
    <cfRule type="cellIs" dxfId="488" priority="72" operator="equal">
      <formula>4</formula>
    </cfRule>
  </conditionalFormatting>
  <conditionalFormatting sqref="V26">
    <cfRule type="cellIs" dxfId="487" priority="65" operator="equal">
      <formula>1</formula>
    </cfRule>
    <cfRule type="cellIs" dxfId="486" priority="66" operator="equal">
      <formula>2</formula>
    </cfRule>
    <cfRule type="cellIs" dxfId="485" priority="67" operator="equal">
      <formula>3</formula>
    </cfRule>
    <cfRule type="cellIs" dxfId="484" priority="68" operator="equal">
      <formula>4</formula>
    </cfRule>
  </conditionalFormatting>
  <conditionalFormatting sqref="V29">
    <cfRule type="cellIs" dxfId="483" priority="61" operator="equal">
      <formula>1</formula>
    </cfRule>
    <cfRule type="cellIs" dxfId="482" priority="62" operator="equal">
      <formula>2</formula>
    </cfRule>
    <cfRule type="cellIs" dxfId="481" priority="63" operator="equal">
      <formula>3</formula>
    </cfRule>
    <cfRule type="cellIs" dxfId="480" priority="64" operator="equal">
      <formula>4</formula>
    </cfRule>
  </conditionalFormatting>
  <conditionalFormatting sqref="V32">
    <cfRule type="cellIs" dxfId="479" priority="57" operator="equal">
      <formula>1</formula>
    </cfRule>
    <cfRule type="cellIs" dxfId="478" priority="58" operator="equal">
      <formula>2</formula>
    </cfRule>
    <cfRule type="cellIs" dxfId="477" priority="59" operator="equal">
      <formula>3</formula>
    </cfRule>
    <cfRule type="cellIs" dxfId="476" priority="60" operator="equal">
      <formula>4</formula>
    </cfRule>
  </conditionalFormatting>
  <conditionalFormatting sqref="W2">
    <cfRule type="cellIs" dxfId="475" priority="53" operator="equal">
      <formula>1</formula>
    </cfRule>
    <cfRule type="cellIs" dxfId="474" priority="54" operator="equal">
      <formula>2</formula>
    </cfRule>
    <cfRule type="cellIs" dxfId="473" priority="55" operator="equal">
      <formula>3</formula>
    </cfRule>
    <cfRule type="cellIs" dxfId="472" priority="56" operator="equal">
      <formula>4</formula>
    </cfRule>
  </conditionalFormatting>
  <conditionalFormatting sqref="W5">
    <cfRule type="cellIs" dxfId="471" priority="49" operator="equal">
      <formula>1</formula>
    </cfRule>
    <cfRule type="cellIs" dxfId="470" priority="50" operator="equal">
      <formula>2</formula>
    </cfRule>
    <cfRule type="cellIs" dxfId="469" priority="51" operator="equal">
      <formula>3</formula>
    </cfRule>
    <cfRule type="cellIs" dxfId="468" priority="52" operator="equal">
      <formula>4</formula>
    </cfRule>
  </conditionalFormatting>
  <conditionalFormatting sqref="W8">
    <cfRule type="cellIs" dxfId="467" priority="45" operator="equal">
      <formula>1</formula>
    </cfRule>
    <cfRule type="cellIs" dxfId="466" priority="46" operator="equal">
      <formula>2</formula>
    </cfRule>
    <cfRule type="cellIs" dxfId="465" priority="47" operator="equal">
      <formula>3</formula>
    </cfRule>
    <cfRule type="cellIs" dxfId="464" priority="48" operator="equal">
      <formula>4</formula>
    </cfRule>
  </conditionalFormatting>
  <conditionalFormatting sqref="W11">
    <cfRule type="cellIs" dxfId="463" priority="41" operator="equal">
      <formula>1</formula>
    </cfRule>
    <cfRule type="cellIs" dxfId="462" priority="42" operator="equal">
      <formula>2</formula>
    </cfRule>
    <cfRule type="cellIs" dxfId="461" priority="43" operator="equal">
      <formula>3</formula>
    </cfRule>
    <cfRule type="cellIs" dxfId="460" priority="44" operator="equal">
      <formula>4</formula>
    </cfRule>
  </conditionalFormatting>
  <conditionalFormatting sqref="W14">
    <cfRule type="cellIs" dxfId="459" priority="37" operator="equal">
      <formula>1</formula>
    </cfRule>
    <cfRule type="cellIs" dxfId="458" priority="38" operator="equal">
      <formula>2</formula>
    </cfRule>
    <cfRule type="cellIs" dxfId="457" priority="39" operator="equal">
      <formula>3</formula>
    </cfRule>
    <cfRule type="cellIs" dxfId="456" priority="40" operator="equal">
      <formula>4</formula>
    </cfRule>
  </conditionalFormatting>
  <conditionalFormatting sqref="W17">
    <cfRule type="cellIs" dxfId="455" priority="33" operator="equal">
      <formula>1</formula>
    </cfRule>
    <cfRule type="cellIs" dxfId="454" priority="34" operator="equal">
      <formula>2</formula>
    </cfRule>
    <cfRule type="cellIs" dxfId="453" priority="35" operator="equal">
      <formula>3</formula>
    </cfRule>
    <cfRule type="cellIs" dxfId="452" priority="36" operator="equal">
      <formula>4</formula>
    </cfRule>
  </conditionalFormatting>
  <conditionalFormatting sqref="W20">
    <cfRule type="cellIs" dxfId="451" priority="29" operator="equal">
      <formula>1</formula>
    </cfRule>
    <cfRule type="cellIs" dxfId="450" priority="30" operator="equal">
      <formula>2</formula>
    </cfRule>
    <cfRule type="cellIs" dxfId="449" priority="31" operator="equal">
      <formula>3</formula>
    </cfRule>
    <cfRule type="cellIs" dxfId="448" priority="32" operator="equal">
      <formula>4</formula>
    </cfRule>
  </conditionalFormatting>
  <conditionalFormatting sqref="W23">
    <cfRule type="cellIs" dxfId="447" priority="25" operator="equal">
      <formula>1</formula>
    </cfRule>
    <cfRule type="cellIs" dxfId="446" priority="26" operator="equal">
      <formula>2</formula>
    </cfRule>
    <cfRule type="cellIs" dxfId="445" priority="27" operator="equal">
      <formula>3</formula>
    </cfRule>
    <cfRule type="cellIs" dxfId="444" priority="28" operator="equal">
      <formula>4</formula>
    </cfRule>
  </conditionalFormatting>
  <conditionalFormatting sqref="W26">
    <cfRule type="cellIs" dxfId="443" priority="21" operator="equal">
      <formula>1</formula>
    </cfRule>
    <cfRule type="cellIs" dxfId="442" priority="22" operator="equal">
      <formula>2</formula>
    </cfRule>
    <cfRule type="cellIs" dxfId="441" priority="23" operator="equal">
      <formula>3</formula>
    </cfRule>
    <cfRule type="cellIs" dxfId="440" priority="24" operator="equal">
      <formula>4</formula>
    </cfRule>
  </conditionalFormatting>
  <conditionalFormatting sqref="W29">
    <cfRule type="cellIs" dxfId="439" priority="17" operator="equal">
      <formula>1</formula>
    </cfRule>
    <cfRule type="cellIs" dxfId="438" priority="18" operator="equal">
      <formula>2</formula>
    </cfRule>
    <cfRule type="cellIs" dxfId="437" priority="19" operator="equal">
      <formula>3</formula>
    </cfRule>
    <cfRule type="cellIs" dxfId="436" priority="20" operator="equal">
      <formula>4</formula>
    </cfRule>
  </conditionalFormatting>
  <conditionalFormatting sqref="W32">
    <cfRule type="cellIs" dxfId="435" priority="13" operator="equal">
      <formula>1</formula>
    </cfRule>
    <cfRule type="cellIs" dxfId="434" priority="14" operator="equal">
      <formula>2</formula>
    </cfRule>
    <cfRule type="cellIs" dxfId="433" priority="15" operator="equal">
      <formula>3</formula>
    </cfRule>
    <cfRule type="cellIs" dxfId="432" priority="16" operator="equal">
      <formula>4</formula>
    </cfRule>
  </conditionalFormatting>
  <conditionalFormatting sqref="X37">
    <cfRule type="cellIs" dxfId="431" priority="9" operator="equal">
      <formula>1</formula>
    </cfRule>
    <cfRule type="cellIs" dxfId="430" priority="10" operator="equal">
      <formula>2</formula>
    </cfRule>
    <cfRule type="cellIs" dxfId="429" priority="11" operator="equal">
      <formula>3</formula>
    </cfRule>
    <cfRule type="cellIs" dxfId="428" priority="12" operator="equal">
      <formula>4</formula>
    </cfRule>
  </conditionalFormatting>
  <conditionalFormatting sqref="V37">
    <cfRule type="cellIs" dxfId="427" priority="5" operator="equal">
      <formula>1</formula>
    </cfRule>
    <cfRule type="cellIs" dxfId="426" priority="6" operator="equal">
      <formula>2</formula>
    </cfRule>
    <cfRule type="cellIs" dxfId="425" priority="7" operator="equal">
      <formula>3</formula>
    </cfRule>
    <cfRule type="cellIs" dxfId="424" priority="8" operator="equal">
      <formula>4</formula>
    </cfRule>
  </conditionalFormatting>
  <conditionalFormatting sqref="W37">
    <cfRule type="cellIs" dxfId="423" priority="1" operator="equal">
      <formula>1</formula>
    </cfRule>
    <cfRule type="cellIs" dxfId="422" priority="2" operator="equal">
      <formula>2</formula>
    </cfRule>
    <cfRule type="cellIs" dxfId="421" priority="3" operator="equal">
      <formula>3</formula>
    </cfRule>
    <cfRule type="cellIs" dxfId="420" priority="4" operator="equal">
      <formula>4</formula>
    </cfRule>
  </conditionalFormatting>
  <dataValidations count="1">
    <dataValidation type="list" allowBlank="1" showInputMessage="1" showErrorMessage="1" sqref="C26:F28">
      <formula1>Types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A8" sqref="A8:XFD8"/>
    </sheetView>
  </sheetViews>
  <sheetFormatPr defaultRowHeight="15" x14ac:dyDescent="0.25"/>
  <cols>
    <col min="1" max="1" width="27.85546875" bestFit="1" customWidth="1"/>
    <col min="2" max="2" width="10.7109375" bestFit="1" customWidth="1"/>
    <col min="3" max="3" width="12.42578125" bestFit="1" customWidth="1"/>
    <col min="4" max="4" width="9.42578125" bestFit="1" customWidth="1"/>
    <col min="5" max="5" width="11.7109375" bestFit="1" customWidth="1"/>
    <col min="6" max="6" width="15.7109375" bestFit="1" customWidth="1"/>
    <col min="7" max="7" width="15.7109375" customWidth="1"/>
    <col min="8" max="8" width="19.7109375" bestFit="1" customWidth="1"/>
  </cols>
  <sheetData>
    <row r="1" spans="1:9" x14ac:dyDescent="0.25">
      <c r="A1" s="1" t="s">
        <v>9</v>
      </c>
      <c r="B1" s="1" t="s">
        <v>6</v>
      </c>
      <c r="C1" s="1" t="s">
        <v>7</v>
      </c>
      <c r="D1" s="1" t="s">
        <v>8</v>
      </c>
      <c r="E1" s="1" t="s">
        <v>64</v>
      </c>
      <c r="F1" s="1" t="s">
        <v>56</v>
      </c>
      <c r="G1" s="1" t="s">
        <v>65</v>
      </c>
      <c r="H1" s="1" t="s">
        <v>13</v>
      </c>
      <c r="I1" s="1" t="s">
        <v>15</v>
      </c>
    </row>
    <row r="2" spans="1:9" x14ac:dyDescent="0.25">
      <c r="A2" t="s">
        <v>10</v>
      </c>
      <c r="B2">
        <v>0.35</v>
      </c>
      <c r="C2">
        <v>0.35</v>
      </c>
      <c r="D2">
        <v>0.48</v>
      </c>
      <c r="E2">
        <f>B2*C2*D2*20</f>
        <v>1.1759999999999997</v>
      </c>
      <c r="F2">
        <f>10.41*(1-(1-F20/100)*(1-F21)*(1-F22))</f>
        <v>6.3609003749999999</v>
      </c>
      <c r="G2" s="21">
        <f>(0.6*F2+0.4*E2-1.5)*1.176</f>
        <v>3.2774417045999993</v>
      </c>
      <c r="H2" t="s">
        <v>14</v>
      </c>
      <c r="I2" s="2">
        <v>3</v>
      </c>
    </row>
    <row r="3" spans="1:9" x14ac:dyDescent="0.25">
      <c r="A3" t="s">
        <v>11</v>
      </c>
      <c r="B3">
        <v>0.35</v>
      </c>
      <c r="C3">
        <v>0.35</v>
      </c>
      <c r="D3">
        <v>0.48</v>
      </c>
      <c r="E3">
        <f t="shared" ref="E3:E14" si="0">B3*C3*D3*20</f>
        <v>1.1759999999999997</v>
      </c>
      <c r="F3">
        <f>10.41*(1-(1-F20/100)*(1-F21)*(1-F22))</f>
        <v>6.3609003749999999</v>
      </c>
      <c r="G3" s="21">
        <f t="shared" ref="G3:G14" si="1">(0.6*F3+0.4*E3-1.5)*1.176</f>
        <v>3.2774417045999993</v>
      </c>
      <c r="H3" t="s">
        <v>23</v>
      </c>
      <c r="I3" s="2" t="s">
        <v>16</v>
      </c>
    </row>
    <row r="4" spans="1:9" x14ac:dyDescent="0.25">
      <c r="A4" s="4" t="s">
        <v>12</v>
      </c>
      <c r="B4">
        <v>0.48</v>
      </c>
      <c r="C4">
        <v>0.48</v>
      </c>
      <c r="D4">
        <v>0.48</v>
      </c>
      <c r="E4">
        <f t="shared" si="0"/>
        <v>2.21184</v>
      </c>
      <c r="F4">
        <f>10.41*(1-(1-F20/100)*(1-F21)*(1-F22))</f>
        <v>6.3609003749999999</v>
      </c>
      <c r="G4" s="21">
        <f t="shared" si="1"/>
        <v>3.7647008405999998</v>
      </c>
      <c r="H4" t="s">
        <v>14</v>
      </c>
      <c r="I4" s="2">
        <v>3</v>
      </c>
    </row>
    <row r="5" spans="1:9" x14ac:dyDescent="0.25">
      <c r="A5" t="s">
        <v>25</v>
      </c>
      <c r="B5">
        <v>0.48</v>
      </c>
      <c r="C5">
        <v>0.61</v>
      </c>
      <c r="D5">
        <v>0.66</v>
      </c>
      <c r="E5">
        <f t="shared" si="0"/>
        <v>3.86496</v>
      </c>
      <c r="F5">
        <f>10.41*(1-(1-F20/100)*(1-F21)*(1-F22))</f>
        <v>6.3609003749999999</v>
      </c>
      <c r="G5" s="21">
        <f t="shared" si="1"/>
        <v>4.542328488599999</v>
      </c>
      <c r="H5" t="s">
        <v>23</v>
      </c>
      <c r="I5" s="2" t="s">
        <v>16</v>
      </c>
    </row>
    <row r="6" spans="1:9" x14ac:dyDescent="0.25">
      <c r="A6" t="s">
        <v>17</v>
      </c>
      <c r="B6">
        <v>0.48</v>
      </c>
      <c r="C6">
        <v>0.61</v>
      </c>
      <c r="D6">
        <v>0.66</v>
      </c>
      <c r="E6">
        <f t="shared" si="0"/>
        <v>3.86496</v>
      </c>
      <c r="F6">
        <f>10.41*(1-(1-F20/100)*(1-F21)*(1-F22))</f>
        <v>6.3609003749999999</v>
      </c>
      <c r="G6" s="21">
        <f t="shared" si="1"/>
        <v>4.542328488599999</v>
      </c>
      <c r="H6" t="s">
        <v>23</v>
      </c>
      <c r="I6" s="2" t="s">
        <v>16</v>
      </c>
    </row>
    <row r="7" spans="1:9" x14ac:dyDescent="0.25">
      <c r="A7" t="s">
        <v>18</v>
      </c>
      <c r="B7">
        <v>0.48</v>
      </c>
      <c r="C7">
        <v>0.61</v>
      </c>
      <c r="D7">
        <v>0.66</v>
      </c>
      <c r="E7">
        <f t="shared" si="0"/>
        <v>3.86496</v>
      </c>
      <c r="F7">
        <f>10.41*(1-(1-F20/100)*(1-F21)*(1-F22))</f>
        <v>6.3609003749999999</v>
      </c>
      <c r="G7" s="21">
        <f t="shared" si="1"/>
        <v>4.542328488599999</v>
      </c>
      <c r="H7" t="s">
        <v>14</v>
      </c>
      <c r="I7" s="2">
        <v>3</v>
      </c>
    </row>
    <row r="8" spans="1:9" x14ac:dyDescent="0.25">
      <c r="A8" s="4" t="s">
        <v>19</v>
      </c>
      <c r="B8">
        <v>0.61</v>
      </c>
      <c r="C8">
        <v>0.35</v>
      </c>
      <c r="D8">
        <v>0.61</v>
      </c>
      <c r="E8">
        <f t="shared" si="0"/>
        <v>2.6046999999999998</v>
      </c>
      <c r="F8">
        <f>10.41*(1-(1-F20/100)*(1-F21)*(1-F22))</f>
        <v>6.3609003749999999</v>
      </c>
      <c r="G8" s="21">
        <f t="shared" si="1"/>
        <v>3.9495021845999996</v>
      </c>
      <c r="H8" t="s">
        <v>23</v>
      </c>
      <c r="I8" s="2" t="s">
        <v>16</v>
      </c>
    </row>
    <row r="9" spans="1:9" x14ac:dyDescent="0.25">
      <c r="A9" t="s">
        <v>20</v>
      </c>
      <c r="B9">
        <v>0.48</v>
      </c>
      <c r="C9">
        <v>0.48</v>
      </c>
      <c r="D9">
        <v>0.48</v>
      </c>
      <c r="E9">
        <f t="shared" si="0"/>
        <v>2.21184</v>
      </c>
      <c r="F9">
        <f>10.41*(1-(1-F20/100)*(1-F21)*(1-F22))</f>
        <v>6.3609003749999999</v>
      </c>
      <c r="G9" s="21">
        <f t="shared" si="1"/>
        <v>3.7647008405999998</v>
      </c>
      <c r="H9" t="s">
        <v>14</v>
      </c>
      <c r="I9" s="2">
        <v>3</v>
      </c>
    </row>
    <row r="10" spans="1:9" x14ac:dyDescent="0.25">
      <c r="A10" t="s">
        <v>21</v>
      </c>
      <c r="B10">
        <v>0.61</v>
      </c>
      <c r="C10">
        <v>0.61</v>
      </c>
      <c r="D10">
        <v>0.61</v>
      </c>
      <c r="E10">
        <f t="shared" si="0"/>
        <v>4.5396199999999993</v>
      </c>
      <c r="F10">
        <f>10.41*(1-(1-F20/100)*(1-F21)*(1-F22))</f>
        <v>6.3609003749999999</v>
      </c>
      <c r="G10" s="21">
        <f t="shared" si="1"/>
        <v>4.8596885525999998</v>
      </c>
      <c r="H10" t="s">
        <v>14</v>
      </c>
      <c r="I10" s="2">
        <v>3</v>
      </c>
    </row>
    <row r="11" spans="1:9" x14ac:dyDescent="0.25">
      <c r="A11" t="s">
        <v>22</v>
      </c>
      <c r="B11">
        <v>0.66</v>
      </c>
      <c r="C11">
        <v>0.66</v>
      </c>
      <c r="D11">
        <v>0.48</v>
      </c>
      <c r="E11">
        <f t="shared" si="0"/>
        <v>4.1817600000000006</v>
      </c>
      <c r="F11">
        <f>10.41*(1-(1-F20/100)*(1-F21)*(1-F22))</f>
        <v>6.3609003749999999</v>
      </c>
      <c r="G11" s="21">
        <f t="shared" si="1"/>
        <v>4.6913512085999995</v>
      </c>
      <c r="H11" t="s">
        <v>23</v>
      </c>
      <c r="I11" s="2" t="s">
        <v>16</v>
      </c>
    </row>
    <row r="12" spans="1:9" x14ac:dyDescent="0.25">
      <c r="A12" s="4" t="s">
        <v>24</v>
      </c>
      <c r="B12">
        <v>0.35</v>
      </c>
      <c r="C12">
        <v>0.66</v>
      </c>
      <c r="D12">
        <v>0.48</v>
      </c>
      <c r="E12">
        <f t="shared" si="0"/>
        <v>2.2176</v>
      </c>
      <c r="F12">
        <f>10.41*(1-(1-F20/100)*(1-F21)*(1-F22))</f>
        <v>6.3609003749999999</v>
      </c>
      <c r="G12" s="21">
        <f t="shared" si="1"/>
        <v>3.7674103445999991</v>
      </c>
      <c r="H12" t="s">
        <v>23</v>
      </c>
      <c r="I12" s="2" t="s">
        <v>16</v>
      </c>
    </row>
    <row r="13" spans="1:9" x14ac:dyDescent="0.25">
      <c r="A13" t="s">
        <v>26</v>
      </c>
      <c r="B13">
        <v>0.48</v>
      </c>
      <c r="C13">
        <v>0.48</v>
      </c>
      <c r="D13">
        <v>0.48</v>
      </c>
      <c r="E13">
        <f t="shared" si="0"/>
        <v>2.21184</v>
      </c>
      <c r="F13">
        <f>10.41*(1-(1-F20/100)*(1-F21)*(1-F22))</f>
        <v>6.3609003749999999</v>
      </c>
      <c r="G13" s="21">
        <f t="shared" si="1"/>
        <v>3.7647008405999998</v>
      </c>
      <c r="H13" t="s">
        <v>14</v>
      </c>
      <c r="I13" s="2">
        <v>3</v>
      </c>
    </row>
    <row r="14" spans="1:9" x14ac:dyDescent="0.25">
      <c r="A14" t="s">
        <v>34</v>
      </c>
      <c r="B14">
        <v>0.48</v>
      </c>
      <c r="C14">
        <v>0.48</v>
      </c>
      <c r="D14">
        <v>0.48</v>
      </c>
      <c r="E14">
        <f t="shared" si="0"/>
        <v>2.21184</v>
      </c>
      <c r="F14">
        <f>10.41*(1-(1-F20/100)*(1-F21)*(1-F22))</f>
        <v>6.3609003749999999</v>
      </c>
      <c r="G14" s="21">
        <f t="shared" si="1"/>
        <v>3.7647008405999998</v>
      </c>
      <c r="H14" t="s">
        <v>14</v>
      </c>
      <c r="I14" s="2">
        <v>3</v>
      </c>
    </row>
    <row r="15" spans="1:9" x14ac:dyDescent="0.25">
      <c r="A15" t="s">
        <v>27</v>
      </c>
      <c r="E15">
        <v>0.48</v>
      </c>
      <c r="F15">
        <f>10.41*(1-(1-F20/100)*(1-F21)*(1-F22))</f>
        <v>6.3609003749999999</v>
      </c>
      <c r="G15" s="21">
        <f t="shared" ref="G15" si="2">(0.6*F15+0.4*E15-1.5)*1.176</f>
        <v>2.9500433045999999</v>
      </c>
      <c r="H15" t="s">
        <v>14</v>
      </c>
      <c r="I15" s="2">
        <v>3</v>
      </c>
    </row>
    <row r="16" spans="1:9" x14ac:dyDescent="0.25">
      <c r="A16" t="s">
        <v>28</v>
      </c>
      <c r="H16" t="s">
        <v>23</v>
      </c>
      <c r="I16" s="2" t="s">
        <v>16</v>
      </c>
    </row>
    <row r="17" spans="1:9" x14ac:dyDescent="0.25">
      <c r="I17" s="2"/>
    </row>
    <row r="18" spans="1:9" x14ac:dyDescent="0.25">
      <c r="I18" s="2"/>
    </row>
    <row r="19" spans="1:9" x14ac:dyDescent="0.25">
      <c r="B19" t="s">
        <v>60</v>
      </c>
      <c r="C19" t="s">
        <v>61</v>
      </c>
      <c r="D19" t="s">
        <v>62</v>
      </c>
      <c r="F19" t="s">
        <v>63</v>
      </c>
      <c r="I19" s="2"/>
    </row>
    <row r="20" spans="1:9" x14ac:dyDescent="0.25">
      <c r="A20" t="s">
        <v>57</v>
      </c>
      <c r="B20">
        <v>0</v>
      </c>
      <c r="C20">
        <v>0.27500000000000002</v>
      </c>
      <c r="D20">
        <v>0.66</v>
      </c>
      <c r="F20">
        <v>26</v>
      </c>
      <c r="I20" s="2"/>
    </row>
    <row r="21" spans="1:9" x14ac:dyDescent="0.25">
      <c r="A21" t="s">
        <v>58</v>
      </c>
      <c r="B21">
        <v>0</v>
      </c>
      <c r="C21">
        <v>0.27500000000000002</v>
      </c>
      <c r="D21">
        <v>0.66</v>
      </c>
      <c r="F21">
        <v>0.27500000000000002</v>
      </c>
      <c r="I21" s="2"/>
    </row>
    <row r="22" spans="1:9" x14ac:dyDescent="0.25">
      <c r="A22" t="s">
        <v>59</v>
      </c>
      <c r="B22">
        <v>0</v>
      </c>
      <c r="C22">
        <v>0.27500000000000002</v>
      </c>
      <c r="D22">
        <v>0.66</v>
      </c>
      <c r="F22">
        <v>0.27500000000000002</v>
      </c>
      <c r="I22" s="2"/>
    </row>
    <row r="23" spans="1:9" x14ac:dyDescent="0.25">
      <c r="I23" s="2"/>
    </row>
    <row r="24" spans="1:9" x14ac:dyDescent="0.25">
      <c r="I24" s="2"/>
    </row>
    <row r="25" spans="1:9" x14ac:dyDescent="0.25">
      <c r="I25" s="2"/>
    </row>
    <row r="26" spans="1:9" x14ac:dyDescent="0.25">
      <c r="I26" s="2"/>
    </row>
    <row r="27" spans="1:9" x14ac:dyDescent="0.25">
      <c r="I27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6</xdr:col>
                    <xdr:colOff>95250</xdr:colOff>
                    <xdr:row>18</xdr:row>
                    <xdr:rowOff>171450</xdr:rowOff>
                  </from>
                  <to>
                    <xdr:col>7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H17" sqref="H17"/>
    </sheetView>
  </sheetViews>
  <sheetFormatPr defaultRowHeight="15" x14ac:dyDescent="0.25"/>
  <cols>
    <col min="1" max="1" width="27.85546875" bestFit="1" customWidth="1"/>
    <col min="2" max="2" width="10.7109375" bestFit="1" customWidth="1"/>
    <col min="3" max="3" width="12.42578125" bestFit="1" customWidth="1"/>
    <col min="4" max="4" width="9.42578125" bestFit="1" customWidth="1"/>
    <col min="5" max="5" width="11.7109375" bestFit="1" customWidth="1"/>
    <col min="6" max="6" width="15.7109375" bestFit="1" customWidth="1"/>
    <col min="7" max="8" width="15.7109375" customWidth="1"/>
    <col min="9" max="9" width="19.7109375" bestFit="1" customWidth="1"/>
  </cols>
  <sheetData>
    <row r="1" spans="1:10" x14ac:dyDescent="0.25">
      <c r="A1" s="1" t="s">
        <v>9</v>
      </c>
      <c r="B1" s="1" t="s">
        <v>6</v>
      </c>
      <c r="C1" s="1" t="s">
        <v>7</v>
      </c>
      <c r="D1" s="1" t="s">
        <v>8</v>
      </c>
      <c r="E1" s="1" t="s">
        <v>98</v>
      </c>
      <c r="F1" s="1" t="s">
        <v>56</v>
      </c>
      <c r="G1" s="1" t="s">
        <v>97</v>
      </c>
      <c r="H1" s="1" t="s">
        <v>66</v>
      </c>
      <c r="I1" s="1" t="s">
        <v>13</v>
      </c>
      <c r="J1" s="1" t="s">
        <v>15</v>
      </c>
    </row>
    <row r="2" spans="1:10" x14ac:dyDescent="0.25">
      <c r="A2" t="s">
        <v>10</v>
      </c>
      <c r="E2">
        <v>0.35</v>
      </c>
      <c r="F2">
        <f>10.41*(1-(1-F20/100)*(1-F21)*(1-F22))</f>
        <v>6.3609003749999999</v>
      </c>
      <c r="G2" s="21">
        <f>(0.6*F2+0.4*E2-1.5)*1.176</f>
        <v>2.8888913045999995</v>
      </c>
      <c r="H2" s="21">
        <f>G2+(10-G2)*G27</f>
        <v>3.4222244567549995</v>
      </c>
      <c r="I2" t="s">
        <v>14</v>
      </c>
      <c r="J2" s="2">
        <v>3</v>
      </c>
    </row>
    <row r="3" spans="1:10" x14ac:dyDescent="0.25">
      <c r="A3" t="s">
        <v>11</v>
      </c>
      <c r="B3">
        <v>0.48</v>
      </c>
      <c r="C3">
        <v>0.48</v>
      </c>
      <c r="D3">
        <v>0.61</v>
      </c>
      <c r="E3">
        <f t="shared" ref="E3" si="0">B3*C3*D3*20</f>
        <v>2.81088</v>
      </c>
      <c r="F3">
        <f>10.41*(1-(1-F20/100)*(1-F21)*(1-F22))</f>
        <v>6.3609003749999999</v>
      </c>
      <c r="G3" s="21">
        <f t="shared" ref="G3:G14" si="1">(0.6*F3+0.4*E3-1.5)*1.176</f>
        <v>4.0464892565999993</v>
      </c>
      <c r="H3" s="21">
        <f>G3+(10-G3)*G27</f>
        <v>4.4930025623549996</v>
      </c>
      <c r="I3" t="s">
        <v>23</v>
      </c>
      <c r="J3" s="2" t="s">
        <v>16</v>
      </c>
    </row>
    <row r="4" spans="1:10" x14ac:dyDescent="0.25">
      <c r="A4" s="4" t="s">
        <v>12</v>
      </c>
      <c r="B4">
        <v>0.48</v>
      </c>
      <c r="C4">
        <v>0.48</v>
      </c>
      <c r="D4">
        <v>0.61</v>
      </c>
      <c r="E4">
        <f t="shared" ref="E4" si="2">B4*C4*D4*20</f>
        <v>2.81088</v>
      </c>
      <c r="F4">
        <f>10.41*(1-(1-F20/100)*(1-F21)*(1-F22))</f>
        <v>6.3609003749999999</v>
      </c>
      <c r="G4" s="21">
        <f t="shared" si="1"/>
        <v>4.0464892565999993</v>
      </c>
      <c r="H4" s="21">
        <f>G4+(10-G4)*G27</f>
        <v>4.4930025623549996</v>
      </c>
      <c r="I4" t="s">
        <v>14</v>
      </c>
      <c r="J4" s="2">
        <v>3</v>
      </c>
    </row>
    <row r="5" spans="1:10" x14ac:dyDescent="0.25">
      <c r="A5" t="s">
        <v>25</v>
      </c>
      <c r="E5">
        <v>0.61</v>
      </c>
      <c r="F5">
        <f>10.41*(1-(1-F20/100)*(1-F21)*(1-F22))</f>
        <v>6.3609003749999999</v>
      </c>
      <c r="G5" s="21">
        <f t="shared" si="1"/>
        <v>3.0111953045999993</v>
      </c>
      <c r="H5" s="21">
        <f>G5+(10-G5)*G27</f>
        <v>3.5353556567549993</v>
      </c>
      <c r="I5" t="s">
        <v>23</v>
      </c>
      <c r="J5" s="2" t="s">
        <v>16</v>
      </c>
    </row>
    <row r="6" spans="1:10" x14ac:dyDescent="0.25">
      <c r="A6" t="s">
        <v>17</v>
      </c>
      <c r="E6">
        <v>0.61</v>
      </c>
      <c r="F6">
        <f>10.41*(1-(1-F20/100)*(1-F21)*(1-F22))</f>
        <v>6.3609003749999999</v>
      </c>
      <c r="G6" s="21">
        <f t="shared" si="1"/>
        <v>3.0111953045999993</v>
      </c>
      <c r="H6" s="21">
        <f>G6+(10-G6)*G27</f>
        <v>3.5353556567549993</v>
      </c>
      <c r="I6" t="s">
        <v>23</v>
      </c>
      <c r="J6" s="2" t="s">
        <v>16</v>
      </c>
    </row>
    <row r="7" spans="1:10" x14ac:dyDescent="0.25">
      <c r="A7" t="s">
        <v>18</v>
      </c>
      <c r="E7">
        <v>0.66</v>
      </c>
      <c r="F7">
        <f>10.41*(1-(1-F20/100)*(1-F21)*(1-F22))</f>
        <v>6.3609003749999999</v>
      </c>
      <c r="G7" s="21">
        <f t="shared" si="1"/>
        <v>3.0347153045999997</v>
      </c>
      <c r="H7" s="21">
        <f>G7+(10-G7)*G27</f>
        <v>3.5571116567549996</v>
      </c>
      <c r="I7" t="s">
        <v>14</v>
      </c>
      <c r="J7" s="2">
        <v>3</v>
      </c>
    </row>
    <row r="8" spans="1:10" x14ac:dyDescent="0.25">
      <c r="A8" s="4" t="s">
        <v>19</v>
      </c>
      <c r="B8">
        <v>0.48</v>
      </c>
      <c r="C8">
        <v>0.61</v>
      </c>
      <c r="D8">
        <v>0.66</v>
      </c>
      <c r="E8">
        <f t="shared" ref="E8" si="3">B8*C8*D8*20</f>
        <v>3.86496</v>
      </c>
      <c r="F8">
        <f>10.41*(1-(1-F20/100)*(1-F21)*(1-F22))</f>
        <v>6.3609003749999999</v>
      </c>
      <c r="G8" s="21">
        <f t="shared" si="1"/>
        <v>4.542328488599999</v>
      </c>
      <c r="H8" s="21">
        <f>G8+(10-G8)*G27</f>
        <v>4.9516538519549993</v>
      </c>
      <c r="I8" t="s">
        <v>23</v>
      </c>
      <c r="J8" s="2" t="s">
        <v>16</v>
      </c>
    </row>
    <row r="9" spans="1:10" x14ac:dyDescent="0.25">
      <c r="A9" t="s">
        <v>20</v>
      </c>
      <c r="E9">
        <v>0.66</v>
      </c>
      <c r="F9">
        <f>10.41*(1-(1-F20/100)*(1-F21)*(1-F22))</f>
        <v>6.3609003749999999</v>
      </c>
      <c r="G9" s="21">
        <f t="shared" si="1"/>
        <v>3.0347153045999997</v>
      </c>
      <c r="H9" s="21">
        <f>G9+(10-G9)*G27</f>
        <v>3.5571116567549996</v>
      </c>
      <c r="I9" t="s">
        <v>14</v>
      </c>
      <c r="J9" s="2">
        <v>3</v>
      </c>
    </row>
    <row r="10" spans="1:10" x14ac:dyDescent="0.25">
      <c r="A10" t="s">
        <v>21</v>
      </c>
      <c r="E10">
        <v>0.71</v>
      </c>
      <c r="F10">
        <f>10.41*(1-(1-F20/100)*(1-F21)*(1-F22))</f>
        <v>6.3609003749999999</v>
      </c>
      <c r="G10" s="21">
        <f t="shared" si="1"/>
        <v>3.0582353045999993</v>
      </c>
      <c r="H10" s="21">
        <f>G10+(10-G10)*G27</f>
        <v>3.5788676567549995</v>
      </c>
      <c r="I10" t="s">
        <v>14</v>
      </c>
      <c r="J10" s="2">
        <v>3</v>
      </c>
    </row>
    <row r="11" spans="1:10" x14ac:dyDescent="0.25">
      <c r="A11" t="s">
        <v>22</v>
      </c>
      <c r="E11">
        <v>0.71</v>
      </c>
      <c r="F11">
        <f>10.41*(1-(1-F20/100)*(1-F21)*(1-F22))</f>
        <v>6.3609003749999999</v>
      </c>
      <c r="G11" s="21">
        <f t="shared" si="1"/>
        <v>3.0582353045999993</v>
      </c>
      <c r="H11" s="21">
        <f>G11+(10-G11)*G27</f>
        <v>3.5788676567549995</v>
      </c>
      <c r="I11" t="s">
        <v>23</v>
      </c>
      <c r="J11" s="2" t="s">
        <v>16</v>
      </c>
    </row>
    <row r="12" spans="1:10" x14ac:dyDescent="0.25">
      <c r="A12" s="4" t="s">
        <v>24</v>
      </c>
      <c r="B12">
        <v>0.66</v>
      </c>
      <c r="C12">
        <v>0.61</v>
      </c>
      <c r="D12">
        <v>0.61</v>
      </c>
      <c r="E12">
        <f t="shared" ref="E12" si="4">B12*C12*D12*20</f>
        <v>4.9117199999999999</v>
      </c>
      <c r="F12">
        <f>10.41*(1-(1-F20/100)*(1-F21)*(1-F22))</f>
        <v>6.3609003749999999</v>
      </c>
      <c r="G12" s="21">
        <f t="shared" si="1"/>
        <v>5.0347243925999994</v>
      </c>
      <c r="H12" s="21">
        <f>G12+(10-G12)*G27</f>
        <v>5.4071200631549994</v>
      </c>
      <c r="I12" t="s">
        <v>23</v>
      </c>
      <c r="J12" s="2" t="s">
        <v>16</v>
      </c>
    </row>
    <row r="13" spans="1:10" x14ac:dyDescent="0.25">
      <c r="A13" t="s">
        <v>26</v>
      </c>
      <c r="E13">
        <v>0.48</v>
      </c>
      <c r="F13">
        <f>10.41*(1-(1-F20/100)*(1-F21)*(1-F22))</f>
        <v>6.3609003749999999</v>
      </c>
      <c r="G13" s="21">
        <f t="shared" si="1"/>
        <v>2.9500433045999999</v>
      </c>
      <c r="H13" s="21">
        <f>G13+(10-G13)*G27</f>
        <v>3.4787900567549999</v>
      </c>
      <c r="I13" t="s">
        <v>14</v>
      </c>
      <c r="J13" s="2">
        <v>3</v>
      </c>
    </row>
    <row r="14" spans="1:10" x14ac:dyDescent="0.25">
      <c r="A14" t="s">
        <v>34</v>
      </c>
      <c r="E14">
        <v>0.48</v>
      </c>
      <c r="F14">
        <f>10.41*(1-(1-F20/100)*(1-F21)*(1-F22))</f>
        <v>6.3609003749999999</v>
      </c>
      <c r="G14" s="21">
        <f t="shared" si="1"/>
        <v>2.9500433045999999</v>
      </c>
      <c r="H14" s="21">
        <f>G14+(10-G14)*G27</f>
        <v>3.4787900567549999</v>
      </c>
      <c r="I14" t="s">
        <v>14</v>
      </c>
      <c r="J14" s="2">
        <v>3</v>
      </c>
    </row>
    <row r="15" spans="1:10" x14ac:dyDescent="0.25">
      <c r="A15" t="s">
        <v>27</v>
      </c>
      <c r="G15" s="21"/>
      <c r="H15" s="21">
        <f>G15+(10-G15)*G27</f>
        <v>0.75</v>
      </c>
      <c r="I15" t="s">
        <v>14</v>
      </c>
      <c r="J15" s="2">
        <v>3</v>
      </c>
    </row>
    <row r="16" spans="1:10" x14ac:dyDescent="0.25">
      <c r="A16" t="s">
        <v>28</v>
      </c>
      <c r="G16" s="21"/>
      <c r="H16" s="21">
        <f>G16+(10-G16)*G27</f>
        <v>0.75</v>
      </c>
      <c r="I16" t="s">
        <v>23</v>
      </c>
      <c r="J16" s="2" t="s">
        <v>16</v>
      </c>
    </row>
    <row r="17" spans="1:10" x14ac:dyDescent="0.25">
      <c r="J17" s="2"/>
    </row>
    <row r="18" spans="1:10" x14ac:dyDescent="0.25">
      <c r="J18" s="2"/>
    </row>
    <row r="19" spans="1:10" x14ac:dyDescent="0.25">
      <c r="B19" t="s">
        <v>60</v>
      </c>
      <c r="C19" t="s">
        <v>61</v>
      </c>
      <c r="D19" t="s">
        <v>62</v>
      </c>
      <c r="F19" t="s">
        <v>63</v>
      </c>
      <c r="J19" s="2"/>
    </row>
    <row r="20" spans="1:10" x14ac:dyDescent="0.25">
      <c r="A20" t="s">
        <v>57</v>
      </c>
      <c r="B20">
        <v>0</v>
      </c>
      <c r="C20">
        <v>0.27500000000000002</v>
      </c>
      <c r="D20">
        <v>0.66</v>
      </c>
      <c r="F20">
        <v>26</v>
      </c>
      <c r="J20" s="2"/>
    </row>
    <row r="21" spans="1:10" x14ac:dyDescent="0.25">
      <c r="A21" t="s">
        <v>58</v>
      </c>
      <c r="B21">
        <v>0</v>
      </c>
      <c r="C21">
        <v>0.27500000000000002</v>
      </c>
      <c r="D21">
        <v>0.66</v>
      </c>
      <c r="F21">
        <v>0.27500000000000002</v>
      </c>
      <c r="J21" s="2"/>
    </row>
    <row r="22" spans="1:10" x14ac:dyDescent="0.25">
      <c r="A22" t="s">
        <v>59</v>
      </c>
      <c r="B22">
        <v>0</v>
      </c>
      <c r="C22">
        <v>0.27500000000000002</v>
      </c>
      <c r="D22">
        <v>0.66</v>
      </c>
      <c r="F22">
        <v>0.27500000000000002</v>
      </c>
      <c r="J22" s="2"/>
    </row>
    <row r="23" spans="1:10" x14ac:dyDescent="0.25">
      <c r="J23" s="2"/>
    </row>
    <row r="24" spans="1:10" x14ac:dyDescent="0.25">
      <c r="J24" s="2"/>
    </row>
    <row r="25" spans="1:10" x14ac:dyDescent="0.25">
      <c r="J25" s="2"/>
    </row>
    <row r="26" spans="1:10" x14ac:dyDescent="0.25">
      <c r="J26" s="2"/>
    </row>
    <row r="27" spans="1:10" x14ac:dyDescent="0.25">
      <c r="A27" t="s">
        <v>99</v>
      </c>
      <c r="E27" s="4">
        <v>0.3</v>
      </c>
      <c r="G27">
        <f>E27*E35</f>
        <v>7.4999999999999997E-2</v>
      </c>
      <c r="J27" s="2"/>
    </row>
    <row r="28" spans="1:10" x14ac:dyDescent="0.25">
      <c r="B28" t="s">
        <v>60</v>
      </c>
      <c r="C28">
        <v>0</v>
      </c>
    </row>
    <row r="29" spans="1:10" x14ac:dyDescent="0.25">
      <c r="B29" t="s">
        <v>100</v>
      </c>
      <c r="C29">
        <v>0.1</v>
      </c>
    </row>
    <row r="30" spans="1:10" x14ac:dyDescent="0.25">
      <c r="B30" t="s">
        <v>101</v>
      </c>
      <c r="C30">
        <v>0.3</v>
      </c>
    </row>
    <row r="31" spans="1:10" x14ac:dyDescent="0.25">
      <c r="B31" t="s">
        <v>102</v>
      </c>
      <c r="C31">
        <v>0.4</v>
      </c>
    </row>
    <row r="32" spans="1:10" x14ac:dyDescent="0.25">
      <c r="B32" t="s">
        <v>103</v>
      </c>
      <c r="C32">
        <v>0.5</v>
      </c>
    </row>
    <row r="33" spans="1:5" x14ac:dyDescent="0.25">
      <c r="B33" t="s">
        <v>104</v>
      </c>
      <c r="C33">
        <v>0</v>
      </c>
    </row>
    <row r="35" spans="1:5" x14ac:dyDescent="0.25">
      <c r="A35" t="s">
        <v>105</v>
      </c>
      <c r="E35" s="4">
        <v>0.25</v>
      </c>
    </row>
    <row r="36" spans="1:5" x14ac:dyDescent="0.25">
      <c r="B36" t="s">
        <v>60</v>
      </c>
      <c r="C36">
        <v>0</v>
      </c>
    </row>
    <row r="37" spans="1:5" x14ac:dyDescent="0.25">
      <c r="B37" t="s">
        <v>100</v>
      </c>
      <c r="C37">
        <v>0.25</v>
      </c>
    </row>
    <row r="38" spans="1:5" x14ac:dyDescent="0.25">
      <c r="B38" t="s">
        <v>102</v>
      </c>
      <c r="C38">
        <v>0.75</v>
      </c>
    </row>
    <row r="39" spans="1:5" x14ac:dyDescent="0.25">
      <c r="B39" t="s">
        <v>103</v>
      </c>
      <c r="C39">
        <v>1</v>
      </c>
    </row>
    <row r="40" spans="1:5" x14ac:dyDescent="0.25">
      <c r="B40" t="s">
        <v>104</v>
      </c>
      <c r="C40">
        <v>1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5</xdr:col>
                    <xdr:colOff>57150</xdr:colOff>
                    <xdr:row>23</xdr:row>
                    <xdr:rowOff>9525</xdr:rowOff>
                  </from>
                  <to>
                    <xdr:col>6</xdr:col>
                    <xdr:colOff>152400</xdr:colOff>
                    <xdr:row>24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40" sqref="F40"/>
    </sheetView>
  </sheetViews>
  <sheetFormatPr defaultRowHeight="15" x14ac:dyDescent="0.25"/>
  <cols>
    <col min="1" max="1" width="18.7109375" bestFit="1" customWidth="1"/>
  </cols>
  <sheetData>
    <row r="1" spans="1:2" x14ac:dyDescent="0.25">
      <c r="A1" s="5"/>
    </row>
    <row r="2" spans="1:2" x14ac:dyDescent="0.25">
      <c r="A2" s="1"/>
      <c r="B2" s="1"/>
    </row>
    <row r="3" spans="1:2" x14ac:dyDescent="0.25">
      <c r="A3" t="s">
        <v>42</v>
      </c>
      <c r="B3">
        <v>2</v>
      </c>
    </row>
    <row r="4" spans="1:2" x14ac:dyDescent="0.25">
      <c r="A4" t="s">
        <v>43</v>
      </c>
      <c r="B4">
        <v>1</v>
      </c>
    </row>
    <row r="5" spans="1:2" x14ac:dyDescent="0.25">
      <c r="A5" t="s">
        <v>44</v>
      </c>
      <c r="B5">
        <v>3</v>
      </c>
    </row>
    <row r="6" spans="1:2" x14ac:dyDescent="0.25">
      <c r="A6" t="s">
        <v>47</v>
      </c>
      <c r="B6">
        <v>2</v>
      </c>
    </row>
    <row r="7" spans="1:2" x14ac:dyDescent="0.25">
      <c r="A7" t="s">
        <v>48</v>
      </c>
      <c r="B7">
        <v>2</v>
      </c>
    </row>
    <row r="8" spans="1:2" x14ac:dyDescent="0.25">
      <c r="A8" t="s">
        <v>50</v>
      </c>
      <c r="B8">
        <v>3</v>
      </c>
    </row>
    <row r="9" spans="1:2" x14ac:dyDescent="0.25">
      <c r="A9" t="s">
        <v>51</v>
      </c>
      <c r="B9">
        <v>3</v>
      </c>
    </row>
    <row r="10" spans="1:2" x14ac:dyDescent="0.25">
      <c r="A10" t="s">
        <v>52</v>
      </c>
      <c r="B10">
        <v>3</v>
      </c>
    </row>
    <row r="11" spans="1:2" x14ac:dyDescent="0.25">
      <c r="A11" t="s">
        <v>45</v>
      </c>
      <c r="B11" t="s">
        <v>53</v>
      </c>
    </row>
    <row r="12" spans="1:2" x14ac:dyDescent="0.25">
      <c r="A12" t="s">
        <v>46</v>
      </c>
      <c r="B1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5mb Flow Duration</vt:lpstr>
      <vt:lpstr>5mb Transfer Rate</vt:lpstr>
      <vt:lpstr>5mb delay Transfer Rate </vt:lpstr>
      <vt:lpstr>3-Total Calc</vt:lpstr>
      <vt:lpstr>Confidence 3-Swtich</vt:lpstr>
      <vt:lpstr>Confidence 4-Swtich</vt:lpstr>
      <vt:lpstr>BaseScore</vt:lpstr>
      <vt:lpstr>EnvirScore</vt:lpstr>
      <vt:lpstr>Switches</vt:lpstr>
      <vt:lpstr>RawData</vt:lpstr>
      <vt:lpstr>5mb Flow Dur Gr</vt:lpstr>
      <vt:lpstr>10mb Flow Dur Gr</vt:lpstr>
      <vt:lpstr>20mb Flow Dur Gr</vt:lpstr>
      <vt:lpstr>50mb Flow Dur Gr</vt:lpstr>
      <vt:lpstr>Sheet7</vt:lpstr>
      <vt:lpstr>Graph Data</vt:lpstr>
      <vt:lpstr>Type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</dc:creator>
  <cp:lastModifiedBy>Josh</cp:lastModifiedBy>
  <dcterms:created xsi:type="dcterms:W3CDTF">2015-05-28T02:01:26Z</dcterms:created>
  <dcterms:modified xsi:type="dcterms:W3CDTF">2016-03-04T04:45:56Z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FormControlScrollBar" visible="true"/>
      </mso:documentControls>
    </mso:qat>
  </mso:ribbon>
</mso:customUI>
</file>