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600" yWindow="45" windowWidth="1980" windowHeight="7500" activeTab="1"/>
  </bookViews>
  <sheets>
    <sheet name="cover sheet" sheetId="12" r:id="rId1"/>
    <sheet name="box office" sheetId="1" r:id="rId2"/>
    <sheet name="summary" sheetId="2" r:id="rId3"/>
    <sheet name="emailinfo" sheetId="11" r:id="rId4"/>
    <sheet name="DBData" sheetId="10" r:id="rId5"/>
  </sheets>
  <definedNames>
    <definedName name="capacity">summary!$D$4</definedName>
    <definedName name="creditcardcommission">'box office'!$B$19</definedName>
    <definedName name="grosspotential">summary!$E$8</definedName>
    <definedName name="groupcommission1">'box office'!$B$22</definedName>
    <definedName name="groupcommission2">'box office'!$B$23</definedName>
    <definedName name="internetcommission">'box office'!$B$18</definedName>
    <definedName name="numberofperf">summary!$D$2</definedName>
    <definedName name="otherdollar">'box office'!$B$27</definedName>
    <definedName name="otherpercentage">'box office'!$B$25</definedName>
    <definedName name="percentofattendance">summary!$D$5</definedName>
    <definedName name="phonecommission">'box office'!$B$17</definedName>
    <definedName name="_xlnm.Print_Area" localSheetId="1">'box office'!$A$1:$M$56</definedName>
    <definedName name="_xlnm.Print_Area" localSheetId="0">'cover sheet'!$A$1:$I$80</definedName>
    <definedName name="_xlnm.Print_Area" localSheetId="2">summary!$A$1:$E$120</definedName>
    <definedName name="_xlnm.Print_Area">#REF!</definedName>
    <definedName name="_xlnm.Print_Titles" localSheetId="1">'box office'!$A:$B</definedName>
    <definedName name="remotecommission">'box office'!$B$20</definedName>
    <definedName name="singleticketcommission">'box office'!$B$21</definedName>
    <definedName name="subcommission">'box office'!$B$16</definedName>
    <definedName name="taxdeduction1">'box office'!$B$14</definedName>
    <definedName name="taxdeduction2">'box office'!$B$15</definedName>
    <definedName name="topticketprice">summary!$D$6</definedName>
    <definedName name="totalattendance">summary!$D$3</definedName>
  </definedNames>
  <calcPr calcId="145621" fullPrecision="0"/>
</workbook>
</file>

<file path=xl/calcChain.xml><?xml version="1.0" encoding="utf-8"?>
<calcChain xmlns="http://schemas.openxmlformats.org/spreadsheetml/2006/main">
  <c r="C25" i="1" l="1"/>
  <c r="D54" i="2" l="1"/>
  <c r="C54" i="2"/>
  <c r="D53" i="2"/>
  <c r="C53" i="2"/>
  <c r="K27" i="1"/>
  <c r="I27" i="1"/>
  <c r="G27" i="1"/>
  <c r="E27" i="1"/>
  <c r="C27" i="1"/>
  <c r="I26" i="1"/>
  <c r="E26" i="1"/>
  <c r="L43" i="1"/>
  <c r="K43" i="1"/>
  <c r="J43" i="1"/>
  <c r="I43" i="1"/>
  <c r="H43" i="1"/>
  <c r="G43" i="1"/>
  <c r="F43" i="1"/>
  <c r="E43" i="1"/>
  <c r="D43" i="1"/>
  <c r="C43" i="1"/>
  <c r="L42" i="1"/>
  <c r="K42" i="1"/>
  <c r="J42" i="1"/>
  <c r="I42" i="1"/>
  <c r="H42" i="1"/>
  <c r="G42" i="1"/>
  <c r="F42" i="1"/>
  <c r="E42" i="1"/>
  <c r="D42" i="1"/>
  <c r="C42" i="1"/>
  <c r="E45" i="1"/>
  <c r="L45" i="1"/>
  <c r="K45" i="1"/>
  <c r="J45" i="1"/>
  <c r="I45" i="1"/>
  <c r="H45" i="1"/>
  <c r="G45" i="1"/>
  <c r="F45" i="1"/>
  <c r="D45" i="1"/>
  <c r="C45" i="1"/>
  <c r="L44" i="1"/>
  <c r="K44" i="1"/>
  <c r="J44" i="1"/>
  <c r="I44" i="1"/>
  <c r="H44" i="1"/>
  <c r="G44" i="1"/>
  <c r="F44" i="1"/>
  <c r="E44" i="1"/>
  <c r="D44" i="1"/>
  <c r="L25" i="1"/>
  <c r="K25" i="1"/>
  <c r="J25" i="1"/>
  <c r="I25" i="1"/>
  <c r="H25" i="1"/>
  <c r="G25" i="1"/>
  <c r="F25" i="1"/>
  <c r="E25" i="1"/>
  <c r="D25" i="1"/>
  <c r="C44" i="1"/>
  <c r="M44" i="1" s="1"/>
  <c r="L14" i="1"/>
  <c r="K14" i="1"/>
  <c r="J14" i="1"/>
  <c r="I14" i="1"/>
  <c r="H14" i="1"/>
  <c r="G14" i="1"/>
  <c r="F14" i="1"/>
  <c r="E14" i="1"/>
  <c r="D14" i="1"/>
  <c r="C14" i="1"/>
  <c r="B27" i="1"/>
  <c r="L27" i="1" s="1"/>
  <c r="B26" i="1"/>
  <c r="D71" i="12"/>
  <c r="D59" i="12"/>
  <c r="B54" i="2"/>
  <c r="B53" i="2"/>
  <c r="A23" i="2"/>
  <c r="B24" i="1"/>
  <c r="B23" i="2" s="1"/>
  <c r="HJ13" i="10"/>
  <c r="D6" i="2" s="1"/>
  <c r="C59" i="1"/>
  <c r="C123" i="1"/>
  <c r="C124" i="1"/>
  <c r="C121" i="1"/>
  <c r="C122" i="1"/>
  <c r="C119" i="1"/>
  <c r="C120" i="1"/>
  <c r="C117" i="1"/>
  <c r="C118" i="1"/>
  <c r="C115" i="1"/>
  <c r="C116" i="1"/>
  <c r="C113" i="1"/>
  <c r="C114" i="1"/>
  <c r="C111" i="1"/>
  <c r="C112" i="1"/>
  <c r="C109" i="1"/>
  <c r="C110" i="1"/>
  <c r="C107" i="1"/>
  <c r="C108" i="1"/>
  <c r="C105" i="1"/>
  <c r="C106" i="1"/>
  <c r="D59" i="1"/>
  <c r="D125" i="1" s="1"/>
  <c r="D123" i="1"/>
  <c r="D124" i="1"/>
  <c r="D121" i="1"/>
  <c r="D122" i="1"/>
  <c r="D119" i="1"/>
  <c r="D120" i="1"/>
  <c r="D117" i="1"/>
  <c r="D118" i="1"/>
  <c r="D115" i="1"/>
  <c r="D116" i="1"/>
  <c r="D113" i="1"/>
  <c r="D114" i="1"/>
  <c r="D111" i="1"/>
  <c r="D112" i="1"/>
  <c r="D109" i="1"/>
  <c r="D110" i="1"/>
  <c r="D107" i="1"/>
  <c r="D108" i="1"/>
  <c r="D105" i="1"/>
  <c r="D106" i="1"/>
  <c r="E59" i="1"/>
  <c r="E125" i="1" s="1"/>
  <c r="E123" i="1"/>
  <c r="E124" i="1"/>
  <c r="E121" i="1"/>
  <c r="E122" i="1"/>
  <c r="E119" i="1"/>
  <c r="E120" i="1"/>
  <c r="E117" i="1"/>
  <c r="E118" i="1"/>
  <c r="E115" i="1"/>
  <c r="E116" i="1"/>
  <c r="E113" i="1"/>
  <c r="E114" i="1"/>
  <c r="E111" i="1"/>
  <c r="E112" i="1"/>
  <c r="E109" i="1"/>
  <c r="E110" i="1"/>
  <c r="E107" i="1"/>
  <c r="E108" i="1"/>
  <c r="E105" i="1"/>
  <c r="E106" i="1"/>
  <c r="F59" i="1"/>
  <c r="F125" i="1" s="1"/>
  <c r="F123" i="1"/>
  <c r="F124" i="1"/>
  <c r="F121" i="1"/>
  <c r="F122" i="1"/>
  <c r="F119" i="1"/>
  <c r="F120" i="1"/>
  <c r="F117" i="1"/>
  <c r="F118" i="1"/>
  <c r="F115" i="1"/>
  <c r="F116" i="1"/>
  <c r="F113" i="1"/>
  <c r="F114" i="1"/>
  <c r="F111" i="1"/>
  <c r="F112" i="1"/>
  <c r="F109" i="1"/>
  <c r="F110" i="1"/>
  <c r="F107" i="1"/>
  <c r="F108" i="1"/>
  <c r="F105" i="1"/>
  <c r="F106" i="1"/>
  <c r="G59" i="1"/>
  <c r="G125" i="1" s="1"/>
  <c r="G123" i="1"/>
  <c r="G124" i="1"/>
  <c r="G121" i="1"/>
  <c r="G122" i="1"/>
  <c r="G119" i="1"/>
  <c r="G120" i="1"/>
  <c r="G117" i="1"/>
  <c r="G118" i="1"/>
  <c r="G115" i="1"/>
  <c r="G116" i="1"/>
  <c r="G113" i="1"/>
  <c r="G114" i="1"/>
  <c r="G111" i="1"/>
  <c r="G112" i="1"/>
  <c r="G109" i="1"/>
  <c r="G110" i="1"/>
  <c r="G107" i="1"/>
  <c r="G108" i="1"/>
  <c r="G105" i="1"/>
  <c r="G106" i="1"/>
  <c r="H59" i="1"/>
  <c r="H125" i="1" s="1"/>
  <c r="H123" i="1"/>
  <c r="H124" i="1"/>
  <c r="H121" i="1"/>
  <c r="H122" i="1"/>
  <c r="H119" i="1"/>
  <c r="H120" i="1"/>
  <c r="H117" i="1"/>
  <c r="H118" i="1"/>
  <c r="H115" i="1"/>
  <c r="H116" i="1"/>
  <c r="H113" i="1"/>
  <c r="H114" i="1"/>
  <c r="H111" i="1"/>
  <c r="H112" i="1"/>
  <c r="H109" i="1"/>
  <c r="H110" i="1"/>
  <c r="H107" i="1"/>
  <c r="H108" i="1"/>
  <c r="H105" i="1"/>
  <c r="H106" i="1"/>
  <c r="I59" i="1"/>
  <c r="I125" i="1" s="1"/>
  <c r="I123" i="1"/>
  <c r="I124" i="1"/>
  <c r="I121" i="1"/>
  <c r="I122" i="1"/>
  <c r="I119" i="1"/>
  <c r="I120" i="1"/>
  <c r="I117" i="1"/>
  <c r="I118" i="1"/>
  <c r="I115" i="1"/>
  <c r="I116" i="1"/>
  <c r="I113" i="1"/>
  <c r="I114" i="1"/>
  <c r="I111" i="1"/>
  <c r="I112" i="1"/>
  <c r="I109" i="1"/>
  <c r="I110" i="1"/>
  <c r="I107" i="1"/>
  <c r="I108" i="1"/>
  <c r="I105" i="1"/>
  <c r="I106" i="1"/>
  <c r="J59" i="1"/>
  <c r="J125" i="1" s="1"/>
  <c r="J123" i="1"/>
  <c r="J124" i="1"/>
  <c r="J121" i="1"/>
  <c r="J122" i="1"/>
  <c r="J119" i="1"/>
  <c r="J120" i="1"/>
  <c r="J117" i="1"/>
  <c r="J118" i="1"/>
  <c r="J115" i="1"/>
  <c r="J116" i="1"/>
  <c r="J113" i="1"/>
  <c r="J114" i="1"/>
  <c r="J111" i="1"/>
  <c r="J112" i="1"/>
  <c r="J109" i="1"/>
  <c r="J110" i="1"/>
  <c r="J107" i="1"/>
  <c r="J108" i="1"/>
  <c r="J105" i="1"/>
  <c r="J106" i="1"/>
  <c r="K59" i="1"/>
  <c r="K125" i="1" s="1"/>
  <c r="K123" i="1"/>
  <c r="K124" i="1"/>
  <c r="K121" i="1"/>
  <c r="K122" i="1"/>
  <c r="K119" i="1"/>
  <c r="K120" i="1"/>
  <c r="K117" i="1"/>
  <c r="K118" i="1"/>
  <c r="K115" i="1"/>
  <c r="K116" i="1"/>
  <c r="K113" i="1"/>
  <c r="K114" i="1"/>
  <c r="K111" i="1"/>
  <c r="K112" i="1"/>
  <c r="K109" i="1"/>
  <c r="K110" i="1"/>
  <c r="K107" i="1"/>
  <c r="K108" i="1"/>
  <c r="K105" i="1"/>
  <c r="K106" i="1"/>
  <c r="L59" i="1"/>
  <c r="L125" i="1" s="1"/>
  <c r="L123" i="1"/>
  <c r="L124" i="1"/>
  <c r="L121" i="1"/>
  <c r="L122" i="1"/>
  <c r="L119" i="1"/>
  <c r="L120" i="1"/>
  <c r="L117" i="1"/>
  <c r="L118" i="1"/>
  <c r="L115" i="1"/>
  <c r="L116" i="1"/>
  <c r="L113" i="1"/>
  <c r="L114" i="1"/>
  <c r="L111" i="1"/>
  <c r="L112" i="1"/>
  <c r="L109" i="1"/>
  <c r="L110" i="1"/>
  <c r="L107" i="1"/>
  <c r="L108" i="1"/>
  <c r="L105" i="1"/>
  <c r="L106" i="1"/>
  <c r="C101" i="1"/>
  <c r="C102" i="1"/>
  <c r="C99" i="1"/>
  <c r="C100" i="1"/>
  <c r="C97" i="1"/>
  <c r="C98" i="1"/>
  <c r="C95" i="1"/>
  <c r="C96" i="1"/>
  <c r="C93" i="1"/>
  <c r="C94" i="1"/>
  <c r="C91" i="1"/>
  <c r="C92" i="1"/>
  <c r="C89" i="1"/>
  <c r="C90" i="1"/>
  <c r="C87" i="1"/>
  <c r="C88" i="1"/>
  <c r="C85" i="1"/>
  <c r="C86" i="1"/>
  <c r="C83" i="1"/>
  <c r="C84" i="1"/>
  <c r="D101" i="1"/>
  <c r="D102" i="1"/>
  <c r="D99" i="1"/>
  <c r="D100" i="1"/>
  <c r="D97" i="1"/>
  <c r="D98" i="1"/>
  <c r="D95" i="1"/>
  <c r="D96" i="1"/>
  <c r="D93" i="1"/>
  <c r="D94" i="1"/>
  <c r="D91" i="1"/>
  <c r="D92" i="1"/>
  <c r="D89" i="1"/>
  <c r="D90" i="1"/>
  <c r="D87" i="1"/>
  <c r="D88" i="1"/>
  <c r="D85" i="1"/>
  <c r="D86" i="1"/>
  <c r="D83" i="1"/>
  <c r="D84" i="1"/>
  <c r="E101" i="1"/>
  <c r="E102" i="1"/>
  <c r="E99" i="1"/>
  <c r="E100" i="1"/>
  <c r="E97" i="1"/>
  <c r="E98" i="1"/>
  <c r="E95" i="1"/>
  <c r="E96" i="1"/>
  <c r="E93" i="1"/>
  <c r="E94" i="1"/>
  <c r="E91" i="1"/>
  <c r="E92" i="1"/>
  <c r="E89" i="1"/>
  <c r="E90" i="1"/>
  <c r="E87" i="1"/>
  <c r="E88" i="1"/>
  <c r="E85" i="1"/>
  <c r="E86" i="1"/>
  <c r="E83" i="1"/>
  <c r="E84" i="1"/>
  <c r="E103" i="1"/>
  <c r="F101" i="1"/>
  <c r="F102" i="1"/>
  <c r="F99" i="1"/>
  <c r="F100" i="1"/>
  <c r="F97" i="1"/>
  <c r="F98" i="1"/>
  <c r="F95" i="1"/>
  <c r="F96" i="1"/>
  <c r="F93" i="1"/>
  <c r="F94" i="1"/>
  <c r="F91" i="1"/>
  <c r="F92" i="1"/>
  <c r="F89" i="1"/>
  <c r="F90" i="1"/>
  <c r="F87" i="1"/>
  <c r="F88" i="1"/>
  <c r="F85" i="1"/>
  <c r="F86" i="1"/>
  <c r="F83" i="1"/>
  <c r="F84" i="1"/>
  <c r="G101" i="1"/>
  <c r="G102" i="1"/>
  <c r="G99" i="1"/>
  <c r="G100" i="1"/>
  <c r="G97" i="1"/>
  <c r="G98" i="1"/>
  <c r="G95" i="1"/>
  <c r="G96" i="1"/>
  <c r="G93" i="1"/>
  <c r="G94" i="1"/>
  <c r="G91" i="1"/>
  <c r="G92" i="1"/>
  <c r="G89" i="1"/>
  <c r="G90" i="1"/>
  <c r="G87" i="1"/>
  <c r="G88" i="1"/>
  <c r="G85" i="1"/>
  <c r="G86" i="1"/>
  <c r="G83" i="1"/>
  <c r="G84" i="1"/>
  <c r="G103" i="1"/>
  <c r="H101" i="1"/>
  <c r="H102" i="1"/>
  <c r="H99" i="1"/>
  <c r="H100" i="1"/>
  <c r="H97" i="1"/>
  <c r="H98" i="1"/>
  <c r="H95" i="1"/>
  <c r="H96" i="1"/>
  <c r="H93" i="1"/>
  <c r="H94" i="1"/>
  <c r="H91" i="1"/>
  <c r="H92" i="1"/>
  <c r="H89" i="1"/>
  <c r="H90" i="1"/>
  <c r="H87" i="1"/>
  <c r="H88" i="1"/>
  <c r="H85" i="1"/>
  <c r="H86" i="1"/>
  <c r="H83" i="1"/>
  <c r="H84" i="1"/>
  <c r="I101" i="1"/>
  <c r="I102" i="1"/>
  <c r="I99" i="1"/>
  <c r="I100" i="1"/>
  <c r="I97" i="1"/>
  <c r="I98" i="1"/>
  <c r="I95" i="1"/>
  <c r="I96" i="1"/>
  <c r="I93" i="1"/>
  <c r="I94" i="1"/>
  <c r="I91" i="1"/>
  <c r="I92" i="1"/>
  <c r="I89" i="1"/>
  <c r="I90" i="1"/>
  <c r="I87" i="1"/>
  <c r="I88" i="1"/>
  <c r="I85" i="1"/>
  <c r="I86" i="1"/>
  <c r="I83" i="1"/>
  <c r="I84" i="1"/>
  <c r="I103" i="1"/>
  <c r="J101" i="1"/>
  <c r="J102" i="1"/>
  <c r="J99" i="1"/>
  <c r="J100" i="1"/>
  <c r="J97" i="1"/>
  <c r="J98" i="1"/>
  <c r="J95" i="1"/>
  <c r="J96" i="1"/>
  <c r="J93" i="1"/>
  <c r="J94" i="1"/>
  <c r="J91" i="1"/>
  <c r="J92" i="1"/>
  <c r="J89" i="1"/>
  <c r="J90" i="1"/>
  <c r="J87" i="1"/>
  <c r="J88" i="1"/>
  <c r="J85" i="1"/>
  <c r="J86" i="1"/>
  <c r="J83" i="1"/>
  <c r="J84" i="1"/>
  <c r="K101" i="1"/>
  <c r="K102" i="1"/>
  <c r="K99" i="1"/>
  <c r="K100" i="1"/>
  <c r="K97" i="1"/>
  <c r="K98" i="1"/>
  <c r="K95" i="1"/>
  <c r="K96" i="1"/>
  <c r="K93" i="1"/>
  <c r="K94" i="1"/>
  <c r="K91" i="1"/>
  <c r="K92" i="1"/>
  <c r="K89" i="1"/>
  <c r="K90" i="1"/>
  <c r="K87" i="1"/>
  <c r="K88" i="1"/>
  <c r="K85" i="1"/>
  <c r="K86" i="1"/>
  <c r="K83" i="1"/>
  <c r="K84" i="1"/>
  <c r="L101" i="1"/>
  <c r="L102" i="1"/>
  <c r="L99" i="1"/>
  <c r="L100" i="1"/>
  <c r="L97" i="1"/>
  <c r="L98" i="1"/>
  <c r="L95" i="1"/>
  <c r="L96" i="1"/>
  <c r="L93" i="1"/>
  <c r="L94" i="1"/>
  <c r="L91" i="1"/>
  <c r="L92" i="1"/>
  <c r="L89" i="1"/>
  <c r="L90" i="1"/>
  <c r="L87" i="1"/>
  <c r="L88" i="1"/>
  <c r="L85" i="1"/>
  <c r="L86" i="1"/>
  <c r="L83" i="1"/>
  <c r="L84" i="1"/>
  <c r="C79" i="1"/>
  <c r="C80" i="1"/>
  <c r="C77" i="1"/>
  <c r="C78" i="1"/>
  <c r="C75" i="1"/>
  <c r="C76" i="1"/>
  <c r="C73" i="1"/>
  <c r="C74" i="1"/>
  <c r="C71" i="1"/>
  <c r="C72" i="1"/>
  <c r="C69" i="1"/>
  <c r="C70" i="1"/>
  <c r="C67" i="1"/>
  <c r="C68" i="1"/>
  <c r="C65" i="1"/>
  <c r="C66" i="1"/>
  <c r="C63" i="1"/>
  <c r="C64" i="1"/>
  <c r="C61" i="1"/>
  <c r="C62" i="1"/>
  <c r="D79" i="1"/>
  <c r="D80" i="1"/>
  <c r="D77" i="1"/>
  <c r="D78" i="1"/>
  <c r="D75" i="1"/>
  <c r="D76" i="1"/>
  <c r="D73" i="1"/>
  <c r="D74" i="1"/>
  <c r="D71" i="1"/>
  <c r="D72" i="1"/>
  <c r="D69" i="1"/>
  <c r="D70" i="1"/>
  <c r="D67" i="1"/>
  <c r="D68" i="1"/>
  <c r="D65" i="1"/>
  <c r="D66" i="1"/>
  <c r="D63" i="1"/>
  <c r="D64" i="1"/>
  <c r="D61" i="1"/>
  <c r="D62" i="1"/>
  <c r="D81" i="1"/>
  <c r="E79" i="1"/>
  <c r="E80" i="1"/>
  <c r="E77" i="1"/>
  <c r="E78" i="1"/>
  <c r="E75" i="1"/>
  <c r="E76" i="1"/>
  <c r="E73" i="1"/>
  <c r="E74" i="1"/>
  <c r="E71" i="1"/>
  <c r="E72" i="1"/>
  <c r="E69" i="1"/>
  <c r="E70" i="1"/>
  <c r="E67" i="1"/>
  <c r="E68" i="1"/>
  <c r="E65" i="1"/>
  <c r="E66" i="1"/>
  <c r="E63" i="1"/>
  <c r="E64" i="1"/>
  <c r="E61" i="1"/>
  <c r="E62" i="1"/>
  <c r="F79" i="1"/>
  <c r="F80" i="1"/>
  <c r="F77" i="1"/>
  <c r="F78" i="1"/>
  <c r="F75" i="1"/>
  <c r="F76" i="1"/>
  <c r="F73" i="1"/>
  <c r="F74" i="1"/>
  <c r="F71" i="1"/>
  <c r="F72" i="1"/>
  <c r="F69" i="1"/>
  <c r="F70" i="1"/>
  <c r="F67" i="1"/>
  <c r="F68" i="1"/>
  <c r="F65" i="1"/>
  <c r="F66" i="1"/>
  <c r="F63" i="1"/>
  <c r="F64" i="1"/>
  <c r="F61" i="1"/>
  <c r="F62" i="1"/>
  <c r="F81" i="1"/>
  <c r="G79" i="1"/>
  <c r="G80" i="1"/>
  <c r="G77" i="1"/>
  <c r="G78" i="1"/>
  <c r="G75" i="1"/>
  <c r="G76" i="1"/>
  <c r="G73" i="1"/>
  <c r="G74" i="1"/>
  <c r="G71" i="1"/>
  <c r="G72" i="1"/>
  <c r="G69" i="1"/>
  <c r="G70" i="1"/>
  <c r="G67" i="1"/>
  <c r="G68" i="1"/>
  <c r="G65" i="1"/>
  <c r="G66" i="1"/>
  <c r="G63" i="1"/>
  <c r="G64" i="1"/>
  <c r="G61" i="1"/>
  <c r="G62" i="1"/>
  <c r="H79" i="1"/>
  <c r="H80" i="1"/>
  <c r="H77" i="1"/>
  <c r="H78" i="1"/>
  <c r="H75" i="1"/>
  <c r="H76" i="1"/>
  <c r="H73" i="1"/>
  <c r="H74" i="1"/>
  <c r="H71" i="1"/>
  <c r="H72" i="1"/>
  <c r="H69" i="1"/>
  <c r="H70" i="1"/>
  <c r="H67" i="1"/>
  <c r="H68" i="1"/>
  <c r="H65" i="1"/>
  <c r="H66" i="1"/>
  <c r="H63" i="1"/>
  <c r="H64" i="1"/>
  <c r="H61" i="1"/>
  <c r="H62" i="1"/>
  <c r="H81" i="1"/>
  <c r="I79" i="1"/>
  <c r="I80" i="1"/>
  <c r="I77" i="1"/>
  <c r="I78" i="1"/>
  <c r="I75" i="1"/>
  <c r="I76" i="1"/>
  <c r="I73" i="1"/>
  <c r="I74" i="1"/>
  <c r="I71" i="1"/>
  <c r="I72" i="1"/>
  <c r="I69" i="1"/>
  <c r="I70" i="1"/>
  <c r="I67" i="1"/>
  <c r="I68" i="1"/>
  <c r="I65" i="1"/>
  <c r="I66" i="1"/>
  <c r="I63" i="1"/>
  <c r="I64" i="1"/>
  <c r="I61" i="1"/>
  <c r="I62" i="1"/>
  <c r="J79" i="1"/>
  <c r="J80" i="1"/>
  <c r="J77" i="1"/>
  <c r="J78" i="1"/>
  <c r="J75" i="1"/>
  <c r="J76" i="1"/>
  <c r="J73" i="1"/>
  <c r="J74" i="1"/>
  <c r="J71" i="1"/>
  <c r="J72" i="1"/>
  <c r="J69" i="1"/>
  <c r="J70" i="1"/>
  <c r="J67" i="1"/>
  <c r="J68" i="1"/>
  <c r="J65" i="1"/>
  <c r="J66" i="1"/>
  <c r="J63" i="1"/>
  <c r="J64" i="1"/>
  <c r="J61" i="1"/>
  <c r="J62" i="1"/>
  <c r="J81" i="1"/>
  <c r="K79" i="1"/>
  <c r="K80" i="1"/>
  <c r="K77" i="1"/>
  <c r="K78" i="1"/>
  <c r="K75" i="1"/>
  <c r="K76" i="1"/>
  <c r="K73" i="1"/>
  <c r="K74" i="1"/>
  <c r="K71" i="1"/>
  <c r="K72" i="1"/>
  <c r="K69" i="1"/>
  <c r="K70" i="1"/>
  <c r="K67" i="1"/>
  <c r="K68" i="1"/>
  <c r="K65" i="1"/>
  <c r="K66" i="1"/>
  <c r="K63" i="1"/>
  <c r="K64" i="1"/>
  <c r="K61" i="1"/>
  <c r="K62" i="1"/>
  <c r="L79" i="1"/>
  <c r="L80" i="1"/>
  <c r="L77" i="1"/>
  <c r="L78" i="1"/>
  <c r="L75" i="1"/>
  <c r="L76" i="1"/>
  <c r="L73" i="1"/>
  <c r="L74" i="1"/>
  <c r="L71" i="1"/>
  <c r="L72" i="1"/>
  <c r="L69" i="1"/>
  <c r="L70" i="1"/>
  <c r="L67" i="1"/>
  <c r="L68" i="1"/>
  <c r="L65" i="1"/>
  <c r="L66" i="1"/>
  <c r="L63" i="1"/>
  <c r="L64" i="1"/>
  <c r="L61" i="1"/>
  <c r="L62" i="1"/>
  <c r="L81" i="1"/>
  <c r="A141" i="1"/>
  <c r="A144" i="1"/>
  <c r="A143" i="1"/>
  <c r="A142" i="1"/>
  <c r="A140" i="1"/>
  <c r="A139" i="1"/>
  <c r="A138" i="1"/>
  <c r="A137" i="1"/>
  <c r="A136" i="1"/>
  <c r="A135" i="1"/>
  <c r="C8" i="1"/>
  <c r="C55" i="1" s="1"/>
  <c r="B25" i="1"/>
  <c r="B24" i="2" s="1"/>
  <c r="L1" i="1"/>
  <c r="K1" i="1"/>
  <c r="J1" i="1"/>
  <c r="I1" i="1"/>
  <c r="H1" i="1"/>
  <c r="G1" i="1"/>
  <c r="F1" i="1"/>
  <c r="E1" i="1"/>
  <c r="D1" i="1"/>
  <c r="C1" i="1"/>
  <c r="F34" i="1"/>
  <c r="L15" i="1"/>
  <c r="K15" i="1"/>
  <c r="J15" i="1"/>
  <c r="I15" i="1"/>
  <c r="H15" i="1"/>
  <c r="G15" i="1"/>
  <c r="F15" i="1"/>
  <c r="E15" i="1"/>
  <c r="D15" i="1"/>
  <c r="C15" i="1"/>
  <c r="M15" i="1" s="1"/>
  <c r="C14" i="2" s="1"/>
  <c r="B15" i="1"/>
  <c r="B22" i="1"/>
  <c r="L3" i="1"/>
  <c r="K3" i="1"/>
  <c r="J3" i="1"/>
  <c r="I3" i="1"/>
  <c r="H3" i="1"/>
  <c r="G3" i="1"/>
  <c r="F3" i="1"/>
  <c r="E3" i="1"/>
  <c r="D3" i="1"/>
  <c r="C3" i="1"/>
  <c r="B2" i="11"/>
  <c r="B100" i="2"/>
  <c r="B97" i="2"/>
  <c r="B90" i="2"/>
  <c r="C90" i="2" s="1"/>
  <c r="B37" i="2"/>
  <c r="C37" i="2" s="1"/>
  <c r="B34" i="2"/>
  <c r="C34" i="2" s="1"/>
  <c r="B25" i="2"/>
  <c r="A25" i="2"/>
  <c r="E35" i="1"/>
  <c r="E8" i="2"/>
  <c r="B56" i="2"/>
  <c r="B55" i="2"/>
  <c r="B81" i="2"/>
  <c r="B80" i="2"/>
  <c r="B79" i="2"/>
  <c r="B78" i="2"/>
  <c r="B77" i="2"/>
  <c r="D82" i="2"/>
  <c r="G81" i="2" s="1"/>
  <c r="C82" i="2"/>
  <c r="D81" i="2"/>
  <c r="C81" i="2"/>
  <c r="D80" i="2"/>
  <c r="C80" i="2"/>
  <c r="D79" i="2"/>
  <c r="C79" i="2"/>
  <c r="D78" i="2"/>
  <c r="G77" i="2" s="1"/>
  <c r="C78" i="2"/>
  <c r="D77" i="2"/>
  <c r="C77" i="2"/>
  <c r="D76" i="2"/>
  <c r="C76" i="2"/>
  <c r="D75" i="2"/>
  <c r="C75" i="2"/>
  <c r="D74" i="2"/>
  <c r="G73" i="2" s="1"/>
  <c r="C74" i="2"/>
  <c r="D73" i="2"/>
  <c r="C73" i="2"/>
  <c r="D72" i="2"/>
  <c r="C72" i="2"/>
  <c r="D71" i="2"/>
  <c r="C71" i="2"/>
  <c r="D70" i="2"/>
  <c r="C70" i="2"/>
  <c r="D69" i="2"/>
  <c r="G68" i="2" s="1"/>
  <c r="C69" i="2"/>
  <c r="D68" i="2"/>
  <c r="C68" i="2"/>
  <c r="D67" i="2"/>
  <c r="C67" i="2"/>
  <c r="D66" i="2"/>
  <c r="G65" i="2" s="1"/>
  <c r="C66" i="2"/>
  <c r="D65" i="2"/>
  <c r="C65" i="2"/>
  <c r="D64" i="2"/>
  <c r="C64" i="2"/>
  <c r="D63" i="2"/>
  <c r="C63" i="2"/>
  <c r="D62" i="2"/>
  <c r="C62" i="2"/>
  <c r="D61" i="2"/>
  <c r="D83" i="2" s="1"/>
  <c r="G82" i="2" s="1"/>
  <c r="C61" i="2"/>
  <c r="D60" i="2"/>
  <c r="C60" i="2"/>
  <c r="D59" i="2"/>
  <c r="G58" i="2" s="1"/>
  <c r="C59" i="2"/>
  <c r="D56" i="2"/>
  <c r="C56" i="2"/>
  <c r="C55" i="2"/>
  <c r="D55" i="2"/>
  <c r="D52" i="2"/>
  <c r="C52" i="2"/>
  <c r="D51" i="2"/>
  <c r="G50" i="2" s="1"/>
  <c r="C51" i="2"/>
  <c r="D50" i="2"/>
  <c r="C50" i="2"/>
  <c r="D49" i="2"/>
  <c r="C49" i="2"/>
  <c r="D48" i="2"/>
  <c r="C48" i="2"/>
  <c r="D47" i="2"/>
  <c r="G46" i="2" s="1"/>
  <c r="C47" i="2"/>
  <c r="D46" i="2"/>
  <c r="C46" i="2"/>
  <c r="D45" i="2"/>
  <c r="C45" i="2"/>
  <c r="D44" i="2"/>
  <c r="C44" i="2"/>
  <c r="L132" i="1"/>
  <c r="K132" i="1"/>
  <c r="J132" i="1"/>
  <c r="I132" i="1"/>
  <c r="H132" i="1"/>
  <c r="G132" i="1"/>
  <c r="F132" i="1"/>
  <c r="E132" i="1"/>
  <c r="D132" i="1"/>
  <c r="C132" i="1"/>
  <c r="B102" i="2"/>
  <c r="B99" i="2"/>
  <c r="B96" i="2"/>
  <c r="B33" i="2"/>
  <c r="B36" i="2"/>
  <c r="E105" i="2"/>
  <c r="C119" i="2"/>
  <c r="A120" i="2"/>
  <c r="C120" i="2"/>
  <c r="A119" i="2"/>
  <c r="G3" i="2"/>
  <c r="A5" i="2"/>
  <c r="A4" i="2"/>
  <c r="A3" i="2"/>
  <c r="B4" i="11" s="1"/>
  <c r="A2" i="2"/>
  <c r="B3" i="11" s="1"/>
  <c r="A1" i="2"/>
  <c r="L54" i="1"/>
  <c r="K54" i="1"/>
  <c r="J54" i="1"/>
  <c r="I54" i="1"/>
  <c r="H54" i="1"/>
  <c r="G54" i="1"/>
  <c r="F54" i="1"/>
  <c r="E54" i="1"/>
  <c r="D54" i="1"/>
  <c r="C54" i="1"/>
  <c r="L53" i="1"/>
  <c r="K53" i="1"/>
  <c r="J53" i="1"/>
  <c r="I53" i="1"/>
  <c r="H53" i="1"/>
  <c r="G53" i="1"/>
  <c r="F53" i="1"/>
  <c r="E53" i="1"/>
  <c r="D53" i="1"/>
  <c r="C53" i="1"/>
  <c r="L52" i="1"/>
  <c r="K52" i="1"/>
  <c r="J52" i="1"/>
  <c r="I52" i="1"/>
  <c r="H52" i="1"/>
  <c r="G52" i="1"/>
  <c r="F52" i="1"/>
  <c r="E52" i="1"/>
  <c r="D52" i="1"/>
  <c r="C52" i="1"/>
  <c r="L51" i="1"/>
  <c r="K51" i="1"/>
  <c r="J51" i="1"/>
  <c r="I51" i="1"/>
  <c r="H51" i="1"/>
  <c r="G51" i="1"/>
  <c r="F51" i="1"/>
  <c r="E51" i="1"/>
  <c r="D51" i="1"/>
  <c r="C51" i="1"/>
  <c r="L50" i="1"/>
  <c r="K50" i="1"/>
  <c r="J50" i="1"/>
  <c r="I50" i="1"/>
  <c r="H50" i="1"/>
  <c r="G50" i="1"/>
  <c r="F50" i="1"/>
  <c r="E50" i="1"/>
  <c r="D50" i="1"/>
  <c r="C50" i="1"/>
  <c r="M50" i="1" s="1"/>
  <c r="L49" i="1"/>
  <c r="K49" i="1"/>
  <c r="J49" i="1"/>
  <c r="I49" i="1"/>
  <c r="H49" i="1"/>
  <c r="G49" i="1"/>
  <c r="F49" i="1"/>
  <c r="E49" i="1"/>
  <c r="D49" i="1"/>
  <c r="C49" i="1"/>
  <c r="M49" i="1" s="1"/>
  <c r="L48" i="1"/>
  <c r="K48" i="1"/>
  <c r="J48" i="1"/>
  <c r="I48" i="1"/>
  <c r="H48" i="1"/>
  <c r="G48" i="1"/>
  <c r="F48" i="1"/>
  <c r="E48" i="1"/>
  <c r="D48" i="1"/>
  <c r="C48" i="1"/>
  <c r="M48" i="1" s="1"/>
  <c r="L47" i="1"/>
  <c r="K47" i="1"/>
  <c r="J47" i="1"/>
  <c r="I47" i="1"/>
  <c r="H47" i="1"/>
  <c r="G47" i="1"/>
  <c r="F47" i="1"/>
  <c r="E47" i="1"/>
  <c r="D47" i="1"/>
  <c r="C47" i="1"/>
  <c r="L41" i="1"/>
  <c r="K41" i="1"/>
  <c r="J41" i="1"/>
  <c r="I41" i="1"/>
  <c r="H41" i="1"/>
  <c r="G41" i="1"/>
  <c r="F41" i="1"/>
  <c r="E41" i="1"/>
  <c r="D41" i="1"/>
  <c r="C41" i="1"/>
  <c r="L40" i="1"/>
  <c r="K40" i="1"/>
  <c r="J40" i="1"/>
  <c r="I40" i="1"/>
  <c r="H40" i="1"/>
  <c r="G40" i="1"/>
  <c r="F40" i="1"/>
  <c r="E40" i="1"/>
  <c r="D40" i="1"/>
  <c r="C40" i="1"/>
  <c r="B23" i="1"/>
  <c r="B21" i="1"/>
  <c r="B20" i="1"/>
  <c r="B19" i="2"/>
  <c r="B19" i="1"/>
  <c r="B18" i="2"/>
  <c r="B18" i="1"/>
  <c r="B17" i="1"/>
  <c r="D17" i="1" s="1"/>
  <c r="B16" i="1"/>
  <c r="B14" i="2"/>
  <c r="B14" i="1"/>
  <c r="L39" i="1"/>
  <c r="L21" i="1" s="1"/>
  <c r="K39" i="1"/>
  <c r="J39" i="1"/>
  <c r="I39" i="1"/>
  <c r="H39" i="1"/>
  <c r="G39" i="1"/>
  <c r="F39" i="1"/>
  <c r="E39" i="1"/>
  <c r="D39" i="1"/>
  <c r="C39" i="1"/>
  <c r="M39" i="1" s="1"/>
  <c r="L38" i="1"/>
  <c r="L20" i="1" s="1"/>
  <c r="K38" i="1"/>
  <c r="J38" i="1"/>
  <c r="J20" i="1" s="1"/>
  <c r="I38" i="1"/>
  <c r="I20" i="1"/>
  <c r="H38" i="1"/>
  <c r="G38" i="1"/>
  <c r="F38" i="1"/>
  <c r="E38" i="1"/>
  <c r="D38" i="1"/>
  <c r="C38" i="1"/>
  <c r="DR13" i="10"/>
  <c r="D2" i="2" s="1"/>
  <c r="L37" i="1"/>
  <c r="L19" i="1" s="1"/>
  <c r="K37" i="1"/>
  <c r="K19" i="1"/>
  <c r="J37" i="1"/>
  <c r="I37" i="1"/>
  <c r="I19" i="1" s="1"/>
  <c r="H37" i="1"/>
  <c r="G37" i="1"/>
  <c r="F37" i="1"/>
  <c r="E37" i="1"/>
  <c r="D37" i="1"/>
  <c r="C37" i="1"/>
  <c r="C19" i="1" s="1"/>
  <c r="L36" i="1"/>
  <c r="L18" i="1"/>
  <c r="K36" i="1"/>
  <c r="J36" i="1"/>
  <c r="I36" i="1"/>
  <c r="H36" i="1"/>
  <c r="H18" i="1" s="1"/>
  <c r="G36" i="1"/>
  <c r="G18" i="1" s="1"/>
  <c r="F36" i="1"/>
  <c r="E36" i="1"/>
  <c r="D36" i="1"/>
  <c r="D18" i="1"/>
  <c r="C36" i="1"/>
  <c r="C18" i="1" s="1"/>
  <c r="L35" i="1"/>
  <c r="K35" i="1"/>
  <c r="J35" i="1"/>
  <c r="I35" i="1"/>
  <c r="H35" i="1"/>
  <c r="G35" i="1"/>
  <c r="F35" i="1"/>
  <c r="D35" i="1"/>
  <c r="C35" i="1"/>
  <c r="C17" i="1" s="1"/>
  <c r="L34" i="1"/>
  <c r="K34" i="1"/>
  <c r="K33" i="1" s="1"/>
  <c r="K46" i="1" s="1"/>
  <c r="J34" i="1"/>
  <c r="J16" i="1"/>
  <c r="I34" i="1"/>
  <c r="I33" i="1"/>
  <c r="I46" i="1" s="1"/>
  <c r="H34" i="1"/>
  <c r="H33" i="1"/>
  <c r="G34" i="1"/>
  <c r="G33" i="1"/>
  <c r="G46" i="1" s="1"/>
  <c r="E34" i="1"/>
  <c r="D34" i="1"/>
  <c r="C34" i="1"/>
  <c r="L13" i="1"/>
  <c r="K13" i="1"/>
  <c r="K24" i="1"/>
  <c r="J13" i="1"/>
  <c r="J24" i="1"/>
  <c r="I13" i="1"/>
  <c r="I24" i="1"/>
  <c r="H13" i="1"/>
  <c r="H24" i="1"/>
  <c r="G13" i="1"/>
  <c r="G24" i="1"/>
  <c r="F13" i="1"/>
  <c r="F24" i="1"/>
  <c r="E13" i="1"/>
  <c r="D13" i="1"/>
  <c r="D24" i="1"/>
  <c r="C13" i="1"/>
  <c r="C24" i="1"/>
  <c r="L8" i="1"/>
  <c r="L55" i="1"/>
  <c r="L56" i="1" s="1"/>
  <c r="L129" i="1"/>
  <c r="K8" i="1"/>
  <c r="J8" i="1"/>
  <c r="J55" i="1"/>
  <c r="I8" i="1"/>
  <c r="I55" i="1"/>
  <c r="I129" i="1"/>
  <c r="H8" i="1"/>
  <c r="H55" i="1" s="1"/>
  <c r="H129" i="1"/>
  <c r="G8" i="1"/>
  <c r="G55" i="1"/>
  <c r="F8" i="1"/>
  <c r="F55" i="1"/>
  <c r="F129" i="1"/>
  <c r="E8" i="1"/>
  <c r="D8" i="1"/>
  <c r="D55" i="1"/>
  <c r="D129" i="1"/>
  <c r="L7" i="1"/>
  <c r="K7" i="1"/>
  <c r="J7" i="1"/>
  <c r="I7" i="1"/>
  <c r="H7" i="1"/>
  <c r="G7" i="1"/>
  <c r="F7" i="1"/>
  <c r="E7" i="1"/>
  <c r="D7" i="1"/>
  <c r="C7" i="1"/>
  <c r="M7" i="1" s="1"/>
  <c r="L6" i="1"/>
  <c r="K6" i="1"/>
  <c r="J6" i="1"/>
  <c r="I6" i="1"/>
  <c r="H6" i="1"/>
  <c r="G6" i="1"/>
  <c r="F6" i="1"/>
  <c r="E6" i="1"/>
  <c r="D6" i="1"/>
  <c r="C6" i="1"/>
  <c r="M6" i="1" s="1"/>
  <c r="L2" i="1"/>
  <c r="K2" i="1"/>
  <c r="J2" i="1"/>
  <c r="I2" i="1"/>
  <c r="H2" i="1"/>
  <c r="G2" i="1"/>
  <c r="F2" i="1"/>
  <c r="E2" i="1"/>
  <c r="D2" i="1"/>
  <c r="C2" i="1"/>
  <c r="C135" i="1" s="1"/>
  <c r="A3" i="1"/>
  <c r="A2" i="1"/>
  <c r="A1" i="1"/>
  <c r="A5" i="1"/>
  <c r="A4" i="1"/>
  <c r="A13" i="2"/>
  <c r="A14" i="2"/>
  <c r="A15" i="2"/>
  <c r="A16" i="2"/>
  <c r="A18" i="2"/>
  <c r="A19" i="2"/>
  <c r="A20" i="2"/>
  <c r="A21" i="2"/>
  <c r="A22" i="2"/>
  <c r="A24" i="2"/>
  <c r="A26" i="2"/>
  <c r="F143" i="1"/>
  <c r="F139" i="1"/>
  <c r="F135" i="1"/>
  <c r="F144" i="1"/>
  <c r="F138" i="1"/>
  <c r="F136" i="1"/>
  <c r="J141" i="1"/>
  <c r="J137" i="1"/>
  <c r="J10" i="1"/>
  <c r="J144" i="1"/>
  <c r="J140" i="1"/>
  <c r="C10" i="1"/>
  <c r="G143" i="1"/>
  <c r="G141" i="1"/>
  <c r="G139" i="1"/>
  <c r="G137" i="1"/>
  <c r="G135" i="1"/>
  <c r="G10" i="1"/>
  <c r="G144" i="1"/>
  <c r="G142" i="1"/>
  <c r="G140" i="1"/>
  <c r="G138" i="1"/>
  <c r="G136" i="1"/>
  <c r="K144" i="1"/>
  <c r="K142" i="1"/>
  <c r="K140" i="1"/>
  <c r="K138" i="1"/>
  <c r="K136" i="1"/>
  <c r="K143" i="1"/>
  <c r="K141" i="1"/>
  <c r="K139" i="1"/>
  <c r="K137" i="1"/>
  <c r="K135" i="1"/>
  <c r="K10" i="1"/>
  <c r="D144" i="1"/>
  <c r="D140" i="1"/>
  <c r="D136" i="1"/>
  <c r="D141" i="1"/>
  <c r="D139" i="1"/>
  <c r="D10" i="1"/>
  <c r="D11" i="1" s="1"/>
  <c r="H142" i="1"/>
  <c r="H138" i="1"/>
  <c r="H139" i="1"/>
  <c r="H10" i="1"/>
  <c r="H141" i="1"/>
  <c r="L144" i="1"/>
  <c r="L140" i="1"/>
  <c r="L136" i="1"/>
  <c r="L135" i="1"/>
  <c r="L139" i="1"/>
  <c r="L10" i="1"/>
  <c r="E140" i="1"/>
  <c r="E138" i="1"/>
  <c r="E136" i="1"/>
  <c r="E143" i="1"/>
  <c r="E141" i="1"/>
  <c r="E139" i="1"/>
  <c r="E137" i="1"/>
  <c r="E135" i="1"/>
  <c r="E10" i="1"/>
  <c r="E144" i="1"/>
  <c r="E142" i="1"/>
  <c r="I144" i="1"/>
  <c r="I142" i="1"/>
  <c r="I140" i="1"/>
  <c r="I136" i="1"/>
  <c r="I143" i="1"/>
  <c r="I141" i="1"/>
  <c r="I139" i="1"/>
  <c r="I137" i="1"/>
  <c r="I135" i="1"/>
  <c r="I10" i="1"/>
  <c r="I11" i="1" s="1"/>
  <c r="I138" i="1"/>
  <c r="C23" i="1"/>
  <c r="D19" i="1"/>
  <c r="K16" i="1"/>
  <c r="H19" i="1"/>
  <c r="G21" i="1"/>
  <c r="H20" i="1"/>
  <c r="D23" i="1"/>
  <c r="H23" i="1"/>
  <c r="G70" i="2"/>
  <c r="I9" i="1"/>
  <c r="G49" i="2"/>
  <c r="G47" i="2"/>
  <c r="G62" i="2"/>
  <c r="G74" i="2"/>
  <c r="C9" i="1"/>
  <c r="G9" i="1"/>
  <c r="E16" i="1"/>
  <c r="I16" i="1"/>
  <c r="G17" i="1"/>
  <c r="D20" i="1"/>
  <c r="I23" i="1"/>
  <c r="G23" i="1"/>
  <c r="K23" i="1"/>
  <c r="C129" i="1"/>
  <c r="C130" i="1" s="1"/>
  <c r="L23" i="1"/>
  <c r="B15" i="2"/>
  <c r="G129" i="1"/>
  <c r="G130" i="1" s="1"/>
  <c r="E23" i="1"/>
  <c r="G16" i="1"/>
  <c r="E19" i="1"/>
  <c r="F20" i="1"/>
  <c r="C83" i="2"/>
  <c r="B22" i="2"/>
  <c r="F19" i="1"/>
  <c r="J19" i="1"/>
  <c r="K20" i="1"/>
  <c r="F23" i="1"/>
  <c r="J23" i="1"/>
  <c r="M42" i="1"/>
  <c r="M43" i="1"/>
  <c r="M47" i="1"/>
  <c r="M51" i="1"/>
  <c r="M53" i="1"/>
  <c r="G61" i="2"/>
  <c r="G69" i="2"/>
  <c r="F130" i="1"/>
  <c r="H130" i="1"/>
  <c r="H9" i="1"/>
  <c r="J129" i="1"/>
  <c r="J9" i="1"/>
  <c r="J11" i="1" s="1"/>
  <c r="H16" i="1"/>
  <c r="C20" i="1"/>
  <c r="F18" i="1"/>
  <c r="K18" i="1"/>
  <c r="J18" i="1"/>
  <c r="B17" i="2"/>
  <c r="E22" i="1"/>
  <c r="I22" i="1"/>
  <c r="B21" i="2"/>
  <c r="F22" i="1"/>
  <c r="H22" i="1"/>
  <c r="L16" i="1"/>
  <c r="I18" i="1"/>
  <c r="D9" i="1"/>
  <c r="D56" i="1" s="1"/>
  <c r="L9" i="1"/>
  <c r="G20" i="1"/>
  <c r="B13" i="2"/>
  <c r="M40" i="1"/>
  <c r="D22" i="1"/>
  <c r="L22" i="1"/>
  <c r="D16" i="1"/>
  <c r="G22" i="1"/>
  <c r="F9" i="1"/>
  <c r="E18" i="1"/>
  <c r="B16" i="2"/>
  <c r="B20" i="2"/>
  <c r="C22" i="1"/>
  <c r="K22" i="1"/>
  <c r="M45" i="1"/>
  <c r="M52" i="1"/>
  <c r="M54" i="1"/>
  <c r="K9" i="1"/>
  <c r="I17" i="1"/>
  <c r="J22" i="1"/>
  <c r="M41" i="1"/>
  <c r="M22" i="1"/>
  <c r="C21" i="2" s="1"/>
  <c r="G21" i="2" s="1"/>
  <c r="J130" i="1"/>
  <c r="K11" i="1"/>
  <c r="L130" i="1"/>
  <c r="I130" i="1"/>
  <c r="G53" i="2"/>
  <c r="L11" i="1"/>
  <c r="D130" i="1"/>
  <c r="C36" i="2"/>
  <c r="D38" i="2" s="1"/>
  <c r="G37" i="2" s="1"/>
  <c r="H37" i="2" s="1"/>
  <c r="B26" i="2"/>
  <c r="C97" i="2"/>
  <c r="C100" i="2"/>
  <c r="G56" i="1"/>
  <c r="I56" i="1"/>
  <c r="L24" i="1"/>
  <c r="M25" i="1"/>
  <c r="E109" i="2" s="1"/>
  <c r="G108" i="2" s="1"/>
  <c r="M14" i="1"/>
  <c r="C13" i="2"/>
  <c r="G13" i="2" s="1"/>
  <c r="C57" i="2"/>
  <c r="D57" i="2"/>
  <c r="G52" i="2"/>
  <c r="H46" i="1"/>
  <c r="H11" i="1" l="1"/>
  <c r="G11" i="1"/>
  <c r="K103" i="1"/>
  <c r="M132" i="1"/>
  <c r="B15" i="11" s="1"/>
  <c r="C125" i="1"/>
  <c r="M125" i="1" s="1"/>
  <c r="C103" i="1"/>
  <c r="M56" i="1"/>
  <c r="C21" i="1"/>
  <c r="M36" i="1"/>
  <c r="M13" i="1"/>
  <c r="E10" i="2" s="1"/>
  <c r="C139" i="1"/>
  <c r="C143" i="1"/>
  <c r="C138" i="1"/>
  <c r="C142" i="1"/>
  <c r="C137" i="1"/>
  <c r="C141" i="1"/>
  <c r="C136" i="1"/>
  <c r="C140" i="1"/>
  <c r="C144" i="1"/>
  <c r="D84" i="2"/>
  <c r="B10" i="11" s="1"/>
  <c r="C84" i="2"/>
  <c r="G56" i="2"/>
  <c r="M23" i="1"/>
  <c r="C22" i="2" s="1"/>
  <c r="G22" i="2" s="1"/>
  <c r="J21" i="1"/>
  <c r="E21" i="1"/>
  <c r="I21" i="1"/>
  <c r="D21" i="1"/>
  <c r="F21" i="1"/>
  <c r="H21" i="1"/>
  <c r="K21" i="1"/>
  <c r="D28" i="1"/>
  <c r="D30" i="1" s="1"/>
  <c r="K17" i="1"/>
  <c r="F17" i="1"/>
  <c r="H17" i="1"/>
  <c r="J17" i="1"/>
  <c r="L17" i="1"/>
  <c r="E17" i="1"/>
  <c r="L28" i="1"/>
  <c r="G14" i="2"/>
  <c r="M18" i="1"/>
  <c r="C17" i="2" s="1"/>
  <c r="G17" i="2" s="1"/>
  <c r="B5" i="11"/>
  <c r="D11" i="2"/>
  <c r="C56" i="1"/>
  <c r="C11" i="1"/>
  <c r="K55" i="1"/>
  <c r="K56" i="1" s="1"/>
  <c r="K129" i="1"/>
  <c r="K130" i="1" s="1"/>
  <c r="D33" i="1"/>
  <c r="D46" i="1" s="1"/>
  <c r="M34" i="1"/>
  <c r="J28" i="1"/>
  <c r="J30" i="1" s="1"/>
  <c r="G19" i="1"/>
  <c r="M19" i="1" s="1"/>
  <c r="C18" i="2" s="1"/>
  <c r="G18" i="2" s="1"/>
  <c r="M37" i="1"/>
  <c r="E20" i="1"/>
  <c r="M20" i="1" s="1"/>
  <c r="C19" i="2" s="1"/>
  <c r="G19" i="2" s="1"/>
  <c r="M38" i="1"/>
  <c r="F33" i="1"/>
  <c r="F46" i="1" s="1"/>
  <c r="F16" i="1"/>
  <c r="F28" i="1" s="1"/>
  <c r="F30" i="1" s="1"/>
  <c r="K81" i="1"/>
  <c r="G81" i="1"/>
  <c r="C81" i="1"/>
  <c r="J103" i="1"/>
  <c r="F103" i="1"/>
  <c r="L30" i="1"/>
  <c r="C24" i="2"/>
  <c r="G24" i="2" s="1"/>
  <c r="J56" i="1"/>
  <c r="H56" i="1"/>
  <c r="F56" i="1"/>
  <c r="G10" i="2"/>
  <c r="M35" i="1"/>
  <c r="M8" i="1"/>
  <c r="M9" i="1" s="1"/>
  <c r="E55" i="1"/>
  <c r="M55" i="1" s="1"/>
  <c r="E129" i="1"/>
  <c r="E130" i="1" s="1"/>
  <c r="M130" i="1" s="1"/>
  <c r="B18" i="11" s="1"/>
  <c r="E9" i="1"/>
  <c r="G54" i="2"/>
  <c r="G8" i="2"/>
  <c r="G43" i="2"/>
  <c r="G44" i="2"/>
  <c r="G45" i="2"/>
  <c r="G48" i="2"/>
  <c r="G51" i="2"/>
  <c r="G55" i="2"/>
  <c r="G59" i="2"/>
  <c r="G60" i="2"/>
  <c r="G63" i="2"/>
  <c r="G64" i="2"/>
  <c r="G66" i="2"/>
  <c r="G67" i="2"/>
  <c r="G71" i="2"/>
  <c r="G72" i="2"/>
  <c r="G75" i="2"/>
  <c r="G76" i="2"/>
  <c r="G78" i="2"/>
  <c r="G79" i="2"/>
  <c r="G80" i="2"/>
  <c r="D142" i="1"/>
  <c r="D138" i="1"/>
  <c r="D143" i="1"/>
  <c r="D135" i="1"/>
  <c r="D137" i="1"/>
  <c r="F141" i="1"/>
  <c r="F137" i="1"/>
  <c r="F10" i="1"/>
  <c r="F11" i="1" s="1"/>
  <c r="F140" i="1"/>
  <c r="F142" i="1"/>
  <c r="H144" i="1"/>
  <c r="H140" i="1"/>
  <c r="H136" i="1"/>
  <c r="H137" i="1"/>
  <c r="H143" i="1"/>
  <c r="H135" i="1"/>
  <c r="J143" i="1"/>
  <c r="J139" i="1"/>
  <c r="J135" i="1"/>
  <c r="J136" i="1"/>
  <c r="J142" i="1"/>
  <c r="J138" i="1"/>
  <c r="L142" i="1"/>
  <c r="L138" i="1"/>
  <c r="L141" i="1"/>
  <c r="L143" i="1"/>
  <c r="L137" i="1"/>
  <c r="C33" i="1"/>
  <c r="C16" i="1"/>
  <c r="M16" i="1" s="1"/>
  <c r="C15" i="2" s="1"/>
  <c r="G15" i="2" s="1"/>
  <c r="E33" i="1"/>
  <c r="E46" i="1" s="1"/>
  <c r="J33" i="1"/>
  <c r="J46" i="1" s="1"/>
  <c r="L33" i="1"/>
  <c r="L46" i="1" s="1"/>
  <c r="I81" i="1"/>
  <c r="E81" i="1"/>
  <c r="L103" i="1"/>
  <c r="H103" i="1"/>
  <c r="D103" i="1"/>
  <c r="L26" i="1"/>
  <c r="J26" i="1"/>
  <c r="H26" i="1"/>
  <c r="F26" i="1"/>
  <c r="D26" i="1"/>
  <c r="E24" i="1"/>
  <c r="M24" i="1" s="1"/>
  <c r="C23" i="2" s="1"/>
  <c r="G28" i="1"/>
  <c r="G30" i="1" s="1"/>
  <c r="I28" i="1"/>
  <c r="I30" i="1" s="1"/>
  <c r="K28" i="1"/>
  <c r="K30" i="1" s="1"/>
  <c r="C26" i="1"/>
  <c r="G26" i="1"/>
  <c r="K26" i="1"/>
  <c r="D27" i="1"/>
  <c r="F27" i="1"/>
  <c r="H27" i="1"/>
  <c r="J27" i="1"/>
  <c r="G83" i="2" l="1"/>
  <c r="M27" i="1"/>
  <c r="C26" i="2" s="1"/>
  <c r="G25" i="2" s="1"/>
  <c r="M26" i="1"/>
  <c r="C25" i="2" s="1"/>
  <c r="E28" i="1"/>
  <c r="E30" i="1" s="1"/>
  <c r="M21" i="1"/>
  <c r="C20" i="2" s="1"/>
  <c r="G20" i="2" s="1"/>
  <c r="H28" i="1"/>
  <c r="H30" i="1" s="1"/>
  <c r="M17" i="1"/>
  <c r="C16" i="2" s="1"/>
  <c r="G16" i="2" s="1"/>
  <c r="C28" i="1"/>
  <c r="C30" i="1" s="1"/>
  <c r="H31" i="1" s="1"/>
  <c r="M33" i="1"/>
  <c r="M46" i="1" s="1"/>
  <c r="C46" i="1"/>
  <c r="D3" i="2"/>
  <c r="M81" i="1"/>
  <c r="M10" i="1"/>
  <c r="D4" i="2" s="1"/>
  <c r="M103" i="1"/>
  <c r="E11" i="1"/>
  <c r="E56" i="1"/>
  <c r="M127" i="1" l="1"/>
  <c r="B17" i="11" s="1"/>
  <c r="B19" i="11" s="1"/>
  <c r="B20" i="11" s="1"/>
  <c r="M28" i="1"/>
  <c r="D28" i="2" s="1"/>
  <c r="L31" i="1"/>
  <c r="J31" i="1"/>
  <c r="G31" i="1"/>
  <c r="N30" i="1"/>
  <c r="E31" i="1"/>
  <c r="D31" i="1"/>
  <c r="K31" i="1"/>
  <c r="F31" i="1"/>
  <c r="C31" i="1"/>
  <c r="I31" i="1"/>
  <c r="M30" i="1"/>
  <c r="E113" i="2" s="1"/>
  <c r="M11" i="1"/>
  <c r="D5" i="2" s="1"/>
  <c r="B21" i="11" s="1"/>
  <c r="B22" i="11" l="1"/>
  <c r="G112" i="2"/>
  <c r="E28" i="2"/>
  <c r="B6" i="11"/>
  <c r="G27" i="2"/>
  <c r="H27" i="2" s="1"/>
  <c r="E30" i="2"/>
  <c r="C33" i="2" s="1"/>
  <c r="D35" i="2" s="1"/>
  <c r="B8" i="11" l="1"/>
  <c r="G34" i="2"/>
  <c r="D40" i="2"/>
  <c r="B7" i="11"/>
  <c r="G29" i="2"/>
  <c r="E85" i="2" l="1"/>
  <c r="G39" i="2"/>
  <c r="G84" i="2" l="1"/>
  <c r="E87" i="2"/>
  <c r="B89" i="2" l="1"/>
  <c r="D89" i="2"/>
  <c r="D91" i="2" s="1"/>
  <c r="G86" i="2"/>
  <c r="C89" i="2" l="1"/>
  <c r="C91" i="2" s="1"/>
  <c r="E91" i="2" s="1"/>
  <c r="B9" i="11"/>
  <c r="E93" i="2" l="1"/>
  <c r="G90" i="2"/>
  <c r="E95" i="2" l="1"/>
  <c r="B11" i="11"/>
  <c r="G92" i="2"/>
  <c r="D102" i="2" l="1"/>
  <c r="C99" i="2"/>
  <c r="D101" i="2" s="1"/>
  <c r="C96" i="2"/>
  <c r="D98" i="2" s="1"/>
  <c r="G97" i="2" l="1"/>
  <c r="E104" i="2"/>
  <c r="G100" i="2"/>
  <c r="B12" i="11"/>
  <c r="E108" i="2"/>
  <c r="B13" i="11"/>
  <c r="E106" i="2" l="1"/>
  <c r="E112" i="2" s="1"/>
  <c r="G103" i="2"/>
  <c r="G107" i="2"/>
  <c r="E110" i="2"/>
  <c r="G109" i="2" s="1"/>
  <c r="E114" i="2" l="1"/>
  <c r="G113" i="2" s="1"/>
  <c r="G111" i="2"/>
</calcChain>
</file>

<file path=xl/comments1.xml><?xml version="1.0" encoding="utf-8"?>
<comments xmlns="http://schemas.openxmlformats.org/spreadsheetml/2006/main">
  <authors>
    <author>Gregory Vander Ploeg</author>
  </authors>
  <commentList>
    <comment ref="G3" authorId="0">
      <text>
        <r>
          <rPr>
            <sz val="8"/>
            <color indexed="81"/>
            <rFont val="Tahoma"/>
            <family val="2"/>
          </rPr>
          <t xml:space="preserve">cell is value of US Dollar against Canadian Dollar
</t>
        </r>
      </text>
    </comment>
  </commentList>
</comments>
</file>

<file path=xl/comments2.xml><?xml version="1.0" encoding="utf-8"?>
<comments xmlns="http://schemas.openxmlformats.org/spreadsheetml/2006/main">
  <authors>
    <author>Gregory Vander Ploeg</author>
  </authors>
  <commentList>
    <comment ref="B1" authorId="0">
      <text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 xml:space="preserve">copy and past </t>
        </r>
        <r>
          <rPr>
            <i/>
            <sz val="10"/>
            <color indexed="81"/>
            <rFont val="Tahoma"/>
            <family val="2"/>
          </rPr>
          <t>e-mail info</t>
        </r>
        <r>
          <rPr>
            <sz val="10"/>
            <color indexed="81"/>
            <rFont val="Tahoma"/>
            <family val="2"/>
          </rPr>
          <t xml:space="preserve"> into the body of the distribution e-mail; if CDN engagement notate all monies are in CDN dollars in the e-mail message.
DO NOT include message(s) re: disputes and/or outstanding issues. Direct these questions to  </t>
        </r>
        <r>
          <rPr>
            <u/>
            <sz val="10"/>
            <color indexed="81"/>
            <rFont val="Tahoma"/>
            <family val="2"/>
          </rPr>
          <t>angelar@networkstours.com</t>
        </r>
        <r>
          <rPr>
            <sz val="10"/>
            <color indexed="81"/>
            <rFont val="Tahoma"/>
            <family val="2"/>
          </rPr>
          <t xml:space="preserve"> and CC the tour GM immediately. ONLY notate the settlement was 'Signed Under Dispute'
Be sure to double check your figures!</t>
        </r>
      </text>
    </comment>
  </commentList>
</comments>
</file>

<file path=xl/sharedStrings.xml><?xml version="1.0" encoding="utf-8"?>
<sst xmlns="http://schemas.openxmlformats.org/spreadsheetml/2006/main" count="690" uniqueCount="626">
  <si>
    <t>A</t>
  </si>
  <si>
    <t>B</t>
  </si>
  <si>
    <t>Gross:</t>
  </si>
  <si>
    <t>% of Attendance:</t>
  </si>
  <si>
    <t>Subscription Sales Comm</t>
  </si>
  <si>
    <t>Credit Card Sales Comm</t>
  </si>
  <si>
    <t>Remote Sales Commission</t>
  </si>
  <si>
    <t>TOTAL BOX OFFICE EXPENSES:</t>
  </si>
  <si>
    <t>cross check</t>
  </si>
  <si>
    <t>Single Tix (if applicable)</t>
  </si>
  <si>
    <t># of Remote/Outlet Tickets</t>
  </si>
  <si>
    <t xml:space="preserve"># of Single Tickets </t>
  </si>
  <si>
    <t>PRESENTER PERCENTAGE</t>
  </si>
  <si>
    <t>TOTAL COMPANY SHARE</t>
  </si>
  <si>
    <t>TOTAL SHARES EQUAL</t>
  </si>
  <si>
    <t># of Internet Tickets</t>
  </si>
  <si>
    <t>T/W/Th/Sun Eve</t>
    <phoneticPr fontId="0" type="noConversion"/>
  </si>
  <si>
    <t>NET STAR PERFORMER PERCENTAGE</t>
  </si>
  <si>
    <t>TAX WITHHELD AT SOURCE on COMPANY %</t>
  </si>
  <si>
    <t>TOTAL LOCAL EXPENSE</t>
  </si>
  <si>
    <t>[NET] Group Sales 1</t>
  </si>
  <si>
    <t>[NET] Group Sales 2</t>
  </si>
  <si>
    <t>Group Sales Commission 1</t>
  </si>
  <si>
    <t>Group Sales Commission 2</t>
  </si>
  <si>
    <t>PRESENTER PROFIT</t>
  </si>
  <si>
    <t>NET COMPANY GUARANTEE (USD only)</t>
  </si>
  <si>
    <t>Total Attendance:</t>
  </si>
  <si>
    <t>Capacity:</t>
  </si>
  <si>
    <t># OF SUB TICKETS 4</t>
  </si>
  <si>
    <t># OF SUB TICKETS 5</t>
  </si>
  <si>
    <t># OF SUB TICKETS 6</t>
  </si>
  <si>
    <t>LABOR CATERING</t>
  </si>
  <si>
    <t>CITY:</t>
  </si>
  <si>
    <t>VENUE:</t>
  </si>
  <si>
    <t>% Attendance:</t>
  </si>
  <si>
    <t>Number of perfs:</t>
  </si>
  <si>
    <t>GROSS BOX OFFICE POTENTIAL:</t>
  </si>
  <si>
    <t>Top Ticket Price:</t>
  </si>
  <si>
    <t># of Credit Card Tickets</t>
  </si>
  <si>
    <t># OF TICKETS MISC 1</t>
  </si>
  <si>
    <t># OF TICKETS MISC 2</t>
  </si>
  <si>
    <t># OF TICKETS MISC 3</t>
  </si>
  <si>
    <t>DISCOUNTS:</t>
  </si>
  <si>
    <t>TAX WITHHELD AT SOURCE</t>
  </si>
  <si>
    <t>TOTAL COMPANY ROYALTY</t>
  </si>
  <si>
    <t>TOTAL COMPANY GUARANTEE</t>
  </si>
  <si>
    <t>ADA EXPENSE</t>
  </si>
  <si>
    <t>TELEPHONES/INTERNET</t>
  </si>
  <si>
    <t xml:space="preserve">NET COMPANY ROYALTY </t>
  </si>
  <si>
    <t>NEXT MONEY TO</t>
  </si>
  <si>
    <t>TOTAL SHARED</t>
  </si>
  <si>
    <t>MONIES TO BE DIVIDED</t>
  </si>
  <si>
    <t>Total Discounts:</t>
  </si>
  <si>
    <t>TTL MISC DISCOUNTS / OFFERS</t>
  </si>
  <si>
    <t>PRESENTER EXPENSES</t>
  </si>
  <si>
    <t>Sat Mat/Sun Mat</t>
    <phoneticPr fontId="0" type="noConversion"/>
  </si>
  <si>
    <t xml:space="preserve">Special Groups Level  </t>
    <phoneticPr fontId="0" type="noConversion"/>
  </si>
  <si>
    <t>Early Bird Groups</t>
    <phoneticPr fontId="0" type="noConversion"/>
  </si>
  <si>
    <t>CHECK NUMBERS</t>
  </si>
  <si>
    <t>TOTAL COMPANY PERCENTAGE</t>
  </si>
  <si>
    <t xml:space="preserve">TOTAL PRESENTER SHARE </t>
  </si>
  <si>
    <t>FULL TICKET PRICES BY SCALE:</t>
  </si>
  <si>
    <t>Scale 1:</t>
  </si>
  <si>
    <t>Scale 2:</t>
  </si>
  <si>
    <t>ORCHESTRA SHELL REMOVAL</t>
  </si>
  <si>
    <t>AVG TICKET PRICE</t>
  </si>
  <si>
    <t>TTL SUB DISCOUNT</t>
  </si>
  <si>
    <t>TTL GROUP DISCOUNT</t>
  </si>
  <si>
    <t>TOTAL DISCOUNTS</t>
  </si>
  <si>
    <t>Scale 3:</t>
  </si>
  <si>
    <t>Scale 4:</t>
  </si>
  <si>
    <t>Scale 5:</t>
  </si>
  <si>
    <t>Scale 6:</t>
  </si>
  <si>
    <t>Scale 7:</t>
  </si>
  <si>
    <t>Scale 8:</t>
  </si>
  <si>
    <t>Scale 9:</t>
  </si>
  <si>
    <t>Scale 10:</t>
  </si>
  <si>
    <t>NET COMPANY PERCENTAGE</t>
  </si>
  <si>
    <t>BOX OFFICE</t>
  </si>
  <si>
    <t>CATERING</t>
  </si>
  <si>
    <t>EQUIPMENT RENTAL</t>
  </si>
  <si>
    <t>GROUP SALES EXPENSES</t>
  </si>
  <si>
    <t>Internet Sales Commission</t>
  </si>
  <si>
    <t>ATTRACTION:</t>
  </si>
  <si>
    <t>Internet Sales Commisssion</t>
  </si>
  <si>
    <t>Phone Sales Commission</t>
  </si>
  <si>
    <t># of Comp Tickets</t>
  </si>
  <si>
    <t>DROP COUNT</t>
  </si>
  <si>
    <t>PROGRAM</t>
  </si>
  <si>
    <t>RENT</t>
  </si>
  <si>
    <t>TOTAL ENGAGEMENT EXPENSES</t>
  </si>
  <si>
    <t>MONEY REMAINING</t>
  </si>
  <si>
    <t>TO COMPANY</t>
  </si>
  <si>
    <t>TO PRESENTER</t>
  </si>
  <si>
    <t>TAX WITHHELD AT SOURCE on STAR %</t>
  </si>
  <si>
    <t>TOTAL STAR PERFORMER PERCENTAGE</t>
  </si>
  <si>
    <t>TAX WITHHELD AT SOURCE on MIDDLE MONIES</t>
  </si>
  <si>
    <t>MONEY REMAINING/MIDDLE MONIES</t>
  </si>
  <si>
    <t>SOUND/LIGHTS</t>
  </si>
  <si>
    <t>LOCAL FIXED</t>
  </si>
  <si>
    <t>SUB-TOTAL of LOCAL EXPENSES</t>
  </si>
  <si>
    <t>[NET] Internet Sales</t>
  </si>
  <si>
    <t>[NET] Phone Sales</t>
  </si>
  <si>
    <t>TOTALS</t>
  </si>
  <si>
    <t>PAID ATTENDANCE</t>
  </si>
  <si>
    <t>COMPS</t>
  </si>
  <si>
    <t>TOTAL ATTENDANCE</t>
  </si>
  <si>
    <t>CAPACITY</t>
  </si>
  <si>
    <t>EXCHANGE RATE</t>
  </si>
  <si>
    <t>US DOLLARS</t>
  </si>
  <si>
    <t>EQUIVALENT</t>
  </si>
  <si>
    <t>deductions % of GBOR</t>
  </si>
  <si>
    <t>Presenter Percentage:</t>
  </si>
  <si>
    <t>Tax 2 and/or Percent deduction</t>
  </si>
  <si>
    <t>Tax 1 deduction</t>
  </si>
  <si>
    <t xml:space="preserve">&lt;less&gt;Restoration Charge </t>
  </si>
  <si>
    <t>&lt;less&gt;Sale Tax</t>
  </si>
  <si>
    <t>[NET] Subscription Sales</t>
  </si>
  <si>
    <t>[NET] Credit Card Sales</t>
  </si>
  <si>
    <t># of Subscription Tickets</t>
  </si>
  <si>
    <t># of Phone Tickets</t>
  </si>
  <si>
    <t>NAGBOR(test)</t>
  </si>
  <si>
    <t>Net Loss or error</t>
  </si>
  <si>
    <t>AGREED &amp; ACCEPTED BY:</t>
  </si>
  <si>
    <t># OF TICKETS MISC 4</t>
  </si>
  <si>
    <t>STAGEHANDS (Running)</t>
  </si>
  <si>
    <t>WARDROBE and HAIR (Running)</t>
  </si>
  <si>
    <t>PRESENTER'S FACILITY FEE</t>
  </si>
  <si>
    <t># OF SUB TICKETS 1</t>
  </si>
  <si>
    <t># OF SUB TICKETS 2</t>
  </si>
  <si>
    <t># OF SUB TICKETS 3</t>
  </si>
  <si>
    <t>HOUSE STAFF</t>
  </si>
  <si>
    <t>LEAGUE FEES</t>
  </si>
  <si>
    <t>LICENSES/PERMITS</t>
  </si>
  <si>
    <t>LIMOS/AUTO</t>
  </si>
  <si>
    <t>NET ADJUSTED GROSS BOX OFFICE RECEIPTS (NAGBOR):</t>
  </si>
  <si>
    <t>COMPANY PAYMENTS</t>
  </si>
  <si>
    <t>&lt;LESS OTHER DEDUCTION TO CO.&gt;</t>
  </si>
  <si>
    <t>SUBTOTAL COMPANY COMPENSATION:</t>
  </si>
  <si>
    <t>COMPLIMENTARY TICKETS</t>
  </si>
  <si>
    <t>TTL COMP TICKET COST</t>
  </si>
  <si>
    <t>Total Comps</t>
  </si>
  <si>
    <t xml:space="preserve">Gross plus Disc/Comps: </t>
  </si>
  <si>
    <t>STAGEHANDS (Load-out)</t>
  </si>
  <si>
    <t>STAGEHANDS (Load-in)</t>
  </si>
  <si>
    <t>WARDROBE and HAIR (Load-in)</t>
  </si>
  <si>
    <t>WARDROBE and HAIR (Load-out)</t>
  </si>
  <si>
    <t>DRY ICE/CO2</t>
  </si>
  <si>
    <t>POLICE/SECURITY/FIRE MARSHALL</t>
  </si>
  <si>
    <t>PRESENTER VARIABLE EXPENSE</t>
  </si>
  <si>
    <t>Budgeted</t>
  </si>
  <si>
    <t>Actual</t>
  </si>
  <si>
    <t>ADVERTISING (at gross)</t>
  </si>
  <si>
    <t>MUSICIANS</t>
  </si>
  <si>
    <t>TICKET PRINTING</t>
  </si>
  <si>
    <t>SUBTOTAL of VARIABLE EXPENSE</t>
  </si>
  <si>
    <t>Off the Tops:</t>
  </si>
  <si>
    <t>NET:</t>
  </si>
  <si>
    <t>Royalty:</t>
  </si>
  <si>
    <t>Guarantee:</t>
  </si>
  <si>
    <t>Local Expenses:</t>
  </si>
  <si>
    <t>Profit/Loss:</t>
  </si>
  <si>
    <t>Show Percentage:</t>
  </si>
  <si>
    <t>PERCENTAGE TO CAPACITY</t>
  </si>
  <si>
    <t>GROSS SALES:</t>
  </si>
  <si>
    <t>INPUT FROM BO</t>
  </si>
  <si>
    <t>NAGBOR:</t>
  </si>
  <si>
    <t>NAGBOR TO DATE:</t>
  </si>
  <si>
    <t xml:space="preserve"> </t>
  </si>
  <si>
    <t>GROSS RECEIPTS:</t>
  </si>
  <si>
    <t>GROSS BOX OFFICE RECEIPTS:</t>
  </si>
  <si>
    <t>ALLOWABLE BOX OFFICE DEDUCTIONS:</t>
  </si>
  <si>
    <t>TOTAL ALLOWABLE B.O. EXPENSES:</t>
  </si>
  <si>
    <t>[NET] Single Tix</t>
  </si>
  <si>
    <t>[NET] Remote/Outlet Sales</t>
  </si>
  <si>
    <t xml:space="preserve">USA/CANADIAN </t>
  </si>
  <si>
    <t>% of Gross w/Disc/Comps:</t>
  </si>
  <si>
    <t>(documentation required)</t>
  </si>
  <si>
    <t>Gross Box Office % of Potential</t>
  </si>
  <si>
    <t>INSURANCE (ON DROP COUNT)</t>
  </si>
  <si>
    <t>Demand Pricing $</t>
  </si>
  <si>
    <t>sett3.0</t>
  </si>
  <si>
    <t>Add'l Income Derived from Demand $:</t>
  </si>
  <si>
    <t>enter settlement notes here</t>
  </si>
  <si>
    <t>LESS DIRECT COMPANY CHARGES</t>
  </si>
  <si>
    <t>ADJUSTED COMPANY SHARE</t>
  </si>
  <si>
    <t>ADJUESTED PRESENTER SHARE</t>
  </si>
  <si>
    <t>No</t>
  </si>
  <si>
    <t>Total</t>
  </si>
  <si>
    <t>show_name</t>
  </si>
  <si>
    <t>city_name</t>
  </si>
  <si>
    <t>ps_seats_single</t>
  </si>
  <si>
    <t>deal_tax_ptg (%)</t>
  </si>
  <si>
    <t>deal_sub_sales_comm (%)</t>
  </si>
  <si>
    <t>deal_ph_sales_comm (%)</t>
  </si>
  <si>
    <t>deal_web_sales_comm (%)</t>
  </si>
  <si>
    <t>deal_cc_sales_comm (%)</t>
  </si>
  <si>
    <t>deal_remote_sales_comm (%)</t>
  </si>
  <si>
    <t>deal_single_tix_comm (%)</t>
  </si>
  <si>
    <t>deal_grp_sales_comm1 (%)</t>
  </si>
  <si>
    <t>deal_grp_sales_comm2 (%)</t>
  </si>
  <si>
    <t>bo_sub_gross_rcpt</t>
  </si>
  <si>
    <t>bo_ph_gross_rcpt</t>
  </si>
  <si>
    <t>bo_web_gross_rcpt</t>
  </si>
  <si>
    <t>schedule_date</t>
  </si>
  <si>
    <t>schedule_type</t>
  </si>
  <si>
    <t>schedule_day</t>
  </si>
  <si>
    <t>schedule_st_time</t>
  </si>
  <si>
    <t>bo_drop_count</t>
  </si>
  <si>
    <t>bo_paid_attendance</t>
  </si>
  <si>
    <t>bo_comps</t>
  </si>
  <si>
    <t>bo_gross_sales</t>
  </si>
  <si>
    <t>bo_cc_gross_rcpt</t>
  </si>
  <si>
    <t>bo_outlet_gross_rcpt</t>
  </si>
  <si>
    <t>bo_single_tix_gross_rcpt</t>
  </si>
  <si>
    <t>bo_small_group_gross_rcpt</t>
  </si>
  <si>
    <t>bo_large_group_gross_rcpt</t>
  </si>
  <si>
    <t>bo_other_per_gross_rcpt</t>
  </si>
  <si>
    <t>bo_other_usd_gross_rcpt</t>
  </si>
  <si>
    <t>bo_sub_t_sold</t>
  </si>
  <si>
    <t>bo_ph_t_sold</t>
  </si>
  <si>
    <t>bo_web_t_sold</t>
  </si>
  <si>
    <t>bo_cc_t_sold</t>
  </si>
  <si>
    <t>bo_outlet_t_sold</t>
  </si>
  <si>
    <t>bo_single_tix_t_sold</t>
  </si>
  <si>
    <t>bo_small_group_t_sold</t>
  </si>
  <si>
    <t>bo_large_group_t_sold</t>
  </si>
  <si>
    <t>Performances (maximum 10)</t>
  </si>
  <si>
    <t>dsct_sub1_per</t>
  </si>
  <si>
    <t>dsct_sub1_tickets</t>
  </si>
  <si>
    <t>dsct_sub2_per</t>
  </si>
  <si>
    <t>dsct_sub2_tickets</t>
  </si>
  <si>
    <t>dsct_sub3_per</t>
  </si>
  <si>
    <t>dsct_sub3_tickets</t>
  </si>
  <si>
    <t>dsct_sub4_per</t>
  </si>
  <si>
    <t>dsct_sub4_tickets</t>
  </si>
  <si>
    <t>dsct_sub5_per</t>
  </si>
  <si>
    <t>dsct_sub5_tickets</t>
  </si>
  <si>
    <t>dsct_sub6_per</t>
  </si>
  <si>
    <t>dsct_sub6_tickets</t>
  </si>
  <si>
    <t>dsct_sml_grp_per</t>
  </si>
  <si>
    <t>dsct_sml_grp_tickets</t>
  </si>
  <si>
    <t>dsct_lrg_grp_per</t>
  </si>
  <si>
    <t>dsct_lrg_grp_tickets</t>
  </si>
  <si>
    <t>dsct_misc1_per</t>
  </si>
  <si>
    <t>dsct_misc1_tickets</t>
  </si>
  <si>
    <t>dsct_misc2_per</t>
  </si>
  <si>
    <t>dsct_misc2_tickets</t>
  </si>
  <si>
    <t>dsct_misc3_per</t>
  </si>
  <si>
    <t>dsct_misc3_tickets</t>
  </si>
  <si>
    <t>dsct_misc4_per</t>
  </si>
  <si>
    <t>dsct_misc4_tickets</t>
  </si>
  <si>
    <t>dsct_demand_price</t>
  </si>
  <si>
    <t>venue_name</t>
  </si>
  <si>
    <t xml:space="preserve"> (%/$)</t>
  </si>
  <si>
    <t>cvr_chgs_amt</t>
  </si>
  <si>
    <t>exchange rate</t>
  </si>
  <si>
    <t>ps_t_price_single</t>
  </si>
  <si>
    <t>sum per ps_scale</t>
  </si>
  <si>
    <t>show_corp_name</t>
  </si>
  <si>
    <t>engt_presenter_id</t>
  </si>
  <si>
    <t>name from presenter</t>
  </si>
  <si>
    <t>engt_personal_id</t>
  </si>
  <si>
    <t>sum for engagement</t>
  </si>
  <si>
    <t>deal_royalty_income</t>
  </si>
  <si>
    <t>deal_guarantee_income</t>
  </si>
  <si>
    <t>(%/$)</t>
  </si>
  <si>
    <t>deal_cmpny_mid_monies_ptg</t>
  </si>
  <si>
    <t>deal_presenter_mid_monies_ptg</t>
  </si>
  <si>
    <t>deal_producer_share_split_ptg</t>
  </si>
  <si>
    <t>deal_presenter_share_split_Ptg</t>
  </si>
  <si>
    <t>deal_star_royalty_ptg</t>
  </si>
  <si>
    <t>OTHER 1</t>
  </si>
  <si>
    <t>OTHER 2</t>
  </si>
  <si>
    <t>OTHER 3</t>
  </si>
  <si>
    <t>OTHER 4</t>
  </si>
  <si>
    <t>OTHER 5</t>
  </si>
  <si>
    <t>exp_d_ad_gross_bgt</t>
  </si>
  <si>
    <t>exp_d_ad_gross_act</t>
  </si>
  <si>
    <t>exp_d_stghand_loadin_bgt</t>
  </si>
  <si>
    <t>exp_d_stghand_loadin_act</t>
  </si>
  <si>
    <t>exp_d_stghand_loadout_bgt</t>
  </si>
  <si>
    <t>exp_d_stghand_loadout_act</t>
  </si>
  <si>
    <t>exp_d_stghand_running_bgt</t>
  </si>
  <si>
    <t>exp_d_stghand_running_act</t>
  </si>
  <si>
    <t>exp_d_wardrobe_loadin_bgt</t>
  </si>
  <si>
    <t>exp_d_wardrobe_loadin_act</t>
  </si>
  <si>
    <t>exp_d_wardrobe_loadout_bgt</t>
  </si>
  <si>
    <t>exp_d_wardrobe_loadout_act</t>
  </si>
  <si>
    <t>exp_d_wardrobe_running_bgt</t>
  </si>
  <si>
    <t>exp_d_wardrobe_running_act</t>
  </si>
  <si>
    <t>exp_d_labor_catering_bgt</t>
  </si>
  <si>
    <t>exp_d_labor_catering_act</t>
  </si>
  <si>
    <t>exp_d_musician_bgt</t>
  </si>
  <si>
    <t>exp_d_musician_act</t>
  </si>
  <si>
    <t>exp_d_insurance_per_unit</t>
  </si>
  <si>
    <t>exp_d_insurance_bgt</t>
  </si>
  <si>
    <t>exp_d_insurance_act</t>
  </si>
  <si>
    <t>exp_d_ticket_print_per_unit</t>
  </si>
  <si>
    <t>exp_d_ticket_print_bgt</t>
  </si>
  <si>
    <t>exp_d_ticket_print_act</t>
  </si>
  <si>
    <t>exp_d_other_1_desc</t>
  </si>
  <si>
    <t>exp_d_other_1_bgt</t>
  </si>
  <si>
    <t>exp_d_other_1_act</t>
  </si>
  <si>
    <t>exp_d_other_2_desc</t>
  </si>
  <si>
    <t>exp_d_other_2_bgt</t>
  </si>
  <si>
    <t>exp_d_other_2_act</t>
  </si>
  <si>
    <t>exp_l_ada_expense_bgt</t>
  </si>
  <si>
    <t>exp_l_ada_expense_act</t>
  </si>
  <si>
    <t>exp_l_bo_bgt</t>
  </si>
  <si>
    <t>exp_l_bo_act</t>
  </si>
  <si>
    <t>exp_l_catering_bgt</t>
  </si>
  <si>
    <t>exp_l_catering_act</t>
  </si>
  <si>
    <t>exp_l_equip_rental_bgt</t>
  </si>
  <si>
    <t>exp_l_equip_rental_act</t>
  </si>
  <si>
    <t>exp_l_grp_sales_bgt</t>
  </si>
  <si>
    <t>exp_l_grp_sales_act</t>
  </si>
  <si>
    <t>exp_l_house_staff_bgt</t>
  </si>
  <si>
    <t>exp_l_house_staff_act</t>
  </si>
  <si>
    <t>exp_l_league_fee_bgt</t>
  </si>
  <si>
    <t>exp_l_league_fee_act</t>
  </si>
  <si>
    <t>exp_l_license_bgt</t>
  </si>
  <si>
    <t>exp_l_license_act</t>
  </si>
  <si>
    <t>exp_l_limo_bgt</t>
  </si>
  <si>
    <t>exp_l_limo_act</t>
  </si>
  <si>
    <t>exp_l_orchestra_sh_remove_bgt</t>
  </si>
  <si>
    <t>exp_l_orchestra_sh_remove_act</t>
  </si>
  <si>
    <t>exp_l_presenter_profit_bgt</t>
  </si>
  <si>
    <t>exp_l_presenter_profit_act</t>
  </si>
  <si>
    <t>exp_l_police_bgt</t>
  </si>
  <si>
    <t>exp_l_police_act</t>
  </si>
  <si>
    <t>exp_l_program_bgt</t>
  </si>
  <si>
    <t>exp_l_program_act</t>
  </si>
  <si>
    <t>exp_l_rent_btg</t>
  </si>
  <si>
    <t>exp_l_rent_act</t>
  </si>
  <si>
    <t>exp_l_sound_bgt</t>
  </si>
  <si>
    <t>exp_l_sound_act</t>
  </si>
  <si>
    <t>exp_l_ticket_print_bgt</t>
  </si>
  <si>
    <t>exp_l_ticket_print_act</t>
  </si>
  <si>
    <t>exp_l_phone_bgt</t>
  </si>
  <si>
    <t>exp_l_phone_act</t>
  </si>
  <si>
    <t>exp_l_dryice_bgt</t>
  </si>
  <si>
    <t>exp_l_dryice_act</t>
  </si>
  <si>
    <t>exp_l_other1_desc</t>
  </si>
  <si>
    <t>exp_l_other1_bgt</t>
  </si>
  <si>
    <t>exp_l_other1_act</t>
  </si>
  <si>
    <t>exp_l_other2_desc</t>
  </si>
  <si>
    <t>exp_l_other2_bgt</t>
  </si>
  <si>
    <t>exp_l_other2_act</t>
  </si>
  <si>
    <t>exp_l_other3_desc</t>
  </si>
  <si>
    <t>exp_l_other3_bgt</t>
  </si>
  <si>
    <t>exp_l_other3_act</t>
  </si>
  <si>
    <t>exp_l_other4_desc</t>
  </si>
  <si>
    <t>exp_l_other4_bgt</t>
  </si>
  <si>
    <t>exp_l_other4_act</t>
  </si>
  <si>
    <t>exp_l_other5_desc</t>
  </si>
  <si>
    <t>exp_l_other5_bgt</t>
  </si>
  <si>
    <t>exp_l_other5_act</t>
  </si>
  <si>
    <t>exp_l_local_fixed_bgt</t>
  </si>
  <si>
    <t>exp_l_local_fixed_act</t>
  </si>
  <si>
    <t>Variance:</t>
  </si>
  <si>
    <t>name from personal with title Manager for the show</t>
  </si>
  <si>
    <t>name from personal which is the contact in engagement</t>
  </si>
  <si>
    <t>C</t>
  </si>
  <si>
    <t>D</t>
  </si>
  <si>
    <t>E</t>
  </si>
  <si>
    <t>F</t>
  </si>
  <si>
    <t>G</t>
  </si>
  <si>
    <t>H</t>
  </si>
  <si>
    <t>I</t>
  </si>
  <si>
    <t>J</t>
  </si>
  <si>
    <t>Price scale</t>
  </si>
  <si>
    <t xml:space="preserve">Total Gross/Week </t>
  </si>
  <si>
    <t>deal_incm_wthd_tax_act_unit</t>
  </si>
  <si>
    <t>deal_incm_wthd_tax_act_amt</t>
  </si>
  <si>
    <t>deal_misc_othr_amt_2</t>
  </si>
  <si>
    <t>deal_misc_othr_amt_1</t>
  </si>
  <si>
    <t>deal_misc_othr_unit_1</t>
  </si>
  <si>
    <t>deal_misc_othr_unit_2</t>
  </si>
  <si>
    <t>from sales section</t>
  </si>
  <si>
    <t>BO Total of FF</t>
  </si>
  <si>
    <t xml:space="preserve">show manager </t>
  </si>
  <si>
    <t>[NET] Other 1</t>
  </si>
  <si>
    <t>[NET] Other 2</t>
  </si>
  <si>
    <t># of Group Tickets Sales 1</t>
  </si>
  <si>
    <t># of Group Tickets Sales 2</t>
  </si>
  <si>
    <t>GROUP DISCOUNT SALES 1</t>
  </si>
  <si>
    <t># OF TICKETS SALES 1</t>
  </si>
  <si>
    <t>GROUP DISCOUNT SALES 2</t>
  </si>
  <si>
    <t># OF TICKETS SALES 2</t>
  </si>
  <si>
    <t>Tax 2 amount</t>
  </si>
  <si>
    <t>BO commissions</t>
  </si>
  <si>
    <t>deal_tax2_ptg (%)</t>
  </si>
  <si>
    <t>BO Total of Tax1</t>
  </si>
  <si>
    <t xml:space="preserve">Facility Fee </t>
  </si>
  <si>
    <t>from sales section by deducting other 1&amp;2</t>
  </si>
  <si>
    <t>deal_facility_fee_unit</t>
  </si>
  <si>
    <t>deal_facility_fee_amt</t>
  </si>
  <si>
    <t>Other 1 Tax1</t>
  </si>
  <si>
    <t>Other 2 Tax 1</t>
  </si>
  <si>
    <t>Calculated value</t>
  </si>
  <si>
    <t>A Seats</t>
  </si>
  <si>
    <t>B Seats</t>
  </si>
  <si>
    <t>C Seats</t>
  </si>
  <si>
    <t>D Seats</t>
  </si>
  <si>
    <t>E Seats</t>
  </si>
  <si>
    <t>F Seats</t>
  </si>
  <si>
    <t>G Seats</t>
  </si>
  <si>
    <t>H Seats</t>
  </si>
  <si>
    <t>I Seats</t>
  </si>
  <si>
    <t>J Seats</t>
  </si>
  <si>
    <t># OF SUB TICKETS 7</t>
  </si>
  <si>
    <t># OF SUB TICKETS 8</t>
  </si>
  <si>
    <t># OF SUB TICKETS 9</t>
  </si>
  <si>
    <t># OF SUB TICKETS 10</t>
  </si>
  <si>
    <t>SUBSCRIPTION DISCOUNT 1</t>
  </si>
  <si>
    <t>SUBSCRIPTION DISCOUNT 2</t>
  </si>
  <si>
    <t>SUBSCRIPTION DISCOUNT 3</t>
  </si>
  <si>
    <t>SUBSCRIPTION DISCOUNT 4</t>
  </si>
  <si>
    <t>SUBSCRIPTION DISCOUNT 5</t>
  </si>
  <si>
    <t>SUBSCRIPTION DISCOUNT 6</t>
  </si>
  <si>
    <t>SUBSCRIPTION DISCOUNT 7</t>
  </si>
  <si>
    <t>SUBSCRIPTION DISCOUNT 8</t>
  </si>
  <si>
    <t>SUBSCRIPTION DISCOUNT 9</t>
  </si>
  <si>
    <t>SUBSCRIPTION DISCOUNT 10</t>
  </si>
  <si>
    <t>GROUP DISCOUNT SALES 3</t>
  </si>
  <si>
    <t># OF TICKETS SALES 3</t>
  </si>
  <si>
    <t>GROUP DISCOUNT SALES 4</t>
  </si>
  <si>
    <t># OF TICKETS SALES 4</t>
  </si>
  <si>
    <t>GROUP DISCOUNT SALES 5</t>
  </si>
  <si>
    <t># OF TICKETS SALES 5</t>
  </si>
  <si>
    <t>GROUP DISCOUNT SALES 6</t>
  </si>
  <si>
    <t># OF TICKETS SALES 6</t>
  </si>
  <si>
    <t>GROUP DISCOUNT SALES 7</t>
  </si>
  <si>
    <t># OF TICKETS SALES 7</t>
  </si>
  <si>
    <t>GROUP DISCOUNT SALES 8</t>
  </si>
  <si>
    <t># OF TICKETS SALES 8</t>
  </si>
  <si>
    <t>GROUP DISCOUNT SALES 9</t>
  </si>
  <si>
    <t># OF TICKETS SALES 9</t>
  </si>
  <si>
    <t>GROUP DISCOUNT SALES 10</t>
  </si>
  <si>
    <t># OF TICKETS SALES 10</t>
  </si>
  <si>
    <t># OF TICKETS MISC 5</t>
  </si>
  <si>
    <t># OF TICKETS MISC 6</t>
  </si>
  <si>
    <t># OF TICKETS MISC 7</t>
  </si>
  <si>
    <t># OF TICKETS MISC 8</t>
  </si>
  <si>
    <t># OF TICKETS MISC 9</t>
  </si>
  <si>
    <t># OF TICKETS MISC 10</t>
  </si>
  <si>
    <t>dsct_sub7_per</t>
  </si>
  <si>
    <t>dsct_sub7_tickets</t>
  </si>
  <si>
    <t>dsct_sub8_per</t>
  </si>
  <si>
    <t>dsct_sub8_tickets</t>
  </si>
  <si>
    <t>dsct_sub9_per</t>
  </si>
  <si>
    <t>dsct_sub9_tickets</t>
  </si>
  <si>
    <t>dsct_sub10_per</t>
  </si>
  <si>
    <t>dsct_sub10_tickets</t>
  </si>
  <si>
    <t>dsct_grp3_per</t>
  </si>
  <si>
    <t>dsct_grp3_tickets</t>
  </si>
  <si>
    <t>dsct_grp4_per</t>
  </si>
  <si>
    <t>dsct_grp4_tickets</t>
  </si>
  <si>
    <t>dsct_grp5_per</t>
  </si>
  <si>
    <t>dsct_grp5_tickets</t>
  </si>
  <si>
    <t>dsct_grp6_per</t>
  </si>
  <si>
    <t>dsct_grp6_tickets</t>
  </si>
  <si>
    <t>dsct_grp7_per</t>
  </si>
  <si>
    <t>dsct_grp7_tickets</t>
  </si>
  <si>
    <t>dsct_grp8_per</t>
  </si>
  <si>
    <t>dsct_grp8_tickets</t>
  </si>
  <si>
    <t>dsct_grp9_per</t>
  </si>
  <si>
    <t>dsct_grp9_tickets</t>
  </si>
  <si>
    <t>dsct_grp10_per</t>
  </si>
  <si>
    <t>dsct_grp10_tickets</t>
  </si>
  <si>
    <t>dsct_misc5_per</t>
  </si>
  <si>
    <t>dsct_misc5_tickets</t>
  </si>
  <si>
    <t>dsct_misc6_per</t>
  </si>
  <si>
    <t>dsct_misc6_tickets</t>
  </si>
  <si>
    <t>dsct_misc7_per</t>
  </si>
  <si>
    <t>dsct_misc7_tickets</t>
  </si>
  <si>
    <t>dsct_misc8_per</t>
  </si>
  <si>
    <t>dsct_misc8_tickets</t>
  </si>
  <si>
    <t>dsct_misc9_per</t>
  </si>
  <si>
    <t>dsct_misc9_tickets</t>
  </si>
  <si>
    <t>dsct_misc10_per</t>
  </si>
  <si>
    <t>dsct_misc10_tickets</t>
  </si>
  <si>
    <t>Facility Fee Commission</t>
  </si>
  <si>
    <t>deal_tax_ff_bo_comm(%)</t>
  </si>
  <si>
    <t>Engagement Type:</t>
  </si>
  <si>
    <t>Settlement</t>
  </si>
  <si>
    <t>file name:</t>
  </si>
  <si>
    <t>CITY</t>
  </si>
  <si>
    <t>VENUE</t>
  </si>
  <si>
    <t>PRESENTER</t>
  </si>
  <si>
    <t>Week:</t>
  </si>
  <si>
    <t>Show Schedule</t>
  </si>
  <si>
    <t>Monday</t>
  </si>
  <si>
    <t>Tuesday</t>
  </si>
  <si>
    <t>Wednesday</t>
  </si>
  <si>
    <t>Thursday</t>
  </si>
  <si>
    <t>Friday</t>
  </si>
  <si>
    <t>Saturday</t>
  </si>
  <si>
    <t>Sunday</t>
  </si>
  <si>
    <t>Contact Person:</t>
  </si>
  <si>
    <t>Presenter</t>
  </si>
  <si>
    <t>Venue(if different)</t>
  </si>
  <si>
    <t>Box Office</t>
  </si>
  <si>
    <t>Marketing</t>
  </si>
  <si>
    <t>Operations Manager</t>
  </si>
  <si>
    <t>General Manager</t>
  </si>
  <si>
    <t>House Tech Director</t>
  </si>
  <si>
    <t>Settlement Documents List</t>
  </si>
  <si>
    <t>Notes:</t>
  </si>
  <si>
    <t>Settlement cover page (1 copy)</t>
  </si>
  <si>
    <t>Guarantee check (2 copies)</t>
  </si>
  <si>
    <t>Royalty check (2 copies)</t>
  </si>
  <si>
    <t>Overage check (2 copies)</t>
  </si>
  <si>
    <t>Settlement summary (2 originals)</t>
  </si>
  <si>
    <t>Venue settlement (if submitted)</t>
  </si>
  <si>
    <t xml:space="preserve">Box office sheet </t>
  </si>
  <si>
    <t>Box office statements (in reverse order)</t>
  </si>
  <si>
    <t>Labor bills (signed off by TD)</t>
  </si>
  <si>
    <t>Musicians bills (if applicable)</t>
  </si>
  <si>
    <t>Local Documented expense invoices</t>
  </si>
  <si>
    <t>Advertising (summary, invoices, tear sheets, etc.)</t>
  </si>
  <si>
    <t>Contract Copy</t>
  </si>
  <si>
    <r>
      <t xml:space="preserve">Direct Company Charges </t>
    </r>
    <r>
      <rPr>
        <sz val="10"/>
        <rFont val="N Helvetica Narrow"/>
      </rPr>
      <t>(checks written)</t>
    </r>
  </si>
  <si>
    <t>TOTAL:</t>
  </si>
  <si>
    <t>Outstanding Company Receivables</t>
  </si>
  <si>
    <t>Week 1</t>
  </si>
  <si>
    <t>Week 2</t>
  </si>
  <si>
    <t>Week 3</t>
  </si>
  <si>
    <t>Week 4</t>
  </si>
  <si>
    <t>Week 5</t>
  </si>
  <si>
    <t>Week 6</t>
  </si>
  <si>
    <t>Opening Date</t>
  </si>
  <si>
    <t>Closing Date</t>
  </si>
  <si>
    <t># of Perfs:</t>
  </si>
  <si>
    <t>Venue Address (mail)</t>
  </si>
  <si>
    <t>Venue Street Address (delivery, directions, etc)</t>
  </si>
  <si>
    <t>Phone</t>
  </si>
  <si>
    <t>E-Mail</t>
  </si>
  <si>
    <t>Received</t>
  </si>
  <si>
    <t>Charge</t>
  </si>
  <si>
    <t>Check #</t>
  </si>
  <si>
    <t>Distribution List: Email</t>
  </si>
  <si>
    <t>ENGAGEMENT TYPE:</t>
  </si>
  <si>
    <t>deal_tax_ptg_include+deal_tax_ptg_ff</t>
  </si>
  <si>
    <t>deal_facility_fee_inlcude</t>
  </si>
  <si>
    <t>Other BO 1</t>
  </si>
  <si>
    <t>Other BO 2</t>
  </si>
  <si>
    <t>sales less facility column up to EH</t>
  </si>
  <si>
    <t>bo_other_per_t_sold</t>
  </si>
  <si>
    <t>bo_other_usd_t_sold</t>
  </si>
  <si>
    <t>bo_override</t>
  </si>
  <si>
    <t xml:space="preserve">      bo_sub_ff</t>
  </si>
  <si>
    <t xml:space="preserve">      bo_sub_tax1</t>
  </si>
  <si>
    <t xml:space="preserve">      bo_sub_net_comm</t>
  </si>
  <si>
    <t xml:space="preserve">      bo_sub_tax_ff_comm</t>
  </si>
  <si>
    <t xml:space="preserve">      bo_ph_ff</t>
  </si>
  <si>
    <t xml:space="preserve">      bo_ph_tax1</t>
  </si>
  <si>
    <t xml:space="preserve">      bo_ph_net_comm</t>
  </si>
  <si>
    <t xml:space="preserve">      bo_ph_tax_ff_comm</t>
  </si>
  <si>
    <t xml:space="preserve">      bo_web_ff</t>
  </si>
  <si>
    <t xml:space="preserve">      bo_web_tax1</t>
  </si>
  <si>
    <t xml:space="preserve">      bo_web_net_comm</t>
  </si>
  <si>
    <t xml:space="preserve">      bo_web_tax_ff_comm</t>
  </si>
  <si>
    <t xml:space="preserve">      bo_cc_ff</t>
  </si>
  <si>
    <t xml:space="preserve">      bo_cc_tax1</t>
  </si>
  <si>
    <t xml:space="preserve">      bo_cc_net_comm</t>
  </si>
  <si>
    <t xml:space="preserve">      bo_cc_tax_ff_comm</t>
  </si>
  <si>
    <t xml:space="preserve">      bo_outlet_ff</t>
  </si>
  <si>
    <t xml:space="preserve">      bo_outlet_tax1</t>
  </si>
  <si>
    <t xml:space="preserve">      bo_outlet_net_comm</t>
  </si>
  <si>
    <t xml:space="preserve">      bo_outlet_tax_ff_comm</t>
  </si>
  <si>
    <t xml:space="preserve">      bo_single_tix_ff</t>
  </si>
  <si>
    <t xml:space="preserve">      bo_single_tix_tax1</t>
  </si>
  <si>
    <t xml:space="preserve">      bo_single_tix_net_comm</t>
  </si>
  <si>
    <t xml:space="preserve">      bo_single_tax_ff_comm</t>
  </si>
  <si>
    <t xml:space="preserve">      bo_small_group_ff</t>
  </si>
  <si>
    <t xml:space="preserve">      bo_small_group_tax1</t>
  </si>
  <si>
    <t xml:space="preserve">      bo_small_group_net_comm</t>
  </si>
  <si>
    <t xml:space="preserve">      bo_small_tax_ff_comm</t>
  </si>
  <si>
    <t xml:space="preserve">      bo_large_group_ff</t>
  </si>
  <si>
    <t xml:space="preserve">      bo_large_group_tax1</t>
  </si>
  <si>
    <t xml:space="preserve">      bo_large_group_net_comm</t>
  </si>
  <si>
    <t xml:space="preserve">      bo_large_tax_ff_comm</t>
  </si>
  <si>
    <t xml:space="preserve">      bo_large_tax_ff_tot_comm</t>
  </si>
  <si>
    <t xml:space="preserve">      bo_other_per_ff</t>
  </si>
  <si>
    <t xml:space="preserve">      bo_other_per_tax1</t>
  </si>
  <si>
    <t xml:space="preserve">      bo_other_per_net_comm</t>
  </si>
  <si>
    <t xml:space="preserve">      bo_other_usd_ff</t>
  </si>
  <si>
    <t xml:space="preserve">      bo_other_usd_tax1</t>
  </si>
  <si>
    <t xml:space="preserve">      bo_other_usd_net_comm</t>
  </si>
  <si>
    <t xml:space="preserve">      bo_other3_t_sold</t>
  </si>
  <si>
    <t xml:space="preserve">      bo_other3_gross_rcpt</t>
  </si>
  <si>
    <t xml:space="preserve">      bo_other3_ff</t>
  </si>
  <si>
    <t xml:space="preserve">      bo_other3_tax1</t>
  </si>
  <si>
    <t xml:space="preserve">      bo_other3_net_comm</t>
  </si>
  <si>
    <t xml:space="preserve">      bo_other4_t_sold</t>
  </si>
  <si>
    <t xml:space="preserve">      bo_other4_gross_rcpt</t>
  </si>
  <si>
    <t xml:space="preserve">      bo_other4_ff</t>
  </si>
  <si>
    <t xml:space="preserve">      bo_other4_tax1</t>
  </si>
  <si>
    <t xml:space="preserve">      bo_other4_net_comm</t>
  </si>
  <si>
    <t xml:space="preserve">      bo_other5_t_sold</t>
  </si>
  <si>
    <t xml:space="preserve">      bo_other5_gross_rcpt</t>
  </si>
  <si>
    <t xml:space="preserve">      bo_other5_ff</t>
  </si>
  <si>
    <t xml:space="preserve">      bo_other5_tax1</t>
  </si>
  <si>
    <t xml:space="preserve">      bo_other5_net_comm</t>
  </si>
  <si>
    <t>Beauty &amp; The Beast</t>
  </si>
  <si>
    <t>Pensacola</t>
  </si>
  <si>
    <t>Saenger Theatre</t>
  </si>
  <si>
    <t>JAM Theatricals</t>
  </si>
  <si>
    <t>$</t>
  </si>
  <si>
    <t>IA</t>
  </si>
  <si>
    <t>Performance 1</t>
  </si>
  <si>
    <t xml:space="preserve">Fri                           </t>
  </si>
  <si>
    <t>Pensacola / FL</t>
  </si>
  <si>
    <t>,118 S. Palafox Place</t>
  </si>
  <si>
    <t>7:30PM</t>
  </si>
  <si>
    <t>X</t>
  </si>
  <si>
    <t>1 copy clipped to the check, 1 copy in pack</t>
  </si>
  <si>
    <t>1 original clipped to check, 1 orginal in pack</t>
  </si>
  <si>
    <t>NA</t>
  </si>
  <si>
    <t>Late Load In Labor (Split 50/50 With Presenter)</t>
  </si>
  <si>
    <t>Deducted from final monies due</t>
  </si>
  <si>
    <t>10% Royalty</t>
  </si>
  <si>
    <t>Overages</t>
  </si>
  <si>
    <t>keng@networkstours.com,scottj@networkstours.com,angelar@networkstours.com,maryw@networkstours.com,jenniferg@networkstours.com,johnk@networkstours.com,heatherh@networkstours.com,paul.Dietz@broadwayacrossamerica.com,Andy.Tabb@broadwayacrossamerica.com,sethw@networkstours.com,charmainem@networkstours.com,hectorg@networkstours.com,bbrooks@thebookinggroup.com,RRundle@thebookinggroup.com,mmann@thebookinggroup.com,tivory@thebookinggroup.com,zach@bbonyc.com,kent@bbonyc.com,pcarden@thebookinggroup.com,carole@mtishows.com,chris.ekizian@disney.com,KaryW@networkstours.com,amorton@thebookinggroup.com,steven@bbonyc.com,penelopel@networkstours.com,bobbym@networkstours.com,liz.schwarzwalder@disney.com,jennifer.august@disney.com,aklindtworth@thebookinggroup.com,Michael.Rocha@broadwayacrossamerica.com,Charles.Graytok@broadwayacrossamerica.com,orinw@networkstours.com,awylan@thebooking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</si>
</sst>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[&lt;=9999999]###\-####;\(###\)\ ###\-####"/>
    <numFmt numFmtId="166" formatCode="_(* #,##0_);_(* \(#,##0\);_(* &quot;-&quot;??_);_(@_)"/>
    <numFmt numFmtId="167" formatCode="mm/dd/yy;@"/>
    <numFmt numFmtId="168" formatCode="0.0000%"/>
    <numFmt numFmtId="169" formatCode="0.00000000%"/>
    <numFmt numFmtId="170" formatCode="_([$$-409]* #,##0.00_);_([$$-409]* \(#,##0.00\);_([$$-409]* &quot;-&quot;??_);_(@_)"/>
    <numFmt numFmtId="171" formatCode="0.0000000"/>
    <numFmt numFmtId="172" formatCode="[$-409]h:mm\ AM/PM;@"/>
  </numFmts>
  <fonts count="31">
    <font>
      <sz val="10"/>
      <name val="N Helvetica Narrow"/>
    </font>
    <font>
      <b/>
      <sz val="10"/>
      <name val="N Helvetica Narrow"/>
    </font>
    <font>
      <b/>
      <sz val="14"/>
      <name val="N Helvetica Narrow"/>
    </font>
    <font>
      <sz val="10"/>
      <name val="N Helvetica Narrow"/>
    </font>
    <font>
      <b/>
      <sz val="10"/>
      <name val="Helv"/>
    </font>
    <font>
      <sz val="10"/>
      <name val="Helv"/>
    </font>
    <font>
      <i/>
      <sz val="10"/>
      <name val="Helv"/>
    </font>
    <font>
      <sz val="12"/>
      <name val="Helv"/>
    </font>
    <font>
      <b/>
      <sz val="12"/>
      <name val="Helv"/>
    </font>
    <font>
      <b/>
      <sz val="12"/>
      <name val="N Helvetica Narrow"/>
    </font>
    <font>
      <sz val="12"/>
      <name val="N Helvetica Narrow"/>
    </font>
    <font>
      <b/>
      <i/>
      <sz val="12"/>
      <name val="Helv"/>
    </font>
    <font>
      <i/>
      <sz val="12"/>
      <name val="Helv"/>
    </font>
    <font>
      <sz val="8"/>
      <color indexed="81"/>
      <name val="Tahoma"/>
      <family val="2"/>
    </font>
    <font>
      <b/>
      <sz val="20"/>
      <name val="Garamond"/>
      <family val="1"/>
    </font>
    <font>
      <u/>
      <sz val="10"/>
      <color indexed="12"/>
      <name val="N Helvetica Narrow"/>
    </font>
    <font>
      <sz val="10"/>
      <color indexed="16"/>
      <name val="Helv"/>
    </font>
    <font>
      <b/>
      <sz val="12"/>
      <color indexed="16"/>
      <name val="Helv"/>
    </font>
    <font>
      <b/>
      <sz val="14"/>
      <color indexed="16"/>
      <name val="Helv"/>
    </font>
    <font>
      <sz val="12"/>
      <color indexed="10"/>
      <name val="Helv"/>
    </font>
    <font>
      <b/>
      <sz val="12"/>
      <color indexed="10"/>
      <name val="Helv"/>
    </font>
    <font>
      <sz val="10"/>
      <color indexed="81"/>
      <name val="Tahoma"/>
      <family val="2"/>
    </font>
    <font>
      <i/>
      <sz val="10"/>
      <color indexed="81"/>
      <name val="Tahoma"/>
      <family val="2"/>
    </font>
    <font>
      <u/>
      <sz val="10"/>
      <color indexed="81"/>
      <name val="Tahoma"/>
      <family val="2"/>
    </font>
    <font>
      <sz val="10"/>
      <color indexed="18"/>
      <name val="Helv"/>
    </font>
    <font>
      <b/>
      <sz val="12"/>
      <name val="Helv"/>
    </font>
    <font>
      <sz val="12"/>
      <name val="Helv"/>
    </font>
    <font>
      <sz val="20"/>
      <name val="Arial Rounded MT Bold"/>
      <family val="2"/>
    </font>
    <font>
      <sz val="8"/>
      <name val="N Helvetica Narrow"/>
    </font>
    <font>
      <sz val="9"/>
      <name val="N Helvetica Narrow"/>
    </font>
    <font>
      <i/>
      <sz val="9"/>
      <name val="N Helvetica Narrow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5D9F1"/>
        <bgColor rgb="FF000000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3" fillId="0" borderId="0" applyFill="0" applyBorder="0">
      <alignment vertical="top"/>
      <protection locked="0"/>
    </xf>
  </cellStyleXfs>
  <cellXfs count="403">
    <xf numFmtId="0" fontId="0" fillId="0" borderId="0" xfId="0"/>
    <xf numFmtId="7" fontId="7" fillId="0" borderId="0" xfId="0" applyNumberFormat="1" applyFont="1" applyAlignment="1" applyProtection="1">
      <alignment vertical="top"/>
    </xf>
    <xf numFmtId="7" fontId="7" fillId="0" borderId="1" xfId="0" applyNumberFormat="1" applyFont="1" applyBorder="1" applyAlignment="1" applyProtection="1">
      <alignment vertical="top"/>
    </xf>
    <xf numFmtId="7" fontId="8" fillId="0" borderId="0" xfId="0" applyNumberFormat="1" applyFont="1" applyAlignment="1" applyProtection="1">
      <alignment vertical="top"/>
    </xf>
    <xf numFmtId="7" fontId="12" fillId="0" borderId="2" xfId="0" applyNumberFormat="1" applyFont="1" applyBorder="1" applyAlignment="1" applyProtection="1">
      <alignment vertical="top"/>
    </xf>
    <xf numFmtId="0" fontId="0" fillId="0" borderId="0" xfId="0" applyFill="1"/>
    <xf numFmtId="0" fontId="7" fillId="0" borderId="0" xfId="0" applyNumberFormat="1" applyFont="1" applyBorder="1" applyAlignment="1" applyProtection="1">
      <alignment vertical="top"/>
    </xf>
    <xf numFmtId="0" fontId="8" fillId="2" borderId="0" xfId="0" applyNumberFormat="1" applyFont="1" applyFill="1" applyAlignment="1" applyProtection="1">
      <alignment horizontal="center" vertical="top"/>
    </xf>
    <xf numFmtId="0" fontId="8" fillId="2" borderId="0" xfId="0" applyNumberFormat="1" applyFont="1" applyFill="1" applyAlignment="1" applyProtection="1">
      <alignment vertical="top"/>
    </xf>
    <xf numFmtId="1" fontId="7" fillId="2" borderId="0" xfId="0" applyNumberFormat="1" applyFont="1" applyFill="1" applyAlignment="1" applyProtection="1">
      <alignment horizontal="right" vertical="top"/>
    </xf>
    <xf numFmtId="0" fontId="8" fillId="2" borderId="2" xfId="0" applyNumberFormat="1" applyFont="1" applyFill="1" applyBorder="1" applyAlignment="1" applyProtection="1">
      <alignment vertical="top"/>
    </xf>
    <xf numFmtId="1" fontId="8" fillId="2" borderId="3" xfId="0" applyNumberFormat="1" applyFont="1" applyFill="1" applyBorder="1" applyAlignment="1" applyProtection="1">
      <alignment horizontal="right" vertical="top"/>
    </xf>
    <xf numFmtId="9" fontId="8" fillId="2" borderId="0" xfId="0" applyNumberFormat="1" applyFont="1" applyFill="1" applyAlignment="1" applyProtection="1">
      <alignment vertical="top"/>
    </xf>
    <xf numFmtId="7" fontId="7" fillId="2" borderId="0" xfId="0" applyNumberFormat="1" applyFont="1" applyFill="1" applyAlignment="1" applyProtection="1">
      <alignment vertical="top"/>
    </xf>
    <xf numFmtId="7" fontId="7" fillId="2" borderId="1" xfId="0" applyNumberFormat="1" applyFont="1" applyFill="1" applyBorder="1" applyAlignment="1" applyProtection="1">
      <alignment vertical="top"/>
    </xf>
    <xf numFmtId="7" fontId="8" fillId="2" borderId="0" xfId="0" applyNumberFormat="1" applyFont="1" applyFill="1" applyAlignment="1" applyProtection="1">
      <alignment vertical="top"/>
    </xf>
    <xf numFmtId="7" fontId="8" fillId="2" borderId="4" xfId="0" applyNumberFormat="1" applyFont="1" applyFill="1" applyBorder="1" applyAlignment="1" applyProtection="1">
      <alignment vertical="top"/>
    </xf>
    <xf numFmtId="7" fontId="7" fillId="2" borderId="0" xfId="0" applyNumberFormat="1" applyFont="1" applyFill="1" applyBorder="1" applyAlignment="1" applyProtection="1">
      <alignment vertical="top"/>
    </xf>
    <xf numFmtId="7" fontId="11" fillId="2" borderId="4" xfId="0" applyNumberFormat="1" applyFont="1" applyFill="1" applyBorder="1" applyAlignment="1" applyProtection="1">
      <alignment vertical="top"/>
    </xf>
    <xf numFmtId="37" fontId="7" fillId="2" borderId="0" xfId="0" applyNumberFormat="1" applyFont="1" applyFill="1" applyAlignment="1" applyProtection="1">
      <alignment vertical="top"/>
    </xf>
    <xf numFmtId="37" fontId="12" fillId="2" borderId="2" xfId="0" applyNumberFormat="1" applyFont="1" applyFill="1" applyBorder="1" applyAlignment="1" applyProtection="1">
      <alignment vertical="top"/>
    </xf>
    <xf numFmtId="14" fontId="8" fillId="2" borderId="0" xfId="0" applyNumberFormat="1" applyFont="1" applyFill="1" applyAlignment="1" applyProtection="1">
      <alignment vertical="top"/>
    </xf>
    <xf numFmtId="14" fontId="8" fillId="2" borderId="0" xfId="0" applyNumberFormat="1" applyFont="1" applyFill="1" applyAlignment="1" applyProtection="1">
      <alignment horizontal="left" vertical="top"/>
    </xf>
    <xf numFmtId="14" fontId="7" fillId="2" borderId="0" xfId="0" applyNumberFormat="1" applyFont="1" applyFill="1" applyAlignment="1" applyProtection="1">
      <alignment horizontal="left" vertical="top"/>
    </xf>
    <xf numFmtId="0" fontId="7" fillId="2" borderId="0" xfId="0" applyNumberFormat="1" applyFont="1" applyFill="1" applyAlignment="1" applyProtection="1">
      <alignment vertical="top"/>
    </xf>
    <xf numFmtId="0" fontId="7" fillId="2" borderId="5" xfId="0" applyNumberFormat="1" applyFont="1" applyFill="1" applyBorder="1" applyAlignment="1" applyProtection="1">
      <alignment vertical="top"/>
    </xf>
    <xf numFmtId="0" fontId="7" fillId="2" borderId="2" xfId="0" applyNumberFormat="1" applyFont="1" applyFill="1" applyBorder="1" applyAlignment="1" applyProtection="1">
      <alignment vertical="top"/>
    </xf>
    <xf numFmtId="0" fontId="9" fillId="2" borderId="0" xfId="0" applyFont="1" applyFill="1" applyProtection="1"/>
    <xf numFmtId="9" fontId="7" fillId="2" borderId="0" xfId="0" applyNumberFormat="1" applyFont="1" applyFill="1" applyAlignment="1" applyProtection="1">
      <alignment vertical="top"/>
    </xf>
    <xf numFmtId="0" fontId="8" fillId="2" borderId="5" xfId="0" applyNumberFormat="1" applyFont="1" applyFill="1" applyBorder="1" applyAlignment="1" applyProtection="1">
      <alignment vertical="top"/>
    </xf>
    <xf numFmtId="0" fontId="8" fillId="2" borderId="1" xfId="0" applyNumberFormat="1" applyFont="1" applyFill="1" applyBorder="1" applyAlignment="1" applyProtection="1">
      <alignment vertical="top"/>
    </xf>
    <xf numFmtId="0" fontId="12" fillId="2" borderId="2" xfId="0" applyNumberFormat="1" applyFont="1" applyFill="1" applyBorder="1" applyAlignment="1" applyProtection="1">
      <alignment vertical="top"/>
    </xf>
    <xf numFmtId="0" fontId="4" fillId="2" borderId="6" xfId="0" applyNumberFormat="1" applyFont="1" applyFill="1" applyBorder="1" applyAlignment="1" applyProtection="1">
      <alignment vertical="top"/>
    </xf>
    <xf numFmtId="0" fontId="7" fillId="2" borderId="0" xfId="0" applyNumberFormat="1" applyFont="1" applyFill="1" applyBorder="1" applyAlignment="1" applyProtection="1">
      <alignment vertical="top"/>
    </xf>
    <xf numFmtId="0" fontId="8" fillId="2" borderId="0" xfId="0" applyNumberFormat="1" applyFont="1" applyFill="1" applyBorder="1" applyAlignment="1" applyProtection="1">
      <alignment vertical="top"/>
    </xf>
    <xf numFmtId="0" fontId="4" fillId="2" borderId="0" xfId="0" applyNumberFormat="1" applyFont="1" applyFill="1" applyAlignment="1" applyProtection="1">
      <alignment vertical="top"/>
    </xf>
    <xf numFmtId="7" fontId="8" fillId="2" borderId="2" xfId="0" applyNumberFormat="1" applyFont="1" applyFill="1" applyBorder="1" applyAlignment="1" applyProtection="1">
      <alignment vertical="top"/>
    </xf>
    <xf numFmtId="7" fontId="8" fillId="2" borderId="1" xfId="0" applyNumberFormat="1" applyFont="1" applyFill="1" applyBorder="1" applyAlignment="1" applyProtection="1">
      <alignment vertical="top"/>
    </xf>
    <xf numFmtId="7" fontId="8" fillId="2" borderId="0" xfId="0" applyNumberFormat="1" applyFont="1" applyFill="1" applyAlignment="1" applyProtection="1">
      <alignment horizontal="right" vertical="top"/>
    </xf>
    <xf numFmtId="7" fontId="8" fillId="2" borderId="0" xfId="0" applyNumberFormat="1" applyFont="1" applyFill="1" applyAlignment="1" applyProtection="1">
      <alignment horizontal="center"/>
    </xf>
    <xf numFmtId="0" fontId="4" fillId="3" borderId="0" xfId="0" applyNumberFormat="1" applyFont="1" applyFill="1" applyAlignment="1" applyProtection="1">
      <alignment vertical="top"/>
    </xf>
    <xf numFmtId="0" fontId="5" fillId="3" borderId="0" xfId="0" applyNumberFormat="1" applyFont="1" applyFill="1" applyAlignment="1" applyProtection="1">
      <alignment vertical="top"/>
    </xf>
    <xf numFmtId="0" fontId="8" fillId="3" borderId="0" xfId="0" applyNumberFormat="1" applyFont="1" applyFill="1" applyAlignment="1" applyProtection="1">
      <alignment vertical="top"/>
    </xf>
    <xf numFmtId="0" fontId="5" fillId="3" borderId="0" xfId="0" applyFont="1" applyFill="1" applyProtection="1"/>
    <xf numFmtId="7" fontId="7" fillId="2" borderId="0" xfId="0" applyNumberFormat="1" applyFont="1" applyFill="1" applyAlignment="1" applyProtection="1">
      <alignment horizontal="center"/>
    </xf>
    <xf numFmtId="0" fontId="7" fillId="2" borderId="0" xfId="0" applyFont="1" applyFill="1" applyAlignment="1" applyProtection="1">
      <alignment horizontal="center"/>
    </xf>
    <xf numFmtId="7" fontId="8" fillId="2" borderId="0" xfId="0" applyNumberFormat="1" applyFont="1" applyFill="1" applyProtection="1"/>
    <xf numFmtId="0" fontId="7" fillId="2" borderId="0" xfId="0" applyFont="1" applyFill="1" applyProtection="1"/>
    <xf numFmtId="0" fontId="7" fillId="2" borderId="0" xfId="0" applyFont="1" applyFill="1" applyBorder="1" applyProtection="1"/>
    <xf numFmtId="7" fontId="8" fillId="2" borderId="0" xfId="0" applyNumberFormat="1" applyFont="1" applyFill="1" applyBorder="1" applyProtection="1"/>
    <xf numFmtId="0" fontId="4" fillId="2" borderId="0" xfId="0" applyFont="1" applyFill="1" applyBorder="1" applyProtection="1"/>
    <xf numFmtId="7" fontId="7" fillId="2" borderId="0" xfId="0" applyNumberFormat="1" applyFont="1" applyFill="1" applyBorder="1" applyProtection="1"/>
    <xf numFmtId="7" fontId="8" fillId="2" borderId="0" xfId="0" applyNumberFormat="1" applyFont="1" applyFill="1" applyBorder="1" applyAlignment="1" applyProtection="1">
      <alignment horizontal="right"/>
    </xf>
    <xf numFmtId="0" fontId="5" fillId="2" borderId="7" xfId="0" applyFont="1" applyFill="1" applyBorder="1" applyAlignment="1" applyProtection="1">
      <alignment horizontal="center"/>
    </xf>
    <xf numFmtId="14" fontId="8" fillId="2" borderId="6" xfId="0" applyNumberFormat="1" applyFont="1" applyFill="1" applyBorder="1" applyAlignment="1" applyProtection="1">
      <alignment horizontal="left"/>
    </xf>
    <xf numFmtId="14" fontId="8" fillId="2" borderId="0" xfId="0" applyNumberFormat="1" applyFont="1" applyFill="1" applyBorder="1" applyAlignment="1" applyProtection="1">
      <alignment horizontal="left"/>
    </xf>
    <xf numFmtId="0" fontId="8" fillId="2" borderId="0" xfId="0" applyFont="1" applyFill="1" applyBorder="1" applyAlignment="1" applyProtection="1">
      <alignment horizontal="left"/>
    </xf>
    <xf numFmtId="0" fontId="7" fillId="2" borderId="0" xfId="0" applyFont="1" applyFill="1" applyBorder="1" applyAlignment="1" applyProtection="1">
      <alignment horizontal="center"/>
    </xf>
    <xf numFmtId="0" fontId="8" fillId="2" borderId="8" xfId="0" applyFont="1" applyFill="1" applyBorder="1" applyAlignment="1" applyProtection="1">
      <alignment horizontal="left"/>
    </xf>
    <xf numFmtId="9" fontId="7" fillId="2" borderId="0" xfId="0" applyNumberFormat="1" applyFont="1" applyFill="1" applyBorder="1" applyAlignment="1" applyProtection="1">
      <alignment horizontal="center"/>
    </xf>
    <xf numFmtId="0" fontId="10" fillId="2" borderId="0" xfId="0" applyFont="1" applyFill="1" applyProtection="1"/>
    <xf numFmtId="10" fontId="7" fillId="2" borderId="0" xfId="0" quotePrefix="1" applyNumberFormat="1" applyFont="1" applyFill="1" applyAlignment="1" applyProtection="1">
      <alignment horizontal="center"/>
    </xf>
    <xf numFmtId="7" fontId="7" fillId="2" borderId="0" xfId="0" applyNumberFormat="1" applyFont="1" applyFill="1" applyAlignment="1" applyProtection="1">
      <alignment horizontal="right"/>
    </xf>
    <xf numFmtId="7" fontId="7" fillId="2" borderId="0" xfId="0" applyNumberFormat="1" applyFont="1" applyFill="1" applyBorder="1" applyAlignment="1" applyProtection="1">
      <alignment horizontal="right"/>
    </xf>
    <xf numFmtId="7" fontId="7" fillId="2" borderId="1" xfId="0" applyNumberFormat="1" applyFont="1" applyFill="1" applyBorder="1" applyProtection="1"/>
    <xf numFmtId="7" fontId="7" fillId="2" borderId="6" xfId="0" applyNumberFormat="1" applyFont="1" applyFill="1" applyBorder="1" applyProtection="1"/>
    <xf numFmtId="7" fontId="7" fillId="2" borderId="0" xfId="0" applyNumberFormat="1" applyFont="1" applyFill="1" applyProtection="1"/>
    <xf numFmtId="164" fontId="7" fillId="2" borderId="0" xfId="0" applyNumberFormat="1" applyFont="1" applyFill="1" applyProtection="1"/>
    <xf numFmtId="0" fontId="5" fillId="2" borderId="0" xfId="0" applyFont="1" applyFill="1" applyProtection="1"/>
    <xf numFmtId="0" fontId="5" fillId="2" borderId="9" xfId="0" applyNumberFormat="1" applyFont="1" applyFill="1" applyBorder="1" applyProtection="1"/>
    <xf numFmtId="7" fontId="8" fillId="2" borderId="10" xfId="0" applyNumberFormat="1" applyFont="1" applyFill="1" applyBorder="1" applyProtection="1"/>
    <xf numFmtId="0" fontId="7" fillId="2" borderId="11" xfId="0" applyFont="1" applyFill="1" applyBorder="1" applyProtection="1"/>
    <xf numFmtId="0" fontId="7" fillId="2" borderId="12" xfId="0" applyFont="1" applyFill="1" applyBorder="1" applyProtection="1"/>
    <xf numFmtId="7" fontId="8" fillId="2" borderId="11" xfId="0" applyNumberFormat="1" applyFont="1" applyFill="1" applyBorder="1" applyProtection="1"/>
    <xf numFmtId="0" fontId="4" fillId="2" borderId="11" xfId="0" applyFont="1" applyFill="1" applyBorder="1" applyProtection="1"/>
    <xf numFmtId="7" fontId="8" fillId="2" borderId="12" xfId="0" applyNumberFormat="1" applyFont="1" applyFill="1" applyBorder="1" applyAlignment="1" applyProtection="1">
      <alignment horizontal="right"/>
    </xf>
    <xf numFmtId="0" fontId="14" fillId="2" borderId="13" xfId="0" applyFont="1" applyFill="1" applyBorder="1" applyProtection="1"/>
    <xf numFmtId="0" fontId="7" fillId="2" borderId="6" xfId="0" applyFont="1" applyFill="1" applyBorder="1" applyProtection="1"/>
    <xf numFmtId="0" fontId="7" fillId="2" borderId="10" xfId="0" applyFont="1" applyFill="1" applyBorder="1" applyProtection="1"/>
    <xf numFmtId="0" fontId="8" fillId="2" borderId="0" xfId="0" applyFont="1" applyFill="1" applyAlignment="1" applyProtection="1">
      <alignment horizontal="center"/>
    </xf>
    <xf numFmtId="0" fontId="8" fillId="2" borderId="8" xfId="0" applyFont="1" applyFill="1" applyBorder="1" applyProtection="1"/>
    <xf numFmtId="0" fontId="16" fillId="2" borderId="11" xfId="0" applyFont="1" applyFill="1" applyBorder="1" applyAlignment="1" applyProtection="1">
      <alignment horizontal="center"/>
    </xf>
    <xf numFmtId="0" fontId="16" fillId="2" borderId="0" xfId="0" applyFont="1" applyFill="1" applyBorder="1" applyAlignment="1" applyProtection="1">
      <alignment horizontal="center"/>
    </xf>
    <xf numFmtId="0" fontId="8" fillId="2" borderId="0" xfId="0" applyFont="1" applyFill="1" applyBorder="1" applyProtection="1"/>
    <xf numFmtId="0" fontId="17" fillId="2" borderId="11" xfId="0" applyFont="1" applyFill="1" applyBorder="1" applyAlignment="1" applyProtection="1">
      <alignment horizontal="center"/>
    </xf>
    <xf numFmtId="0" fontId="17" fillId="2" borderId="0" xfId="0" applyFont="1" applyFill="1" applyBorder="1" applyAlignment="1" applyProtection="1">
      <alignment horizontal="center"/>
    </xf>
    <xf numFmtId="14" fontId="8" fillId="2" borderId="8" xfId="0" applyNumberFormat="1" applyFont="1" applyFill="1" applyBorder="1" applyAlignment="1" applyProtection="1">
      <alignment horizontal="left"/>
    </xf>
    <xf numFmtId="10" fontId="7" fillId="2" borderId="0" xfId="0" applyNumberFormat="1" applyFont="1" applyFill="1" applyBorder="1" applyAlignment="1" applyProtection="1">
      <alignment horizontal="center"/>
    </xf>
    <xf numFmtId="0" fontId="19" fillId="2" borderId="0" xfId="0" applyFont="1" applyFill="1" applyBorder="1" applyProtection="1"/>
    <xf numFmtId="7" fontId="19" fillId="2" borderId="0" xfId="0" applyNumberFormat="1" applyFont="1" applyFill="1" applyBorder="1" applyProtection="1"/>
    <xf numFmtId="0" fontId="8" fillId="2" borderId="14" xfId="0" applyFont="1" applyFill="1" applyBorder="1" applyProtection="1"/>
    <xf numFmtId="0" fontId="7" fillId="2" borderId="1" xfId="0" applyFont="1" applyFill="1" applyBorder="1" applyProtection="1"/>
    <xf numFmtId="7" fontId="8" fillId="2" borderId="15" xfId="0" applyNumberFormat="1" applyFont="1" applyFill="1" applyBorder="1" applyProtection="1"/>
    <xf numFmtId="7" fontId="20" fillId="2" borderId="0" xfId="0" applyNumberFormat="1" applyFont="1" applyFill="1" applyBorder="1" applyProtection="1"/>
    <xf numFmtId="0" fontId="8" fillId="2" borderId="0" xfId="0" applyFont="1" applyFill="1" applyProtection="1"/>
    <xf numFmtId="10" fontId="7" fillId="2" borderId="0" xfId="0" applyNumberFormat="1" applyFont="1" applyFill="1" applyAlignment="1" applyProtection="1">
      <alignment horizontal="center"/>
    </xf>
    <xf numFmtId="0" fontId="10" fillId="2" borderId="11" xfId="0" applyFont="1" applyFill="1" applyBorder="1" applyProtection="1"/>
    <xf numFmtId="0" fontId="0" fillId="2" borderId="0" xfId="0" applyFill="1" applyProtection="1"/>
    <xf numFmtId="0" fontId="0" fillId="3" borderId="0" xfId="0" applyFill="1" applyProtection="1"/>
    <xf numFmtId="0" fontId="5" fillId="2" borderId="9" xfId="0" applyFont="1" applyFill="1" applyBorder="1" applyAlignment="1" applyProtection="1">
      <alignment vertical="top"/>
    </xf>
    <xf numFmtId="0" fontId="8" fillId="2" borderId="0" xfId="0" applyFont="1" applyFill="1" applyAlignment="1" applyProtection="1">
      <alignment horizontal="right"/>
    </xf>
    <xf numFmtId="8" fontId="7" fillId="2" borderId="0" xfId="0" applyNumberFormat="1" applyFont="1" applyFill="1" applyAlignment="1" applyProtection="1">
      <alignment horizontal="right"/>
    </xf>
    <xf numFmtId="7" fontId="5" fillId="2" borderId="0" xfId="0" applyNumberFormat="1" applyFont="1" applyFill="1" applyAlignment="1" applyProtection="1">
      <alignment horizontal="left"/>
    </xf>
    <xf numFmtId="7" fontId="5" fillId="3" borderId="0" xfId="0" applyNumberFormat="1" applyFont="1" applyFill="1" applyProtection="1"/>
    <xf numFmtId="0" fontId="7" fillId="2" borderId="0" xfId="0" applyFont="1" applyFill="1" applyAlignment="1" applyProtection="1">
      <alignment horizontal="right"/>
    </xf>
    <xf numFmtId="8" fontId="7" fillId="2" borderId="0" xfId="0" applyNumberFormat="1" applyFont="1" applyFill="1" applyProtection="1"/>
    <xf numFmtId="7" fontId="7" fillId="2" borderId="11" xfId="0" applyNumberFormat="1" applyFont="1" applyFill="1" applyBorder="1" applyAlignment="1" applyProtection="1">
      <alignment horizontal="left"/>
    </xf>
    <xf numFmtId="7" fontId="7" fillId="2" borderId="0" xfId="0" applyNumberFormat="1" applyFont="1" applyFill="1" applyBorder="1" applyAlignment="1" applyProtection="1">
      <alignment horizontal="left"/>
    </xf>
    <xf numFmtId="0" fontId="8" fillId="2" borderId="11" xfId="0" applyFont="1" applyFill="1" applyBorder="1" applyProtection="1"/>
    <xf numFmtId="0" fontId="4" fillId="2" borderId="0" xfId="0" applyFont="1" applyFill="1" applyProtection="1"/>
    <xf numFmtId="0" fontId="4" fillId="3" borderId="0" xfId="0" applyFont="1" applyFill="1" applyProtection="1"/>
    <xf numFmtId="7" fontId="7" fillId="2" borderId="11" xfId="0" applyNumberFormat="1" applyFont="1" applyFill="1" applyBorder="1" applyProtection="1"/>
    <xf numFmtId="0" fontId="8" fillId="2" borderId="5" xfId="0" applyFont="1" applyFill="1" applyBorder="1" applyAlignment="1" applyProtection="1">
      <alignment horizontal="center"/>
    </xf>
    <xf numFmtId="0" fontId="8" fillId="2" borderId="16" xfId="0" applyFont="1" applyFill="1" applyBorder="1" applyProtection="1"/>
    <xf numFmtId="0" fontId="7" fillId="2" borderId="16" xfId="0" applyFont="1" applyFill="1" applyBorder="1" applyProtection="1"/>
    <xf numFmtId="7" fontId="8" fillId="2" borderId="16" xfId="0" applyNumberFormat="1" applyFont="1" applyFill="1" applyBorder="1" applyProtection="1"/>
    <xf numFmtId="0" fontId="8" fillId="2" borderId="0" xfId="0" applyFont="1" applyFill="1" applyBorder="1" applyAlignment="1" applyProtection="1">
      <alignment horizontal="center"/>
    </xf>
    <xf numFmtId="0" fontId="7" fillId="2" borderId="17" xfId="0" applyFont="1" applyFill="1" applyBorder="1" applyProtection="1"/>
    <xf numFmtId="7" fontId="5" fillId="2" borderId="0" xfId="0" applyNumberFormat="1" applyFont="1" applyFill="1" applyProtection="1"/>
    <xf numFmtId="7" fontId="7" fillId="2" borderId="0" xfId="0" applyNumberFormat="1" applyFont="1" applyFill="1" applyBorder="1" applyAlignment="1" applyProtection="1">
      <alignment horizontal="center"/>
    </xf>
    <xf numFmtId="7" fontId="8" fillId="2" borderId="1" xfId="0" applyNumberFormat="1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right"/>
    </xf>
    <xf numFmtId="44" fontId="8" fillId="2" borderId="11" xfId="0" applyNumberFormat="1" applyFont="1" applyFill="1" applyBorder="1" applyProtection="1"/>
    <xf numFmtId="7" fontId="8" fillId="2" borderId="11" xfId="2" applyNumberFormat="1" applyFont="1" applyFill="1" applyBorder="1" applyProtection="1"/>
    <xf numFmtId="0" fontId="11" fillId="2" borderId="0" xfId="0" applyFont="1" applyFill="1" applyBorder="1" applyAlignment="1" applyProtection="1">
      <alignment horizontal="right"/>
    </xf>
    <xf numFmtId="7" fontId="12" fillId="2" borderId="11" xfId="0" applyNumberFormat="1" applyFont="1" applyFill="1" applyBorder="1" applyProtection="1"/>
    <xf numFmtId="7" fontId="12" fillId="2" borderId="0" xfId="0" applyNumberFormat="1" applyFont="1" applyFill="1" applyProtection="1"/>
    <xf numFmtId="0" fontId="12" fillId="2" borderId="0" xfId="0" applyFont="1" applyFill="1" applyBorder="1" applyAlignment="1" applyProtection="1">
      <alignment horizontal="right"/>
    </xf>
    <xf numFmtId="0" fontId="5" fillId="3" borderId="0" xfId="0" applyFont="1" applyFill="1" applyBorder="1" applyProtection="1"/>
    <xf numFmtId="0" fontId="7" fillId="3" borderId="0" xfId="0" applyFont="1" applyFill="1" applyAlignment="1" applyProtection="1">
      <alignment horizontal="center"/>
    </xf>
    <xf numFmtId="44" fontId="7" fillId="4" borderId="0" xfId="0" applyNumberFormat="1" applyFont="1" applyFill="1" applyBorder="1" applyAlignment="1" applyProtection="1">
      <alignment horizontal="center"/>
      <protection locked="0"/>
    </xf>
    <xf numFmtId="0" fontId="7" fillId="4" borderId="0" xfId="0" applyFont="1" applyFill="1" applyProtection="1">
      <protection locked="0"/>
    </xf>
    <xf numFmtId="7" fontId="7" fillId="4" borderId="0" xfId="0" applyNumberFormat="1" applyFont="1" applyFill="1" applyBorder="1" applyAlignment="1" applyProtection="1">
      <alignment horizontal="center"/>
      <protection locked="0"/>
    </xf>
    <xf numFmtId="7" fontId="7" fillId="4" borderId="1" xfId="0" applyNumberFormat="1" applyFont="1" applyFill="1" applyBorder="1" applyProtection="1">
      <protection locked="0"/>
    </xf>
    <xf numFmtId="7" fontId="7" fillId="4" borderId="0" xfId="0" applyNumberFormat="1" applyFont="1" applyFill="1" applyBorder="1" applyProtection="1">
      <protection locked="0"/>
    </xf>
    <xf numFmtId="8" fontId="7" fillId="4" borderId="0" xfId="0" applyNumberFormat="1" applyFont="1" applyFill="1" applyAlignment="1" applyProtection="1">
      <alignment horizontal="center"/>
      <protection locked="0"/>
    </xf>
    <xf numFmtId="7" fontId="7" fillId="4" borderId="0" xfId="0" applyNumberFormat="1" applyFont="1" applyFill="1" applyBorder="1" applyAlignment="1" applyProtection="1">
      <alignment horizontal="right"/>
      <protection locked="0"/>
    </xf>
    <xf numFmtId="166" fontId="7" fillId="4" borderId="0" xfId="1" applyNumberFormat="1" applyFont="1" applyFill="1" applyAlignment="1" applyProtection="1">
      <alignment vertical="top"/>
      <protection locked="0"/>
    </xf>
    <xf numFmtId="166" fontId="7" fillId="4" borderId="3" xfId="1" applyNumberFormat="1" applyFont="1" applyFill="1" applyBorder="1" applyAlignment="1" applyProtection="1">
      <alignment vertical="top"/>
      <protection locked="0"/>
    </xf>
    <xf numFmtId="7" fontId="8" fillId="4" borderId="0" xfId="0" applyNumberFormat="1" applyFont="1" applyFill="1" applyAlignment="1" applyProtection="1">
      <alignment vertical="top"/>
      <protection locked="0"/>
    </xf>
    <xf numFmtId="0" fontId="8" fillId="2" borderId="3" xfId="0" applyNumberFormat="1" applyFont="1" applyFill="1" applyBorder="1" applyAlignment="1" applyProtection="1">
      <alignment horizontal="center" vertical="top"/>
    </xf>
    <xf numFmtId="0" fontId="6" fillId="2" borderId="0" xfId="0" applyFont="1" applyFill="1" applyProtection="1"/>
    <xf numFmtId="7" fontId="6" fillId="2" borderId="0" xfId="0" applyNumberFormat="1" applyFont="1" applyFill="1" applyProtection="1"/>
    <xf numFmtId="9" fontId="7" fillId="2" borderId="0" xfId="0" applyNumberFormat="1" applyFont="1" applyFill="1" applyAlignment="1" applyProtection="1">
      <alignment horizontal="center" vertical="top"/>
    </xf>
    <xf numFmtId="0" fontId="7" fillId="2" borderId="0" xfId="0" applyNumberFormat="1" applyFont="1" applyFill="1" applyAlignment="1" applyProtection="1">
      <alignment horizontal="center" vertical="top"/>
    </xf>
    <xf numFmtId="0" fontId="7" fillId="2" borderId="0" xfId="0" applyNumberFormat="1" applyFont="1" applyFill="1" applyBorder="1" applyAlignment="1" applyProtection="1">
      <alignment horizontal="center" vertical="top"/>
    </xf>
    <xf numFmtId="0" fontId="7" fillId="2" borderId="1" xfId="2" applyNumberFormat="1" applyFont="1" applyFill="1" applyBorder="1" applyAlignment="1" applyProtection="1">
      <alignment horizontal="center" vertical="top"/>
    </xf>
    <xf numFmtId="0" fontId="5" fillId="2" borderId="1" xfId="0" applyNumberFormat="1" applyFont="1" applyFill="1" applyBorder="1" applyProtection="1"/>
    <xf numFmtId="0" fontId="5" fillId="3" borderId="1" xfId="0" applyNumberFormat="1" applyFont="1" applyFill="1" applyBorder="1" applyProtection="1"/>
    <xf numFmtId="0" fontId="5" fillId="3" borderId="1" xfId="0" applyNumberFormat="1" applyFont="1" applyFill="1" applyBorder="1" applyAlignment="1" applyProtection="1">
      <alignment vertical="top"/>
    </xf>
    <xf numFmtId="1" fontId="8" fillId="2" borderId="2" xfId="0" applyNumberFormat="1" applyFont="1" applyFill="1" applyBorder="1" applyAlignment="1" applyProtection="1">
      <alignment horizontal="center" vertical="top"/>
    </xf>
    <xf numFmtId="7" fontId="4" fillId="2" borderId="6" xfId="0" applyNumberFormat="1" applyFont="1" applyFill="1" applyBorder="1" applyAlignment="1" applyProtection="1">
      <alignment vertical="top"/>
    </xf>
    <xf numFmtId="0" fontId="4" fillId="2" borderId="1" xfId="0" applyNumberFormat="1" applyFont="1" applyFill="1" applyBorder="1" applyAlignment="1" applyProtection="1">
      <alignment vertical="top"/>
    </xf>
    <xf numFmtId="7" fontId="4" fillId="2" borderId="1" xfId="0" applyNumberFormat="1" applyFont="1" applyFill="1" applyBorder="1" applyAlignment="1" applyProtection="1">
      <alignment vertical="top"/>
    </xf>
    <xf numFmtId="44" fontId="7" fillId="2" borderId="0" xfId="0" applyNumberFormat="1" applyFont="1" applyFill="1" applyBorder="1" applyAlignment="1" applyProtection="1">
      <alignment vertical="top"/>
    </xf>
    <xf numFmtId="44" fontId="7" fillId="2" borderId="0" xfId="2" applyFont="1" applyFill="1" applyBorder="1" applyAlignment="1" applyProtection="1">
      <alignment vertical="top"/>
    </xf>
    <xf numFmtId="0" fontId="7" fillId="3" borderId="0" xfId="0" applyFont="1" applyFill="1" applyProtection="1"/>
    <xf numFmtId="0" fontId="7" fillId="3" borderId="0" xfId="0" applyNumberFormat="1" applyFont="1" applyFill="1" applyAlignment="1" applyProtection="1">
      <alignment vertical="top"/>
    </xf>
    <xf numFmtId="9" fontId="8" fillId="2" borderId="1" xfId="0" applyNumberFormat="1" applyFont="1" applyFill="1" applyBorder="1" applyAlignment="1" applyProtection="1">
      <alignment vertical="top"/>
    </xf>
    <xf numFmtId="164" fontId="7" fillId="0" borderId="1" xfId="0" applyNumberFormat="1" applyFont="1" applyFill="1" applyBorder="1" applyAlignment="1" applyProtection="1">
      <alignment horizontal="right" vertical="top"/>
    </xf>
    <xf numFmtId="9" fontId="7" fillId="2" borderId="0" xfId="0" applyNumberFormat="1" applyFont="1" applyFill="1" applyBorder="1" applyAlignment="1" applyProtection="1">
      <alignment vertical="top"/>
    </xf>
    <xf numFmtId="43" fontId="7" fillId="0" borderId="0" xfId="0" applyNumberFormat="1" applyFont="1" applyFill="1" applyBorder="1" applyAlignment="1" applyProtection="1">
      <alignment horizontal="right" vertical="top"/>
    </xf>
    <xf numFmtId="43" fontId="7" fillId="2" borderId="0" xfId="0" applyNumberFormat="1" applyFont="1" applyFill="1" applyBorder="1" applyAlignment="1" applyProtection="1">
      <alignment vertical="top"/>
    </xf>
    <xf numFmtId="9" fontId="7" fillId="0" borderId="0" xfId="0" applyNumberFormat="1" applyFont="1" applyFill="1" applyBorder="1" applyAlignment="1" applyProtection="1">
      <alignment horizontal="right" vertical="top"/>
    </xf>
    <xf numFmtId="7" fontId="7" fillId="0" borderId="0" xfId="0" applyNumberFormat="1" applyFont="1" applyBorder="1" applyAlignment="1" applyProtection="1">
      <alignment vertical="top"/>
    </xf>
    <xf numFmtId="43" fontId="7" fillId="0" borderId="0" xfId="0" applyNumberFormat="1" applyFont="1" applyBorder="1" applyAlignment="1" applyProtection="1">
      <alignment vertical="top"/>
    </xf>
    <xf numFmtId="9" fontId="7" fillId="0" borderId="0" xfId="2" applyNumberFormat="1" applyFont="1" applyFill="1" applyBorder="1" applyAlignment="1" applyProtection="1">
      <alignment horizontal="right" vertical="top"/>
    </xf>
    <xf numFmtId="7" fontId="8" fillId="2" borderId="0" xfId="0" applyNumberFormat="1" applyFont="1" applyFill="1" applyBorder="1" applyAlignment="1" applyProtection="1">
      <alignment vertical="top"/>
    </xf>
    <xf numFmtId="0" fontId="4" fillId="2" borderId="0" xfId="0" applyNumberFormat="1" applyFont="1" applyFill="1" applyAlignment="1" applyProtection="1">
      <alignment horizontal="right" vertical="top"/>
    </xf>
    <xf numFmtId="7" fontId="4" fillId="2" borderId="0" xfId="0" applyNumberFormat="1" applyFont="1" applyFill="1" applyAlignment="1" applyProtection="1">
      <alignment vertical="top"/>
    </xf>
    <xf numFmtId="7" fontId="4" fillId="3" borderId="0" xfId="0" applyNumberFormat="1" applyFont="1" applyFill="1" applyAlignment="1" applyProtection="1">
      <alignment horizontal="right" vertical="top"/>
    </xf>
    <xf numFmtId="0" fontId="7" fillId="4" borderId="0" xfId="0" applyNumberFormat="1" applyFont="1" applyFill="1" applyAlignment="1" applyProtection="1">
      <alignment vertical="top"/>
      <protection locked="0"/>
    </xf>
    <xf numFmtId="7" fontId="7" fillId="4" borderId="0" xfId="0" applyNumberFormat="1" applyFont="1" applyFill="1" applyAlignment="1" applyProtection="1">
      <alignment vertical="top"/>
      <protection locked="0"/>
    </xf>
    <xf numFmtId="7" fontId="7" fillId="4" borderId="1" xfId="0" applyNumberFormat="1" applyFont="1" applyFill="1" applyBorder="1" applyAlignment="1" applyProtection="1">
      <alignment vertical="top"/>
      <protection locked="0"/>
    </xf>
    <xf numFmtId="0" fontId="7" fillId="4" borderId="0" xfId="0" applyNumberFormat="1" applyFont="1" applyFill="1" applyBorder="1" applyAlignment="1" applyProtection="1">
      <alignment vertical="top"/>
      <protection locked="0"/>
    </xf>
    <xf numFmtId="166" fontId="7" fillId="4" borderId="0" xfId="1" applyNumberFormat="1" applyFont="1" applyFill="1" applyBorder="1" applyAlignment="1" applyProtection="1">
      <alignment horizontal="right" vertical="top"/>
      <protection locked="0"/>
    </xf>
    <xf numFmtId="7" fontId="7" fillId="2" borderId="0" xfId="0" applyNumberFormat="1" applyFont="1" applyFill="1" applyBorder="1" applyAlignment="1" applyProtection="1">
      <alignment horizontal="right"/>
      <protection locked="0"/>
    </xf>
    <xf numFmtId="10" fontId="7" fillId="4" borderId="0" xfId="0" applyNumberFormat="1" applyFont="1" applyFill="1" applyBorder="1" applyProtection="1">
      <protection locked="0"/>
    </xf>
    <xf numFmtId="10" fontId="7" fillId="2" borderId="0" xfId="0" applyNumberFormat="1" applyFont="1" applyFill="1" applyBorder="1" applyProtection="1"/>
    <xf numFmtId="9" fontId="7" fillId="2" borderId="0" xfId="0" applyNumberFormat="1" applyFont="1" applyFill="1" applyAlignment="1" applyProtection="1">
      <alignment horizontal="right" vertical="top"/>
      <protection locked="0"/>
    </xf>
    <xf numFmtId="1" fontId="7" fillId="4" borderId="0" xfId="0" applyNumberFormat="1" applyFont="1" applyFill="1" applyAlignment="1" applyProtection="1">
      <alignment horizontal="right" vertical="top"/>
      <protection locked="0"/>
    </xf>
    <xf numFmtId="166" fontId="7" fillId="2" borderId="0" xfId="1" applyNumberFormat="1" applyFont="1" applyFill="1" applyAlignment="1" applyProtection="1">
      <alignment vertical="top"/>
    </xf>
    <xf numFmtId="0" fontId="7" fillId="2" borderId="0" xfId="0" applyNumberFormat="1" applyFont="1" applyFill="1" applyAlignment="1" applyProtection="1">
      <alignment vertical="top"/>
      <protection locked="0"/>
    </xf>
    <xf numFmtId="0" fontId="7" fillId="2" borderId="1" xfId="0" applyNumberFormat="1" applyFont="1" applyFill="1" applyBorder="1" applyAlignment="1" applyProtection="1">
      <alignment vertical="top"/>
      <protection locked="0"/>
    </xf>
    <xf numFmtId="169" fontId="7" fillId="2" borderId="0" xfId="0" applyNumberFormat="1" applyFont="1" applyFill="1" applyBorder="1" applyProtection="1"/>
    <xf numFmtId="169" fontId="7" fillId="4" borderId="0" xfId="0" quotePrefix="1" applyNumberFormat="1" applyFont="1" applyFill="1" applyAlignment="1" applyProtection="1">
      <alignment horizontal="center"/>
      <protection locked="0"/>
    </xf>
    <xf numFmtId="169" fontId="7" fillId="4" borderId="0" xfId="0" quotePrefix="1" applyNumberFormat="1" applyFont="1" applyFill="1" applyAlignment="1" applyProtection="1">
      <alignment horizontal="right"/>
      <protection locked="0"/>
    </xf>
    <xf numFmtId="0" fontId="7" fillId="2" borderId="13" xfId="0" applyNumberFormat="1" applyFont="1" applyFill="1" applyBorder="1" applyAlignment="1" applyProtection="1">
      <alignment vertical="top"/>
    </xf>
    <xf numFmtId="0" fontId="8" fillId="2" borderId="6" xfId="0" applyNumberFormat="1" applyFont="1" applyFill="1" applyBorder="1" applyAlignment="1" applyProtection="1">
      <alignment vertical="top"/>
    </xf>
    <xf numFmtId="166" fontId="7" fillId="0" borderId="6" xfId="1" applyNumberFormat="1" applyFont="1" applyBorder="1" applyAlignment="1" applyProtection="1">
      <alignment vertical="top"/>
    </xf>
    <xf numFmtId="7" fontId="8" fillId="2" borderId="10" xfId="0" applyNumberFormat="1" applyFont="1" applyFill="1" applyBorder="1" applyAlignment="1" applyProtection="1">
      <alignment vertical="top"/>
    </xf>
    <xf numFmtId="0" fontId="8" fillId="2" borderId="14" xfId="0" applyNumberFormat="1" applyFont="1" applyFill="1" applyBorder="1" applyAlignment="1" applyProtection="1">
      <alignment vertical="top"/>
    </xf>
    <xf numFmtId="7" fontId="8" fillId="2" borderId="15" xfId="0" applyNumberFormat="1" applyFont="1" applyFill="1" applyBorder="1" applyAlignment="1" applyProtection="1">
      <alignment vertical="top"/>
    </xf>
    <xf numFmtId="0" fontId="8" fillId="2" borderId="18" xfId="0" applyNumberFormat="1" applyFont="1" applyFill="1" applyBorder="1" applyAlignment="1" applyProtection="1">
      <alignment vertical="top"/>
    </xf>
    <xf numFmtId="9" fontId="7" fillId="2" borderId="19" xfId="0" applyNumberFormat="1" applyFont="1" applyFill="1" applyBorder="1" applyAlignment="1" applyProtection="1">
      <alignment horizontal="center" vertical="top"/>
    </xf>
    <xf numFmtId="7" fontId="8" fillId="4" borderId="20" xfId="0" applyNumberFormat="1" applyFont="1" applyFill="1" applyBorder="1" applyAlignment="1" applyProtection="1">
      <alignment vertical="top"/>
      <protection locked="0"/>
    </xf>
    <xf numFmtId="7" fontId="7" fillId="0" borderId="19" xfId="0" applyNumberFormat="1" applyFont="1" applyFill="1" applyBorder="1" applyAlignment="1" applyProtection="1">
      <alignment vertical="top"/>
    </xf>
    <xf numFmtId="44" fontId="8" fillId="4" borderId="21" xfId="0" applyNumberFormat="1" applyFont="1" applyFill="1" applyBorder="1" applyAlignment="1" applyProtection="1">
      <alignment horizontal="left" vertical="top"/>
      <protection locked="0"/>
    </xf>
    <xf numFmtId="0" fontId="24" fillId="3" borderId="0" xfId="0" applyFont="1" applyFill="1" applyProtection="1"/>
    <xf numFmtId="10" fontId="7" fillId="4" borderId="0" xfId="0" applyNumberFormat="1" applyFont="1" applyFill="1" applyBorder="1" applyAlignment="1" applyProtection="1">
      <alignment horizontal="center"/>
      <protection locked="0"/>
    </xf>
    <xf numFmtId="7" fontId="7" fillId="0" borderId="0" xfId="0" applyNumberFormat="1" applyFont="1" applyFill="1" applyAlignment="1" applyProtection="1">
      <alignment vertical="top"/>
      <protection locked="0"/>
    </xf>
    <xf numFmtId="7" fontId="7" fillId="2" borderId="0" xfId="0" applyNumberFormat="1" applyFont="1" applyFill="1" applyAlignment="1" applyProtection="1">
      <alignment vertical="top"/>
      <protection locked="0"/>
    </xf>
    <xf numFmtId="0" fontId="5" fillId="2" borderId="0" xfId="0" applyFont="1" applyFill="1" applyProtection="1">
      <protection locked="0"/>
    </xf>
    <xf numFmtId="0" fontId="5" fillId="3" borderId="0" xfId="0" applyFont="1" applyFill="1" applyProtection="1">
      <protection locked="0"/>
    </xf>
    <xf numFmtId="0" fontId="5" fillId="3" borderId="0" xfId="0" applyNumberFormat="1" applyFont="1" applyFill="1" applyAlignment="1" applyProtection="1">
      <alignment vertical="top"/>
      <protection locked="0"/>
    </xf>
    <xf numFmtId="168" fontId="7" fillId="2" borderId="0" xfId="0" quotePrefix="1" applyNumberFormat="1" applyFont="1" applyFill="1" applyAlignment="1" applyProtection="1">
      <alignment horizontal="center"/>
    </xf>
    <xf numFmtId="168" fontId="7" fillId="2" borderId="0" xfId="0" applyNumberFormat="1" applyFont="1" applyFill="1" applyProtection="1"/>
    <xf numFmtId="0" fontId="7" fillId="2" borderId="0" xfId="0" applyFont="1" applyFill="1" applyProtection="1">
      <protection locked="0"/>
    </xf>
    <xf numFmtId="168" fontId="7" fillId="2" borderId="0" xfId="0" quotePrefix="1" applyNumberFormat="1" applyFont="1" applyFill="1" applyAlignment="1" applyProtection="1">
      <alignment horizontal="center"/>
      <protection locked="0"/>
    </xf>
    <xf numFmtId="7" fontId="7" fillId="2" borderId="0" xfId="0" applyNumberFormat="1" applyFont="1" applyFill="1" applyAlignment="1" applyProtection="1">
      <alignment horizontal="right"/>
      <protection locked="0"/>
    </xf>
    <xf numFmtId="170" fontId="7" fillId="2" borderId="0" xfId="0" quotePrefix="1" applyNumberFormat="1" applyFont="1" applyFill="1" applyAlignment="1" applyProtection="1">
      <alignment horizontal="center"/>
      <protection locked="0"/>
    </xf>
    <xf numFmtId="171" fontId="18" fillId="4" borderId="22" xfId="0" applyNumberFormat="1" applyFont="1" applyFill="1" applyBorder="1" applyAlignment="1" applyProtection="1">
      <alignment horizontal="center"/>
      <protection locked="0"/>
    </xf>
    <xf numFmtId="7" fontId="7" fillId="2" borderId="0" xfId="0" applyNumberFormat="1" applyFont="1" applyFill="1" applyAlignment="1" applyProtection="1">
      <alignment horizontal="center"/>
      <protection locked="0"/>
    </xf>
    <xf numFmtId="7" fontId="7" fillId="2" borderId="17" xfId="0" applyNumberFormat="1" applyFont="1" applyFill="1" applyBorder="1" applyAlignment="1" applyProtection="1">
      <alignment horizontal="center"/>
    </xf>
    <xf numFmtId="7" fontId="10" fillId="2" borderId="0" xfId="0" applyNumberFormat="1" applyFont="1" applyFill="1" applyAlignment="1" applyProtection="1">
      <alignment horizontal="center"/>
    </xf>
    <xf numFmtId="7" fontId="8" fillId="2" borderId="17" xfId="0" applyNumberFormat="1" applyFont="1" applyFill="1" applyBorder="1" applyAlignment="1" applyProtection="1">
      <alignment horizontal="center"/>
    </xf>
    <xf numFmtId="7" fontId="7" fillId="0" borderId="0" xfId="0" applyNumberFormat="1" applyFont="1" applyAlignment="1" applyProtection="1">
      <alignment vertical="top"/>
      <protection locked="0"/>
    </xf>
    <xf numFmtId="7" fontId="7" fillId="0" borderId="1" xfId="0" applyNumberFormat="1" applyFont="1" applyBorder="1" applyAlignment="1" applyProtection="1">
      <alignment vertical="top"/>
      <protection locked="0"/>
    </xf>
    <xf numFmtId="7" fontId="7" fillId="2" borderId="1" xfId="0" applyNumberFormat="1" applyFont="1" applyFill="1" applyBorder="1" applyAlignment="1" applyProtection="1">
      <alignment vertical="top"/>
      <protection locked="0"/>
    </xf>
    <xf numFmtId="168" fontId="26" fillId="4" borderId="0" xfId="0" applyNumberFormat="1" applyFont="1" applyFill="1" applyAlignment="1" applyProtection="1">
      <alignment horizontal="center" vertical="top"/>
      <protection locked="0"/>
    </xf>
    <xf numFmtId="7" fontId="26" fillId="4" borderId="11" xfId="0" applyNumberFormat="1" applyFont="1" applyFill="1" applyBorder="1" applyProtection="1">
      <protection locked="0"/>
    </xf>
    <xf numFmtId="7" fontId="26" fillId="4" borderId="0" xfId="0" applyNumberFormat="1" applyFont="1" applyFill="1" applyBorder="1" applyProtection="1">
      <protection locked="0"/>
    </xf>
    <xf numFmtId="44" fontId="7" fillId="4" borderId="0" xfId="0" applyNumberFormat="1" applyFont="1" applyFill="1" applyBorder="1" applyAlignment="1" applyProtection="1">
      <alignment vertical="top"/>
      <protection locked="0"/>
    </xf>
    <xf numFmtId="49" fontId="0" fillId="0" borderId="0" xfId="0" applyNumberFormat="1"/>
    <xf numFmtId="4" fontId="0" fillId="0" borderId="0" xfId="0" applyNumberFormat="1"/>
    <xf numFmtId="44" fontId="8" fillId="4" borderId="9" xfId="0" applyNumberFormat="1" applyFont="1" applyFill="1" applyBorder="1" applyAlignment="1" applyProtection="1">
      <alignment horizontal="left" vertical="top"/>
      <protection locked="0"/>
    </xf>
    <xf numFmtId="0" fontId="4" fillId="2" borderId="1" xfId="0" applyNumberFormat="1" applyFont="1" applyFill="1" applyBorder="1" applyAlignment="1" applyProtection="1">
      <alignment horizontal="right" vertical="top"/>
    </xf>
    <xf numFmtId="44" fontId="26" fillId="4" borderId="0" xfId="0" applyNumberFormat="1" applyFont="1" applyFill="1" applyBorder="1" applyAlignment="1" applyProtection="1">
      <alignment vertical="top"/>
      <protection locked="0"/>
    </xf>
    <xf numFmtId="44" fontId="26" fillId="4" borderId="6" xfId="0" applyNumberFormat="1" applyFont="1" applyFill="1" applyBorder="1" applyAlignment="1" applyProtection="1">
      <alignment vertical="top"/>
      <protection locked="0"/>
    </xf>
    <xf numFmtId="44" fontId="7" fillId="4" borderId="6" xfId="0" applyNumberFormat="1" applyFont="1" applyFill="1" applyBorder="1" applyAlignment="1" applyProtection="1">
      <alignment vertical="top"/>
      <protection locked="0"/>
    </xf>
    <xf numFmtId="44" fontId="26" fillId="4" borderId="1" xfId="0" applyNumberFormat="1" applyFont="1" applyFill="1" applyBorder="1" applyAlignment="1" applyProtection="1">
      <alignment vertical="top"/>
      <protection locked="0"/>
    </xf>
    <xf numFmtId="44" fontId="7" fillId="4" borderId="1" xfId="0" applyNumberFormat="1" applyFont="1" applyFill="1" applyBorder="1" applyAlignment="1" applyProtection="1">
      <alignment vertical="top"/>
      <protection locked="0"/>
    </xf>
    <xf numFmtId="44" fontId="7" fillId="4" borderId="10" xfId="0" applyNumberFormat="1" applyFont="1" applyFill="1" applyBorder="1" applyAlignment="1" applyProtection="1">
      <alignment vertical="top"/>
      <protection locked="0"/>
    </xf>
    <xf numFmtId="44" fontId="7" fillId="4" borderId="11" xfId="0" applyNumberFormat="1" applyFont="1" applyFill="1" applyBorder="1" applyAlignment="1" applyProtection="1">
      <alignment vertical="top"/>
      <protection locked="0"/>
    </xf>
    <xf numFmtId="44" fontId="7" fillId="4" borderId="15" xfId="0" applyNumberFormat="1" applyFont="1" applyFill="1" applyBorder="1" applyAlignment="1" applyProtection="1">
      <alignment vertical="top"/>
      <protection locked="0"/>
    </xf>
    <xf numFmtId="8" fontId="7" fillId="4" borderId="0" xfId="0" applyNumberFormat="1" applyFont="1" applyFill="1" applyAlignment="1" applyProtection="1">
      <alignment horizontal="right"/>
      <protection locked="0"/>
    </xf>
    <xf numFmtId="7" fontId="26" fillId="4" borderId="17" xfId="0" applyNumberFormat="1" applyFont="1" applyFill="1" applyBorder="1" applyProtection="1">
      <protection locked="0"/>
    </xf>
    <xf numFmtId="9" fontId="3" fillId="0" borderId="0" xfId="4" applyNumberFormat="1" applyFill="1" applyBorder="1">
      <alignment vertical="top"/>
      <protection locked="0"/>
    </xf>
    <xf numFmtId="9" fontId="7" fillId="0" borderId="0" xfId="0" applyNumberFormat="1" applyFont="1" applyFill="1" applyBorder="1" applyAlignment="1" applyProtection="1">
      <alignment vertical="top"/>
      <protection locked="0"/>
    </xf>
    <xf numFmtId="9" fontId="7" fillId="0" borderId="0" xfId="0" applyNumberFormat="1" applyFont="1" applyFill="1" applyBorder="1" applyAlignment="1" applyProtection="1">
      <alignment vertical="top"/>
    </xf>
    <xf numFmtId="9" fontId="8" fillId="0" borderId="1" xfId="0" applyNumberFormat="1" applyFont="1" applyFill="1" applyBorder="1" applyAlignment="1" applyProtection="1">
      <alignment vertical="top"/>
    </xf>
    <xf numFmtId="0" fontId="8" fillId="0" borderId="1" xfId="0" applyNumberFormat="1" applyFont="1" applyFill="1" applyBorder="1" applyAlignment="1" applyProtection="1">
      <alignment vertical="top"/>
    </xf>
    <xf numFmtId="2" fontId="0" fillId="0" borderId="0" xfId="0" applyNumberFormat="1"/>
    <xf numFmtId="0" fontId="1" fillId="6" borderId="0" xfId="0" applyFont="1" applyFill="1"/>
    <xf numFmtId="2" fontId="1" fillId="6" borderId="0" xfId="0" applyNumberFormat="1" applyFont="1" applyFill="1"/>
    <xf numFmtId="7" fontId="7" fillId="0" borderId="0" xfId="0" applyNumberFormat="1" applyFont="1" applyBorder="1" applyAlignment="1" applyProtection="1">
      <alignment vertical="top"/>
      <protection locked="0"/>
    </xf>
    <xf numFmtId="9" fontId="3" fillId="7" borderId="0" xfId="4" applyNumberFormat="1" applyFill="1" applyBorder="1">
      <alignment vertical="top"/>
      <protection locked="0"/>
    </xf>
    <xf numFmtId="9" fontId="7" fillId="7" borderId="0" xfId="0" applyNumberFormat="1" applyFont="1" applyFill="1" applyBorder="1" applyAlignment="1" applyProtection="1">
      <alignment vertical="top"/>
    </xf>
    <xf numFmtId="9" fontId="7" fillId="7" borderId="0" xfId="0" applyNumberFormat="1" applyFont="1" applyFill="1" applyBorder="1" applyAlignment="1" applyProtection="1">
      <alignment vertical="top"/>
      <protection locked="0"/>
    </xf>
    <xf numFmtId="9" fontId="10" fillId="7" borderId="0" xfId="4" applyNumberFormat="1" applyFont="1" applyFill="1" applyBorder="1" applyProtection="1">
      <alignment vertical="top"/>
      <protection locked="0"/>
    </xf>
    <xf numFmtId="0" fontId="7" fillId="7" borderId="0" xfId="0" applyNumberFormat="1" applyFont="1" applyFill="1" applyBorder="1" applyAlignment="1" applyProtection="1">
      <alignment vertical="top"/>
    </xf>
    <xf numFmtId="0" fontId="7" fillId="0" borderId="0" xfId="0" applyNumberFormat="1" applyFont="1" applyFill="1" applyAlignment="1" applyProtection="1">
      <alignment vertical="top"/>
    </xf>
    <xf numFmtId="0" fontId="7" fillId="7" borderId="11" xfId="0" applyNumberFormat="1" applyFont="1" applyFill="1" applyBorder="1" applyAlignment="1" applyProtection="1">
      <alignment horizontal="right"/>
      <protection locked="0"/>
    </xf>
    <xf numFmtId="7" fontId="8" fillId="7" borderId="0" xfId="0" applyNumberFormat="1" applyFont="1" applyFill="1" applyAlignment="1" applyProtection="1">
      <alignment vertical="top"/>
    </xf>
    <xf numFmtId="0" fontId="7" fillId="4" borderId="1" xfId="0" applyNumberFormat="1" applyFont="1" applyFill="1" applyBorder="1" applyAlignment="1" applyProtection="1">
      <alignment vertical="top"/>
      <protection locked="0"/>
    </xf>
    <xf numFmtId="0" fontId="7" fillId="0" borderId="0" xfId="0" applyFont="1" applyFill="1" applyProtection="1"/>
    <xf numFmtId="0" fontId="8" fillId="0" borderId="0" xfId="0" applyFont="1" applyFill="1" applyBorder="1" applyProtection="1"/>
    <xf numFmtId="8" fontId="7" fillId="4" borderId="0" xfId="0" applyNumberFormat="1" applyFont="1" applyFill="1" applyAlignment="1" applyProtection="1">
      <alignment horizontal="left"/>
      <protection locked="0"/>
    </xf>
    <xf numFmtId="0" fontId="7" fillId="7" borderId="0" xfId="0" applyFont="1" applyFill="1" applyBorder="1" applyProtection="1"/>
    <xf numFmtId="0" fontId="8" fillId="7" borderId="0" xfId="0" applyFont="1" applyFill="1" applyBorder="1" applyProtection="1"/>
    <xf numFmtId="0" fontId="8" fillId="7" borderId="0" xfId="0" applyFont="1" applyFill="1" applyBorder="1" applyAlignment="1" applyProtection="1">
      <alignment horizontal="right"/>
    </xf>
    <xf numFmtId="0" fontId="7" fillId="7" borderId="11" xfId="0" applyFont="1" applyFill="1" applyBorder="1" applyProtection="1"/>
    <xf numFmtId="0" fontId="7" fillId="7" borderId="0" xfId="0" applyNumberFormat="1" applyFont="1" applyFill="1" applyAlignment="1" applyProtection="1">
      <alignment vertical="top"/>
    </xf>
    <xf numFmtId="0" fontId="5" fillId="0" borderId="0" xfId="0" applyFont="1" applyFill="1" applyAlignment="1" applyProtection="1">
      <alignment horizontal="right"/>
    </xf>
    <xf numFmtId="0" fontId="0" fillId="0" borderId="0" xfId="0" applyFill="1" applyAlignment="1">
      <alignment horizontal="left"/>
    </xf>
    <xf numFmtId="8" fontId="0" fillId="0" borderId="0" xfId="0" applyNumberFormat="1" applyFill="1" applyAlignment="1">
      <alignment horizontal="left"/>
    </xf>
    <xf numFmtId="0" fontId="0" fillId="0" borderId="0" xfId="0" applyFill="1" applyBorder="1" applyAlignment="1">
      <alignment horizontal="left"/>
    </xf>
    <xf numFmtId="8" fontId="0" fillId="0" borderId="0" xfId="0" applyNumberFormat="1" applyFill="1" applyBorder="1" applyAlignment="1">
      <alignment horizontal="left"/>
    </xf>
    <xf numFmtId="7" fontId="0" fillId="0" borderId="0" xfId="0" applyNumberFormat="1" applyFill="1" applyBorder="1" applyAlignment="1">
      <alignment horizontal="left"/>
    </xf>
    <xf numFmtId="9" fontId="0" fillId="0" borderId="0" xfId="0" applyNumberFormat="1" applyFill="1" applyBorder="1" applyAlignment="1">
      <alignment horizontal="left"/>
    </xf>
    <xf numFmtId="16" fontId="8" fillId="4" borderId="3" xfId="0" applyNumberFormat="1" applyFont="1" applyFill="1" applyBorder="1" applyAlignment="1" applyProtection="1">
      <alignment horizontal="left" vertical="center" indent="1"/>
      <protection locked="0"/>
    </xf>
    <xf numFmtId="172" fontId="0" fillId="0" borderId="0" xfId="0" applyNumberFormat="1"/>
    <xf numFmtId="172" fontId="1" fillId="6" borderId="0" xfId="0" applyNumberFormat="1" applyFont="1" applyFill="1"/>
    <xf numFmtId="172" fontId="25" fillId="4" borderId="3" xfId="0" applyNumberFormat="1" applyFont="1" applyFill="1" applyBorder="1" applyAlignment="1" applyProtection="1">
      <alignment horizontal="center" vertical="top"/>
      <protection locked="0"/>
    </xf>
    <xf numFmtId="172" fontId="8" fillId="4" borderId="3" xfId="0" applyNumberFormat="1" applyFont="1" applyFill="1" applyBorder="1" applyAlignment="1" applyProtection="1">
      <alignment horizontal="center" vertical="top"/>
      <protection locked="0"/>
    </xf>
    <xf numFmtId="167" fontId="8" fillId="4" borderId="3" xfId="0" applyNumberFormat="1" applyFont="1" applyFill="1" applyBorder="1" applyAlignment="1" applyProtection="1">
      <alignment horizontal="center" vertical="center"/>
      <protection locked="0"/>
    </xf>
    <xf numFmtId="14" fontId="0" fillId="0" borderId="0" xfId="0" applyNumberFormat="1"/>
    <xf numFmtId="0" fontId="26" fillId="4" borderId="1" xfId="0" applyNumberFormat="1" applyFont="1" applyFill="1" applyBorder="1" applyAlignment="1" applyProtection="1">
      <alignment horizontal="center" vertical="top"/>
      <protection locked="0"/>
    </xf>
    <xf numFmtId="0" fontId="7" fillId="4" borderId="0" xfId="0" applyNumberFormat="1" applyFont="1" applyFill="1" applyAlignment="1" applyProtection="1">
      <alignment horizontal="center" vertical="top"/>
      <protection locked="0"/>
    </xf>
    <xf numFmtId="0" fontId="8" fillId="2" borderId="0" xfId="0" applyNumberFormat="1" applyFont="1" applyFill="1" applyAlignment="1" applyProtection="1">
      <alignment horizontal="left"/>
    </xf>
    <xf numFmtId="0" fontId="14" fillId="2" borderId="0" xfId="0" applyNumberFormat="1" applyFont="1" applyFill="1" applyAlignment="1" applyProtection="1">
      <alignment horizontal="center"/>
    </xf>
    <xf numFmtId="44" fontId="8" fillId="4" borderId="7" xfId="0" applyNumberFormat="1" applyFont="1" applyFill="1" applyBorder="1" applyAlignment="1" applyProtection="1">
      <alignment horizontal="left" vertical="top"/>
      <protection locked="0"/>
    </xf>
    <xf numFmtId="172" fontId="0" fillId="0" borderId="0" xfId="0" applyNumberFormat="1" applyFill="1"/>
    <xf numFmtId="2" fontId="0" fillId="0" borderId="0" xfId="0" applyNumberFormat="1" applyFill="1"/>
    <xf numFmtId="49" fontId="0" fillId="0" borderId="0" xfId="0" applyNumberFormat="1" applyFill="1"/>
    <xf numFmtId="0" fontId="27" fillId="8" borderId="0" xfId="0" applyFont="1" applyFill="1" applyAlignment="1" applyProtection="1">
      <alignment horizontal="left"/>
      <protection locked="0"/>
    </xf>
    <xf numFmtId="0" fontId="0" fillId="2" borderId="0" xfId="0" applyFill="1"/>
    <xf numFmtId="0" fontId="9" fillId="2" borderId="0" xfId="0" applyFont="1" applyFill="1" applyAlignment="1">
      <alignment horizontal="right"/>
    </xf>
    <xf numFmtId="0" fontId="10" fillId="8" borderId="3" xfId="0" applyFont="1" applyFill="1" applyBorder="1" applyAlignment="1" applyProtection="1">
      <alignment horizontal="center"/>
      <protection locked="0"/>
    </xf>
    <xf numFmtId="0" fontId="0" fillId="3" borderId="0" xfId="0" applyFill="1"/>
    <xf numFmtId="0" fontId="28" fillId="2" borderId="0" xfId="0" applyFont="1" applyFill="1" applyAlignment="1">
      <alignment horizontal="right"/>
    </xf>
    <xf numFmtId="0" fontId="28" fillId="8" borderId="3" xfId="0" applyFont="1" applyFill="1" applyBorder="1" applyProtection="1">
      <protection locked="0"/>
    </xf>
    <xf numFmtId="0" fontId="1" fillId="7" borderId="0" xfId="0" applyFont="1" applyFill="1" applyAlignment="1">
      <alignment horizontal="right"/>
    </xf>
    <xf numFmtId="0" fontId="29" fillId="8" borderId="3" xfId="0" applyFont="1" applyFill="1" applyBorder="1" applyProtection="1">
      <protection locked="0"/>
    </xf>
    <xf numFmtId="0" fontId="0" fillId="2" borderId="0" xfId="0" applyFill="1" applyBorder="1"/>
    <xf numFmtId="0" fontId="30" fillId="8" borderId="3" xfId="0" applyFont="1" applyFill="1" applyBorder="1" applyAlignment="1" applyProtection="1">
      <alignment wrapText="1"/>
      <protection locked="0"/>
    </xf>
    <xf numFmtId="0" fontId="0" fillId="2" borderId="0" xfId="0" applyFont="1" applyFill="1" applyAlignment="1">
      <alignment horizontal="left"/>
    </xf>
    <xf numFmtId="165" fontId="0" fillId="2" borderId="0" xfId="0" applyNumberFormat="1" applyFont="1" applyFill="1" applyBorder="1" applyAlignment="1">
      <alignment horizontal="left"/>
    </xf>
    <xf numFmtId="0" fontId="1" fillId="2" borderId="0" xfId="0" applyFont="1" applyFill="1"/>
    <xf numFmtId="14" fontId="0" fillId="8" borderId="5" xfId="0" applyNumberFormat="1" applyFill="1" applyBorder="1" applyAlignment="1" applyProtection="1">
      <alignment horizontal="center"/>
      <protection locked="0"/>
    </xf>
    <xf numFmtId="14" fontId="0" fillId="8" borderId="2" xfId="0" applyNumberFormat="1" applyFill="1" applyBorder="1" applyAlignment="1" applyProtection="1">
      <alignment horizontal="center"/>
      <protection locked="0"/>
    </xf>
    <xf numFmtId="0" fontId="0" fillId="8" borderId="4" xfId="0" applyFill="1" applyBorder="1" applyAlignment="1" applyProtection="1">
      <alignment horizontal="center"/>
      <protection locked="0"/>
    </xf>
    <xf numFmtId="0" fontId="1" fillId="2" borderId="1" xfId="0" applyFont="1" applyFill="1" applyBorder="1"/>
    <xf numFmtId="0" fontId="0" fillId="2" borderId="0" xfId="0" applyFill="1" applyAlignment="1">
      <alignment horizontal="right"/>
    </xf>
    <xf numFmtId="18" fontId="0" fillId="8" borderId="3" xfId="0" applyNumberFormat="1" applyFill="1" applyBorder="1" applyAlignment="1" applyProtection="1">
      <alignment horizontal="center"/>
      <protection locked="0"/>
    </xf>
    <xf numFmtId="0" fontId="0" fillId="2" borderId="1" xfId="0" applyNumberFormat="1" applyFill="1" applyBorder="1" applyAlignment="1">
      <alignment horizontal="center"/>
    </xf>
    <xf numFmtId="0" fontId="0" fillId="8" borderId="3" xfId="0" applyFill="1" applyBorder="1" applyProtection="1">
      <protection locked="0"/>
    </xf>
    <xf numFmtId="0" fontId="1" fillId="2" borderId="5" xfId="0" applyFont="1" applyFill="1" applyBorder="1"/>
    <xf numFmtId="0" fontId="0" fillId="2" borderId="2" xfId="0" applyFill="1" applyBorder="1" applyAlignment="1">
      <alignment horizontal="center"/>
    </xf>
    <xf numFmtId="0" fontId="0" fillId="9" borderId="3" xfId="0" applyFill="1" applyBorder="1" applyProtection="1">
      <protection locked="0"/>
    </xf>
    <xf numFmtId="0" fontId="0" fillId="7" borderId="0" xfId="0" applyFill="1" applyBorder="1" applyAlignment="1">
      <alignment horizontal="right"/>
    </xf>
    <xf numFmtId="0" fontId="0" fillId="2" borderId="8" xfId="0" applyFill="1" applyBorder="1"/>
    <xf numFmtId="0" fontId="0" fillId="10" borderId="0" xfId="0" applyFill="1" applyBorder="1" applyAlignment="1">
      <alignment horizontal="right"/>
    </xf>
    <xf numFmtId="18" fontId="0" fillId="9" borderId="3" xfId="0" applyNumberFormat="1" applyFill="1" applyBorder="1" applyAlignment="1" applyProtection="1">
      <alignment horizontal="center"/>
      <protection locked="0"/>
    </xf>
    <xf numFmtId="0" fontId="0" fillId="2" borderId="14" xfId="0" applyFill="1" applyBorder="1"/>
    <xf numFmtId="0" fontId="0" fillId="7" borderId="1" xfId="0" applyFill="1" applyBorder="1" applyAlignment="1">
      <alignment horizontal="right"/>
    </xf>
    <xf numFmtId="0" fontId="1" fillId="2" borderId="10" xfId="0" applyFont="1" applyFill="1" applyBorder="1" applyAlignment="1">
      <alignment horizontal="center"/>
    </xf>
    <xf numFmtId="0" fontId="0" fillId="7" borderId="8" xfId="0" applyFill="1" applyBorder="1" applyAlignment="1">
      <alignment horizontal="right"/>
    </xf>
    <xf numFmtId="0" fontId="15" fillId="8" borderId="3" xfId="3" applyFill="1" applyBorder="1" applyAlignment="1" applyProtection="1">
      <alignment horizontal="right"/>
      <protection locked="0"/>
    </xf>
    <xf numFmtId="0" fontId="0" fillId="10" borderId="8" xfId="0" applyFill="1" applyBorder="1" applyAlignment="1">
      <alignment horizontal="right"/>
    </xf>
    <xf numFmtId="0" fontId="29" fillId="9" borderId="3" xfId="0" applyFont="1" applyFill="1" applyBorder="1" applyProtection="1">
      <protection locked="0"/>
    </xf>
    <xf numFmtId="0" fontId="15" fillId="9" borderId="3" xfId="3" applyFill="1" applyBorder="1" applyAlignment="1" applyProtection="1">
      <alignment horizontal="right"/>
      <protection locked="0"/>
    </xf>
    <xf numFmtId="0" fontId="0" fillId="3" borderId="8" xfId="0" applyFill="1" applyBorder="1"/>
    <xf numFmtId="0" fontId="0" fillId="7" borderId="14" xfId="0" applyFill="1" applyBorder="1" applyAlignment="1">
      <alignment horizontal="right"/>
    </xf>
    <xf numFmtId="0" fontId="1" fillId="2" borderId="2" xfId="0" applyFont="1" applyFill="1" applyBorder="1"/>
    <xf numFmtId="0" fontId="0" fillId="2" borderId="2" xfId="0" applyFill="1" applyBorder="1"/>
    <xf numFmtId="0" fontId="1" fillId="2" borderId="2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center"/>
    </xf>
    <xf numFmtId="0" fontId="3" fillId="2" borderId="8" xfId="0" applyFont="1" applyFill="1" applyBorder="1"/>
    <xf numFmtId="0" fontId="0" fillId="8" borderId="3" xfId="0" applyFill="1" applyBorder="1" applyAlignment="1" applyProtection="1">
      <alignment horizontal="center"/>
      <protection locked="0"/>
    </xf>
    <xf numFmtId="0" fontId="0" fillId="10" borderId="8" xfId="0" applyFill="1" applyBorder="1"/>
    <xf numFmtId="0" fontId="0" fillId="10" borderId="0" xfId="0" applyFill="1" applyBorder="1"/>
    <xf numFmtId="0" fontId="0" fillId="9" borderId="3" xfId="0" applyFill="1" applyBorder="1" applyAlignment="1" applyProtection="1">
      <alignment horizontal="center"/>
      <protection locked="0"/>
    </xf>
    <xf numFmtId="0" fontId="0" fillId="11" borderId="3" xfId="0" applyFill="1" applyBorder="1" applyAlignment="1" applyProtection="1">
      <alignment horizontal="center"/>
      <protection locked="0"/>
    </xf>
    <xf numFmtId="0" fontId="0" fillId="2" borderId="1" xfId="0" applyFill="1" applyBorder="1"/>
    <xf numFmtId="44" fontId="3" fillId="8" borderId="3" xfId="0" applyNumberFormat="1" applyFont="1" applyFill="1" applyBorder="1" applyProtection="1">
      <protection locked="0"/>
    </xf>
    <xf numFmtId="1" fontId="3" fillId="8" borderId="3" xfId="0" applyNumberFormat="1" applyFont="1" applyFill="1" applyBorder="1" applyAlignment="1" applyProtection="1">
      <alignment horizontal="center"/>
      <protection locked="0"/>
    </xf>
    <xf numFmtId="44" fontId="3" fillId="9" borderId="3" xfId="0" applyNumberFormat="1" applyFont="1" applyFill="1" applyBorder="1" applyProtection="1">
      <protection locked="0"/>
    </xf>
    <xf numFmtId="1" fontId="3" fillId="9" borderId="3" xfId="0" applyNumberFormat="1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right"/>
    </xf>
    <xf numFmtId="44" fontId="3" fillId="2" borderId="1" xfId="0" applyNumberFormat="1" applyFont="1" applyFill="1" applyBorder="1"/>
    <xf numFmtId="1" fontId="3" fillId="2" borderId="1" xfId="0" applyNumberFormat="1" applyFont="1" applyFill="1" applyBorder="1" applyAlignment="1">
      <alignment horizontal="center"/>
    </xf>
    <xf numFmtId="0" fontId="3" fillId="2" borderId="15" xfId="0" applyFont="1" applyFill="1" applyBorder="1"/>
    <xf numFmtId="0" fontId="3" fillId="2" borderId="0" xfId="0" applyFont="1" applyFill="1"/>
    <xf numFmtId="44" fontId="3" fillId="8" borderId="3" xfId="2" applyFont="1" applyFill="1" applyBorder="1" applyProtection="1">
      <protection locked="0"/>
    </xf>
    <xf numFmtId="44" fontId="3" fillId="9" borderId="3" xfId="2" applyFont="1" applyFill="1" applyBorder="1" applyProtection="1">
      <protection locked="0"/>
    </xf>
    <xf numFmtId="0" fontId="1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2" borderId="3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4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7" fontId="8" fillId="0" borderId="0" xfId="0" applyNumberFormat="1" applyFont="1" applyFill="1" applyAlignment="1" applyProtection="1">
      <alignment horizontal="right" vertical="top"/>
    </xf>
    <xf numFmtId="0" fontId="1" fillId="2" borderId="3" xfId="0" applyFont="1" applyFill="1" applyBorder="1" applyAlignment="1">
      <alignment horizontal="left"/>
    </xf>
    <xf numFmtId="0" fontId="0" fillId="9" borderId="5" xfId="0" applyFill="1" applyBorder="1" applyAlignment="1" applyProtection="1">
      <alignment horizontal="left"/>
      <protection locked="0"/>
    </xf>
    <xf numFmtId="0" fontId="0" fillId="9" borderId="2" xfId="0" applyFill="1" applyBorder="1" applyAlignment="1" applyProtection="1">
      <alignment horizontal="left"/>
      <protection locked="0"/>
    </xf>
    <xf numFmtId="0" fontId="0" fillId="9" borderId="4" xfId="0" applyFill="1" applyBorder="1" applyAlignment="1" applyProtection="1">
      <alignment horizontal="left"/>
      <protection locked="0"/>
    </xf>
    <xf numFmtId="0" fontId="0" fillId="8" borderId="5" xfId="0" applyFill="1" applyBorder="1" applyAlignment="1" applyProtection="1">
      <alignment horizontal="left"/>
      <protection locked="0"/>
    </xf>
    <xf numFmtId="0" fontId="0" fillId="8" borderId="2" xfId="0" applyFill="1" applyBorder="1" applyAlignment="1" applyProtection="1">
      <alignment horizontal="left"/>
      <protection locked="0"/>
    </xf>
    <xf numFmtId="0" fontId="0" fillId="8" borderId="4" xfId="0" applyFill="1" applyBorder="1" applyAlignment="1" applyProtection="1">
      <alignment horizontal="left"/>
      <protection locked="0"/>
    </xf>
    <xf numFmtId="44" fontId="3" fillId="8" borderId="5" xfId="2" applyFont="1" applyFill="1" applyBorder="1" applyAlignment="1" applyProtection="1">
      <alignment horizontal="left"/>
      <protection locked="0"/>
    </xf>
    <xf numFmtId="44" fontId="3" fillId="8" borderId="2" xfId="2" applyFont="1" applyFill="1" applyBorder="1" applyAlignment="1" applyProtection="1">
      <alignment horizontal="left"/>
      <protection locked="0"/>
    </xf>
    <xf numFmtId="44" fontId="3" fillId="8" borderId="4" xfId="2" applyFont="1" applyFill="1" applyBorder="1" applyAlignment="1" applyProtection="1">
      <alignment horizontal="left"/>
      <protection locked="0"/>
    </xf>
    <xf numFmtId="44" fontId="3" fillId="9" borderId="5" xfId="2" applyFont="1" applyFill="1" applyBorder="1" applyAlignment="1" applyProtection="1">
      <alignment horizontal="left"/>
      <protection locked="0"/>
    </xf>
    <xf numFmtId="44" fontId="3" fillId="9" borderId="2" xfId="2" applyFont="1" applyFill="1" applyBorder="1" applyAlignment="1" applyProtection="1">
      <alignment horizontal="left"/>
      <protection locked="0"/>
    </xf>
    <xf numFmtId="44" fontId="3" fillId="9" borderId="4" xfId="2" applyFont="1" applyFill="1" applyBorder="1" applyAlignment="1" applyProtection="1">
      <alignment horizontal="left"/>
      <protection locked="0"/>
    </xf>
    <xf numFmtId="7" fontId="3" fillId="9" borderId="5" xfId="0" applyNumberFormat="1" applyFont="1" applyFill="1" applyBorder="1" applyAlignment="1" applyProtection="1">
      <alignment horizontal="left"/>
      <protection locked="0"/>
    </xf>
    <xf numFmtId="7" fontId="3" fillId="9" borderId="2" xfId="0" applyNumberFormat="1" applyFont="1" applyFill="1" applyBorder="1" applyAlignment="1" applyProtection="1">
      <alignment horizontal="left"/>
      <protection locked="0"/>
    </xf>
    <xf numFmtId="7" fontId="3" fillId="9" borderId="4" xfId="0" applyNumberFormat="1" applyFont="1" applyFill="1" applyBorder="1" applyAlignment="1" applyProtection="1">
      <alignment horizontal="left"/>
      <protection locked="0"/>
    </xf>
    <xf numFmtId="44" fontId="3" fillId="9" borderId="5" xfId="0" applyNumberFormat="1" applyFont="1" applyFill="1" applyBorder="1" applyAlignment="1" applyProtection="1">
      <alignment horizontal="left"/>
      <protection locked="0"/>
    </xf>
    <xf numFmtId="44" fontId="3" fillId="9" borderId="2" xfId="0" applyNumberFormat="1" applyFont="1" applyFill="1" applyBorder="1" applyAlignment="1" applyProtection="1">
      <alignment horizontal="left"/>
      <protection locked="0"/>
    </xf>
    <xf numFmtId="44" fontId="3" fillId="9" borderId="4" xfId="0" applyNumberFormat="1" applyFont="1" applyFill="1" applyBorder="1" applyAlignment="1" applyProtection="1">
      <alignment horizontal="left"/>
      <protection locked="0"/>
    </xf>
    <xf numFmtId="44" fontId="3" fillId="8" borderId="5" xfId="0" applyNumberFormat="1" applyFont="1" applyFill="1" applyBorder="1" applyAlignment="1" applyProtection="1">
      <alignment horizontal="left"/>
      <protection locked="0"/>
    </xf>
    <xf numFmtId="44" fontId="3" fillId="8" borderId="2" xfId="0" applyNumberFormat="1" applyFont="1" applyFill="1" applyBorder="1" applyAlignment="1" applyProtection="1">
      <alignment horizontal="left"/>
      <protection locked="0"/>
    </xf>
    <xf numFmtId="44" fontId="3" fillId="8" borderId="4" xfId="0" applyNumberFormat="1" applyFont="1" applyFill="1" applyBorder="1" applyAlignment="1" applyProtection="1">
      <alignment horizontal="left"/>
      <protection locked="0"/>
    </xf>
    <xf numFmtId="0" fontId="0" fillId="8" borderId="5" xfId="0" applyFont="1" applyFill="1" applyBorder="1" applyAlignment="1" applyProtection="1">
      <alignment horizontal="left"/>
      <protection locked="0"/>
    </xf>
    <xf numFmtId="0" fontId="0" fillId="8" borderId="2" xfId="0" applyFont="1" applyFill="1" applyBorder="1" applyAlignment="1" applyProtection="1">
      <alignment horizontal="left"/>
      <protection locked="0"/>
    </xf>
    <xf numFmtId="0" fontId="0" fillId="8" borderId="4" xfId="0" applyFont="1" applyFill="1" applyBorder="1" applyAlignment="1" applyProtection="1">
      <alignment horizontal="left"/>
      <protection locked="0"/>
    </xf>
    <xf numFmtId="0" fontId="0" fillId="2" borderId="0" xfId="0" applyFont="1" applyFill="1" applyAlignment="1" applyProtection="1">
      <alignment horizontal="left" wrapText="1"/>
      <protection locked="0"/>
    </xf>
    <xf numFmtId="0" fontId="0" fillId="8" borderId="7" xfId="0" applyFill="1" applyBorder="1" applyAlignment="1" applyProtection="1">
      <alignment horizontal="left"/>
      <protection locked="0"/>
    </xf>
    <xf numFmtId="0" fontId="0" fillId="8" borderId="9" xfId="0" applyFill="1" applyBorder="1" applyAlignment="1" applyProtection="1">
      <alignment horizontal="left"/>
      <protection locked="0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0" fillId="11" borderId="3" xfId="0" applyFill="1" applyBorder="1" applyAlignment="1" applyProtection="1">
      <alignment horizontal="center"/>
      <protection locked="0"/>
    </xf>
    <xf numFmtId="0" fontId="5" fillId="5" borderId="6" xfId="0" applyFont="1" applyFill="1" applyBorder="1" applyAlignment="1" applyProtection="1">
      <alignment horizontal="left" vertical="top" wrapText="1"/>
      <protection locked="0"/>
    </xf>
    <xf numFmtId="0" fontId="5" fillId="5" borderId="0" xfId="0" applyFont="1" applyFill="1" applyAlignment="1" applyProtection="1">
      <alignment horizontal="left" vertical="top" wrapText="1"/>
      <protection locked="0"/>
    </xf>
    <xf numFmtId="0" fontId="8" fillId="4" borderId="5" xfId="0" applyFont="1" applyFill="1" applyBorder="1" applyAlignment="1" applyProtection="1">
      <alignment horizontal="center"/>
      <protection locked="0"/>
    </xf>
    <xf numFmtId="0" fontId="8" fillId="4" borderId="4" xfId="0" applyFont="1" applyFill="1" applyBorder="1" applyAlignment="1" applyProtection="1">
      <alignment horizontal="center"/>
      <protection locked="0"/>
    </xf>
    <xf numFmtId="0" fontId="7" fillId="2" borderId="13" xfId="0" applyFont="1" applyFill="1" applyBorder="1" applyAlignment="1" applyProtection="1">
      <alignment horizontal="center"/>
    </xf>
    <xf numFmtId="0" fontId="7" fillId="2" borderId="10" xfId="0" applyFont="1" applyFill="1" applyBorder="1" applyAlignment="1" applyProtection="1">
      <alignment horizontal="center"/>
    </xf>
    <xf numFmtId="0" fontId="7" fillId="2" borderId="8" xfId="0" applyFont="1" applyFill="1" applyBorder="1" applyAlignment="1" applyProtection="1">
      <alignment horizontal="center"/>
    </xf>
    <xf numFmtId="0" fontId="7" fillId="2" borderId="11" xfId="0" applyFont="1" applyFill="1" applyBorder="1" applyAlignment="1" applyProtection="1">
      <alignment horizontal="center"/>
    </xf>
    <xf numFmtId="0" fontId="7" fillId="2" borderId="14" xfId="0" applyFont="1" applyFill="1" applyBorder="1" applyAlignment="1" applyProtection="1">
      <alignment horizontal="center"/>
    </xf>
    <xf numFmtId="0" fontId="7" fillId="2" borderId="15" xfId="0" applyFont="1" applyFill="1" applyBorder="1" applyAlignment="1" applyProtection="1">
      <alignment horizontal="center"/>
    </xf>
    <xf numFmtId="0" fontId="7" fillId="2" borderId="6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center"/>
    </xf>
    <xf numFmtId="0" fontId="8" fillId="4" borderId="13" xfId="0" applyFont="1" applyFill="1" applyBorder="1" applyAlignment="1" applyProtection="1">
      <alignment horizontal="center"/>
      <protection locked="0"/>
    </xf>
    <xf numFmtId="0" fontId="8" fillId="4" borderId="6" xfId="0" applyFont="1" applyFill="1" applyBorder="1" applyAlignment="1" applyProtection="1">
      <alignment horizontal="center"/>
      <protection locked="0"/>
    </xf>
    <xf numFmtId="0" fontId="8" fillId="4" borderId="10" xfId="0" applyFont="1" applyFill="1" applyBorder="1" applyAlignment="1" applyProtection="1">
      <alignment horizontal="center"/>
      <protection locked="0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561975</xdr:colOff>
      <xdr:row>3</xdr:row>
      <xdr:rowOff>219075</xdr:rowOff>
    </xdr:from>
    <xdr:to>
      <xdr:col>8</xdr:col>
      <xdr:colOff>2190750</xdr:colOff>
      <xdr:row>4</xdr:row>
      <xdr:rowOff>142875</xdr:rowOff>
    </xdr:to>
    <xdr:pic>
      <xdr:nvPicPr>
        <xdr:cNvPr id="12365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8125" y="866775"/>
          <a:ext cx="16287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38100</xdr:rowOff>
    </xdr:from>
    <xdr:to>
      <xdr:col>0</xdr:col>
      <xdr:colOff>1704975</xdr:colOff>
      <xdr:row>0</xdr:row>
      <xdr:rowOff>285750</xdr:rowOff>
    </xdr:to>
    <xdr:pic>
      <xdr:nvPicPr>
        <xdr:cNvPr id="2241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8100"/>
          <a:ext cx="16287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66675</xdr:rowOff>
    </xdr:from>
    <xdr:to>
      <xdr:col>2</xdr:col>
      <xdr:colOff>1628775</xdr:colOff>
      <xdr:row>0</xdr:row>
      <xdr:rowOff>314325</xdr:rowOff>
    </xdr:to>
    <xdr:pic>
      <xdr:nvPicPr>
        <xdr:cNvPr id="3258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0625" y="66675"/>
          <a:ext cx="16287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28575</xdr:rowOff>
    </xdr:from>
    <xdr:to>
      <xdr:col>0</xdr:col>
      <xdr:colOff>1247775</xdr:colOff>
      <xdr:row>1</xdr:row>
      <xdr:rowOff>47625</xdr:rowOff>
    </xdr:to>
    <xdr:pic>
      <xdr:nvPicPr>
        <xdr:cNvPr id="11420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8575"/>
          <a:ext cx="11906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zoomScale="75" zoomScaleNormal="75" workbookViewId="0">
      <selection activeCell="D1" sqref="D1"/>
    </sheetView>
  </sheetViews>
  <sheetFormatPr defaultColWidth="11.42578125" defaultRowHeight="12.75"/>
  <cols>
    <col min="1" max="1" width="21.28515625" style="289" customWidth="1"/>
    <col min="2" max="2" width="15.28515625" style="289" customWidth="1"/>
    <col min="3" max="3" width="10.28515625" style="289" customWidth="1"/>
    <col min="4" max="7" width="12.7109375" style="289" customWidth="1"/>
    <col min="8" max="8" width="11.7109375" style="289" customWidth="1"/>
    <col min="9" max="9" width="43.28515625" style="289" customWidth="1"/>
    <col min="10" max="16384" width="11.42578125" style="289"/>
  </cols>
  <sheetData>
    <row r="1" spans="1:9" ht="25.5">
      <c r="A1" s="285" t="s">
        <v>606</v>
      </c>
      <c r="B1" s="285"/>
      <c r="C1" s="285"/>
      <c r="D1" s="286"/>
      <c r="E1" s="286"/>
      <c r="F1" s="286"/>
      <c r="G1" s="286"/>
      <c r="H1" s="287" t="s">
        <v>485</v>
      </c>
      <c r="I1" s="288" t="s">
        <v>486</v>
      </c>
    </row>
    <row r="2" spans="1:9" ht="12.95" customHeight="1">
      <c r="A2" s="286"/>
      <c r="B2" s="286"/>
      <c r="C2" s="286"/>
      <c r="D2" s="286"/>
      <c r="E2" s="286"/>
      <c r="F2" s="286"/>
      <c r="G2" s="286"/>
      <c r="H2" s="290" t="s">
        <v>487</v>
      </c>
      <c r="I2" s="291"/>
    </row>
    <row r="3" spans="1:9">
      <c r="A3" s="292" t="s">
        <v>488</v>
      </c>
      <c r="B3" s="293" t="s">
        <v>614</v>
      </c>
      <c r="C3" s="286"/>
      <c r="D3" s="286"/>
      <c r="E3" s="286"/>
      <c r="F3" s="286"/>
      <c r="G3" s="286"/>
      <c r="H3" s="292"/>
      <c r="I3" s="294"/>
    </row>
    <row r="4" spans="1:9" ht="25.5" customHeight="1">
      <c r="A4" s="292" t="s">
        <v>489</v>
      </c>
      <c r="B4" s="295" t="s">
        <v>608</v>
      </c>
      <c r="C4" s="286"/>
      <c r="D4" s="286"/>
      <c r="E4" s="286"/>
      <c r="F4" s="286"/>
      <c r="G4" s="286"/>
      <c r="H4" s="296"/>
      <c r="I4" s="297"/>
    </row>
    <row r="5" spans="1:9" ht="25.5" customHeight="1">
      <c r="A5" s="292" t="s">
        <v>490</v>
      </c>
      <c r="B5" s="295" t="s">
        <v>609</v>
      </c>
      <c r="C5" s="286"/>
      <c r="D5" s="286"/>
      <c r="E5" s="286"/>
      <c r="F5" s="286"/>
      <c r="G5" s="286"/>
      <c r="H5" s="296"/>
      <c r="I5" s="297"/>
    </row>
    <row r="6" spans="1:9">
      <c r="A6" s="298"/>
      <c r="B6" s="286"/>
      <c r="C6" s="286"/>
      <c r="D6" s="286"/>
      <c r="E6" s="286"/>
      <c r="F6" s="286"/>
      <c r="G6" s="286"/>
      <c r="H6" s="292"/>
      <c r="I6" s="294"/>
    </row>
    <row r="7" spans="1:9">
      <c r="A7" s="351" t="s">
        <v>532</v>
      </c>
      <c r="B7" s="351" t="s">
        <v>533</v>
      </c>
      <c r="C7" s="352" t="s">
        <v>534</v>
      </c>
      <c r="D7" s="286"/>
      <c r="E7" s="286"/>
      <c r="F7" s="286"/>
      <c r="G7" s="286"/>
      <c r="H7" s="292"/>
      <c r="I7" s="294"/>
    </row>
    <row r="8" spans="1:9">
      <c r="A8" s="299">
        <v>41712</v>
      </c>
      <c r="B8" s="300">
        <v>41712</v>
      </c>
      <c r="C8" s="301">
        <v>1</v>
      </c>
      <c r="D8" s="286"/>
      <c r="E8" s="286"/>
      <c r="F8" s="286"/>
      <c r="G8" s="286"/>
      <c r="H8" s="286"/>
      <c r="I8" s="302" t="s">
        <v>535</v>
      </c>
    </row>
    <row r="9" spans="1:9">
      <c r="A9" s="303" t="s">
        <v>491</v>
      </c>
      <c r="B9" s="304"/>
      <c r="C9" s="305"/>
      <c r="D9" s="286"/>
      <c r="E9" s="286"/>
      <c r="F9" s="286"/>
      <c r="G9" s="286"/>
      <c r="H9" s="286"/>
      <c r="I9" s="380" t="s">
        <v>615</v>
      </c>
    </row>
    <row r="10" spans="1:9">
      <c r="A10" s="307" t="s">
        <v>492</v>
      </c>
      <c r="B10" s="349" t="s">
        <v>526</v>
      </c>
      <c r="C10" s="349" t="s">
        <v>527</v>
      </c>
      <c r="D10" s="349" t="s">
        <v>528</v>
      </c>
      <c r="E10" s="349" t="s">
        <v>529</v>
      </c>
      <c r="F10" s="349" t="s">
        <v>530</v>
      </c>
      <c r="G10" s="349" t="s">
        <v>531</v>
      </c>
      <c r="H10" s="286"/>
      <c r="I10" s="381"/>
    </row>
    <row r="11" spans="1:9">
      <c r="A11" s="310" t="s">
        <v>493</v>
      </c>
      <c r="B11" s="304"/>
      <c r="C11" s="304"/>
      <c r="D11" s="304"/>
      <c r="E11" s="304"/>
      <c r="F11" s="304"/>
      <c r="G11" s="304"/>
      <c r="H11" s="286"/>
      <c r="I11" s="306"/>
    </row>
    <row r="12" spans="1:9">
      <c r="A12" s="312" t="s">
        <v>494</v>
      </c>
      <c r="B12" s="313"/>
      <c r="C12" s="313"/>
      <c r="D12" s="313"/>
      <c r="E12" s="313"/>
      <c r="F12" s="313"/>
      <c r="G12" s="313"/>
      <c r="H12" s="286"/>
      <c r="I12" s="309"/>
    </row>
    <row r="13" spans="1:9">
      <c r="A13" s="310" t="s">
        <v>495</v>
      </c>
      <c r="B13" s="313"/>
      <c r="C13" s="304"/>
      <c r="D13" s="304"/>
      <c r="E13" s="304"/>
      <c r="F13" s="304"/>
      <c r="G13" s="304"/>
      <c r="H13" s="286"/>
      <c r="I13" s="302" t="s">
        <v>536</v>
      </c>
    </row>
    <row r="14" spans="1:9">
      <c r="A14" s="312" t="s">
        <v>496</v>
      </c>
      <c r="B14" s="313"/>
      <c r="C14" s="313"/>
      <c r="D14" s="313"/>
      <c r="E14" s="313"/>
      <c r="F14" s="313"/>
      <c r="G14" s="313"/>
      <c r="H14" s="286"/>
      <c r="I14" s="380"/>
    </row>
    <row r="15" spans="1:9">
      <c r="A15" s="310" t="s">
        <v>497</v>
      </c>
      <c r="B15" s="304" t="s">
        <v>616</v>
      </c>
      <c r="C15" s="304"/>
      <c r="D15" s="304"/>
      <c r="E15" s="304"/>
      <c r="F15" s="304"/>
      <c r="G15" s="304"/>
      <c r="H15" s="286"/>
      <c r="I15" s="381"/>
    </row>
    <row r="16" spans="1:9">
      <c r="A16" s="312" t="s">
        <v>498</v>
      </c>
      <c r="B16" s="313"/>
      <c r="C16" s="313"/>
      <c r="D16" s="313"/>
      <c r="E16" s="313"/>
      <c r="F16" s="313"/>
      <c r="G16" s="313"/>
      <c r="H16" s="286"/>
      <c r="I16" s="306"/>
    </row>
    <row r="17" spans="1:10">
      <c r="A17" s="315" t="s">
        <v>499</v>
      </c>
      <c r="B17" s="304"/>
      <c r="C17" s="304"/>
      <c r="D17" s="304"/>
      <c r="E17" s="304"/>
      <c r="F17" s="304"/>
      <c r="G17" s="304"/>
      <c r="H17" s="286"/>
      <c r="I17" s="309"/>
    </row>
    <row r="18" spans="1:10">
      <c r="A18" s="286"/>
      <c r="B18" s="286"/>
      <c r="C18" s="286"/>
      <c r="D18" s="286"/>
      <c r="E18" s="286"/>
      <c r="F18" s="286"/>
      <c r="G18" s="286"/>
      <c r="H18" s="286"/>
      <c r="I18" s="286"/>
    </row>
    <row r="19" spans="1:10">
      <c r="A19" s="382" t="s">
        <v>500</v>
      </c>
      <c r="B19" s="382"/>
      <c r="C19" s="382"/>
      <c r="D19" s="382"/>
      <c r="E19" s="382"/>
      <c r="F19" s="382"/>
      <c r="G19" s="382"/>
      <c r="H19" s="350" t="s">
        <v>537</v>
      </c>
      <c r="I19" s="316" t="s">
        <v>538</v>
      </c>
    </row>
    <row r="20" spans="1:10">
      <c r="A20" s="317" t="s">
        <v>501</v>
      </c>
      <c r="B20" s="358"/>
      <c r="C20" s="359"/>
      <c r="D20" s="359"/>
      <c r="E20" s="359"/>
      <c r="F20" s="359"/>
      <c r="G20" s="360"/>
      <c r="H20" s="293"/>
      <c r="I20" s="318"/>
    </row>
    <row r="21" spans="1:10">
      <c r="A21" s="319" t="s">
        <v>502</v>
      </c>
      <c r="B21" s="355"/>
      <c r="C21" s="356"/>
      <c r="D21" s="356"/>
      <c r="E21" s="356"/>
      <c r="F21" s="356"/>
      <c r="G21" s="357"/>
      <c r="H21" s="320"/>
      <c r="I21" s="321"/>
    </row>
    <row r="22" spans="1:10">
      <c r="A22" s="317" t="s">
        <v>503</v>
      </c>
      <c r="B22" s="358"/>
      <c r="C22" s="359"/>
      <c r="D22" s="359"/>
      <c r="E22" s="359"/>
      <c r="F22" s="359"/>
      <c r="G22" s="360"/>
      <c r="H22" s="293"/>
      <c r="I22" s="318"/>
    </row>
    <row r="23" spans="1:10">
      <c r="A23" s="319" t="s">
        <v>504</v>
      </c>
      <c r="B23" s="355"/>
      <c r="C23" s="356"/>
      <c r="D23" s="356"/>
      <c r="E23" s="356"/>
      <c r="F23" s="356"/>
      <c r="G23" s="357"/>
      <c r="H23" s="320"/>
      <c r="I23" s="321"/>
    </row>
    <row r="24" spans="1:10">
      <c r="A24" s="317" t="s">
        <v>505</v>
      </c>
      <c r="B24" s="358"/>
      <c r="C24" s="359"/>
      <c r="D24" s="359"/>
      <c r="E24" s="359"/>
      <c r="F24" s="359"/>
      <c r="G24" s="360"/>
      <c r="H24" s="293"/>
      <c r="I24" s="318"/>
      <c r="J24" s="322"/>
    </row>
    <row r="25" spans="1:10">
      <c r="A25" s="319" t="s">
        <v>506</v>
      </c>
      <c r="B25" s="355"/>
      <c r="C25" s="356"/>
      <c r="D25" s="356"/>
      <c r="E25" s="356"/>
      <c r="F25" s="356"/>
      <c r="G25" s="357"/>
      <c r="H25" s="320"/>
      <c r="I25" s="321"/>
    </row>
    <row r="26" spans="1:10">
      <c r="A26" s="323" t="s">
        <v>507</v>
      </c>
      <c r="B26" s="358"/>
      <c r="C26" s="359"/>
      <c r="D26" s="359"/>
      <c r="E26" s="359"/>
      <c r="F26" s="359"/>
      <c r="G26" s="360"/>
      <c r="H26" s="293"/>
      <c r="I26" s="318"/>
    </row>
    <row r="27" spans="1:10">
      <c r="A27" s="324"/>
      <c r="B27" s="325"/>
      <c r="C27" s="325"/>
      <c r="D27" s="308"/>
      <c r="E27" s="308"/>
      <c r="F27" s="308"/>
      <c r="G27" s="308"/>
      <c r="H27" s="326"/>
      <c r="I27" s="325"/>
    </row>
    <row r="28" spans="1:10">
      <c r="A28" s="354" t="s">
        <v>508</v>
      </c>
      <c r="B28" s="354"/>
      <c r="C28" s="354"/>
      <c r="D28" s="327" t="s">
        <v>539</v>
      </c>
      <c r="E28" s="383" t="s">
        <v>509</v>
      </c>
      <c r="F28" s="384"/>
      <c r="G28" s="384"/>
      <c r="H28" s="384"/>
      <c r="I28" s="385"/>
    </row>
    <row r="29" spans="1:10">
      <c r="A29" s="328" t="s">
        <v>510</v>
      </c>
      <c r="B29" s="294"/>
      <c r="C29" s="294"/>
      <c r="D29" s="329" t="s">
        <v>617</v>
      </c>
      <c r="E29" s="358"/>
      <c r="F29" s="359"/>
      <c r="G29" s="359"/>
      <c r="H29" s="359"/>
      <c r="I29" s="360"/>
    </row>
    <row r="30" spans="1:10">
      <c r="A30" s="330" t="s">
        <v>511</v>
      </c>
      <c r="B30" s="331"/>
      <c r="C30" s="331"/>
      <c r="D30" s="332" t="s">
        <v>617</v>
      </c>
      <c r="E30" s="367" t="s">
        <v>618</v>
      </c>
      <c r="F30" s="368"/>
      <c r="G30" s="368"/>
      <c r="H30" s="368"/>
      <c r="I30" s="369"/>
    </row>
    <row r="31" spans="1:10">
      <c r="A31" s="311" t="s">
        <v>512</v>
      </c>
      <c r="B31" s="294"/>
      <c r="C31" s="294"/>
      <c r="D31" s="329" t="s">
        <v>617</v>
      </c>
      <c r="E31" s="358" t="s">
        <v>618</v>
      </c>
      <c r="F31" s="359"/>
      <c r="G31" s="359"/>
      <c r="H31" s="359"/>
      <c r="I31" s="360"/>
    </row>
    <row r="32" spans="1:10">
      <c r="A32" s="330" t="s">
        <v>513</v>
      </c>
      <c r="B32" s="331"/>
      <c r="C32" s="331"/>
      <c r="D32" s="332" t="s">
        <v>617</v>
      </c>
      <c r="E32" s="367" t="s">
        <v>618</v>
      </c>
      <c r="F32" s="368"/>
      <c r="G32" s="368"/>
      <c r="H32" s="368"/>
      <c r="I32" s="369"/>
    </row>
    <row r="33" spans="1:9">
      <c r="A33" s="311" t="s">
        <v>514</v>
      </c>
      <c r="B33" s="294"/>
      <c r="C33" s="294"/>
      <c r="D33" s="329" t="s">
        <v>617</v>
      </c>
      <c r="E33" s="358" t="s">
        <v>619</v>
      </c>
      <c r="F33" s="359"/>
      <c r="G33" s="359"/>
      <c r="H33" s="359"/>
      <c r="I33" s="360"/>
    </row>
    <row r="34" spans="1:9">
      <c r="A34" s="330" t="s">
        <v>515</v>
      </c>
      <c r="B34" s="331"/>
      <c r="C34" s="331"/>
      <c r="D34" s="332" t="s">
        <v>617</v>
      </c>
      <c r="E34" s="367"/>
      <c r="F34" s="368"/>
      <c r="G34" s="368"/>
      <c r="H34" s="368"/>
      <c r="I34" s="369"/>
    </row>
    <row r="35" spans="1:9">
      <c r="A35" s="311" t="s">
        <v>516</v>
      </c>
      <c r="B35" s="294"/>
      <c r="C35" s="294"/>
      <c r="D35" s="329" t="s">
        <v>617</v>
      </c>
      <c r="E35" s="358"/>
      <c r="F35" s="359"/>
      <c r="G35" s="359"/>
      <c r="H35" s="359"/>
      <c r="I35" s="360"/>
    </row>
    <row r="36" spans="1:9">
      <c r="A36" s="330" t="s">
        <v>517</v>
      </c>
      <c r="B36" s="331"/>
      <c r="C36" s="331"/>
      <c r="D36" s="332" t="s">
        <v>617</v>
      </c>
      <c r="E36" s="367"/>
      <c r="F36" s="368"/>
      <c r="G36" s="368"/>
      <c r="H36" s="368"/>
      <c r="I36" s="369"/>
    </row>
    <row r="37" spans="1:9">
      <c r="A37" s="311" t="s">
        <v>518</v>
      </c>
      <c r="B37" s="294"/>
      <c r="C37" s="294"/>
      <c r="D37" s="329" t="s">
        <v>617</v>
      </c>
      <c r="E37" s="358"/>
      <c r="F37" s="359"/>
      <c r="G37" s="359"/>
      <c r="H37" s="359"/>
      <c r="I37" s="360"/>
    </row>
    <row r="38" spans="1:9">
      <c r="A38" s="330" t="s">
        <v>519</v>
      </c>
      <c r="B38" s="331"/>
      <c r="C38" s="331"/>
      <c r="D38" s="332" t="s">
        <v>620</v>
      </c>
      <c r="E38" s="367"/>
      <c r="F38" s="368"/>
      <c r="G38" s="368"/>
      <c r="H38" s="368"/>
      <c r="I38" s="369"/>
    </row>
    <row r="39" spans="1:9">
      <c r="A39" s="311" t="s">
        <v>520</v>
      </c>
      <c r="B39" s="294"/>
      <c r="C39" s="294"/>
      <c r="D39" s="333" t="s">
        <v>617</v>
      </c>
      <c r="E39" s="358"/>
      <c r="F39" s="359"/>
      <c r="G39" s="359"/>
      <c r="H39" s="359"/>
      <c r="I39" s="360"/>
    </row>
    <row r="40" spans="1:9">
      <c r="A40" s="330" t="s">
        <v>521</v>
      </c>
      <c r="B40" s="331"/>
      <c r="C40" s="331"/>
      <c r="D40" s="332" t="s">
        <v>617</v>
      </c>
      <c r="E40" s="367"/>
      <c r="F40" s="368"/>
      <c r="G40" s="368"/>
      <c r="H40" s="368"/>
      <c r="I40" s="369"/>
    </row>
    <row r="41" spans="1:9">
      <c r="A41" s="314" t="s">
        <v>522</v>
      </c>
      <c r="B41" s="334"/>
      <c r="C41" s="334"/>
      <c r="D41" s="333" t="s">
        <v>617</v>
      </c>
      <c r="E41" s="386"/>
      <c r="F41" s="386"/>
      <c r="G41" s="386"/>
      <c r="H41" s="386"/>
      <c r="I41" s="386"/>
    </row>
    <row r="42" spans="1:9">
      <c r="A42" s="286"/>
      <c r="B42" s="286"/>
      <c r="C42" s="286"/>
      <c r="D42" s="286"/>
      <c r="E42" s="286"/>
      <c r="F42" s="286"/>
      <c r="G42" s="286"/>
      <c r="H42" s="286"/>
      <c r="I42" s="286"/>
    </row>
    <row r="43" spans="1:9">
      <c r="A43" s="354" t="s">
        <v>523</v>
      </c>
      <c r="B43" s="354"/>
      <c r="C43" s="354"/>
      <c r="D43" s="350" t="s">
        <v>540</v>
      </c>
      <c r="E43" s="350" t="s">
        <v>541</v>
      </c>
      <c r="F43" s="383" t="s">
        <v>509</v>
      </c>
      <c r="G43" s="384"/>
      <c r="H43" s="384"/>
      <c r="I43" s="385"/>
    </row>
    <row r="44" spans="1:9">
      <c r="A44" s="358" t="s">
        <v>621</v>
      </c>
      <c r="B44" s="359"/>
      <c r="C44" s="360"/>
      <c r="D44" s="335">
        <v>748.5</v>
      </c>
      <c r="E44" s="336"/>
      <c r="F44" s="376" t="s">
        <v>622</v>
      </c>
      <c r="G44" s="377"/>
      <c r="H44" s="377"/>
      <c r="I44" s="378"/>
    </row>
    <row r="45" spans="1:9">
      <c r="A45" s="355"/>
      <c r="B45" s="356"/>
      <c r="C45" s="357"/>
      <c r="D45" s="337"/>
      <c r="E45" s="338"/>
      <c r="F45" s="370"/>
      <c r="G45" s="371"/>
      <c r="H45" s="371"/>
      <c r="I45" s="372"/>
    </row>
    <row r="46" spans="1:9">
      <c r="A46" s="358"/>
      <c r="B46" s="359"/>
      <c r="C46" s="360"/>
      <c r="D46" s="335"/>
      <c r="E46" s="336"/>
      <c r="F46" s="376"/>
      <c r="G46" s="377"/>
      <c r="H46" s="377"/>
      <c r="I46" s="378"/>
    </row>
    <row r="47" spans="1:9">
      <c r="A47" s="355"/>
      <c r="B47" s="356"/>
      <c r="C47" s="357"/>
      <c r="D47" s="337"/>
      <c r="E47" s="338"/>
      <c r="F47" s="370"/>
      <c r="G47" s="371"/>
      <c r="H47" s="371"/>
      <c r="I47" s="372"/>
    </row>
    <row r="48" spans="1:9">
      <c r="A48" s="358"/>
      <c r="B48" s="359"/>
      <c r="C48" s="360"/>
      <c r="D48" s="335"/>
      <c r="E48" s="336"/>
      <c r="F48" s="376"/>
      <c r="G48" s="377"/>
      <c r="H48" s="377"/>
      <c r="I48" s="378"/>
    </row>
    <row r="49" spans="1:9">
      <c r="A49" s="355"/>
      <c r="B49" s="356"/>
      <c r="C49" s="357"/>
      <c r="D49" s="337"/>
      <c r="E49" s="338"/>
      <c r="F49" s="370"/>
      <c r="G49" s="371"/>
      <c r="H49" s="371"/>
      <c r="I49" s="372"/>
    </row>
    <row r="50" spans="1:9">
      <c r="A50" s="358"/>
      <c r="B50" s="359"/>
      <c r="C50" s="360"/>
      <c r="D50" s="335"/>
      <c r="E50" s="336"/>
      <c r="F50" s="376"/>
      <c r="G50" s="377"/>
      <c r="H50" s="377"/>
      <c r="I50" s="378"/>
    </row>
    <row r="51" spans="1:9">
      <c r="A51" s="355"/>
      <c r="B51" s="356"/>
      <c r="C51" s="357"/>
      <c r="D51" s="337"/>
      <c r="E51" s="338"/>
      <c r="F51" s="370"/>
      <c r="G51" s="371"/>
      <c r="H51" s="371"/>
      <c r="I51" s="372"/>
    </row>
    <row r="52" spans="1:9">
      <c r="A52" s="358"/>
      <c r="B52" s="359"/>
      <c r="C52" s="360"/>
      <c r="D52" s="335"/>
      <c r="E52" s="336"/>
      <c r="F52" s="376"/>
      <c r="G52" s="377"/>
      <c r="H52" s="377"/>
      <c r="I52" s="378"/>
    </row>
    <row r="53" spans="1:9">
      <c r="A53" s="355"/>
      <c r="B53" s="356"/>
      <c r="C53" s="357"/>
      <c r="D53" s="337"/>
      <c r="E53" s="338"/>
      <c r="F53" s="370"/>
      <c r="G53" s="371"/>
      <c r="H53" s="371"/>
      <c r="I53" s="372"/>
    </row>
    <row r="54" spans="1:9">
      <c r="A54" s="358"/>
      <c r="B54" s="359"/>
      <c r="C54" s="360"/>
      <c r="D54" s="335"/>
      <c r="E54" s="336"/>
      <c r="F54" s="376"/>
      <c r="G54" s="377"/>
      <c r="H54" s="377"/>
      <c r="I54" s="378"/>
    </row>
    <row r="55" spans="1:9">
      <c r="A55" s="355"/>
      <c r="B55" s="356"/>
      <c r="C55" s="357"/>
      <c r="D55" s="337"/>
      <c r="E55" s="338"/>
      <c r="F55" s="370"/>
      <c r="G55" s="371"/>
      <c r="H55" s="371"/>
      <c r="I55" s="372"/>
    </row>
    <row r="56" spans="1:9">
      <c r="A56" s="358"/>
      <c r="B56" s="359"/>
      <c r="C56" s="360"/>
      <c r="D56" s="335"/>
      <c r="E56" s="336"/>
      <c r="F56" s="376"/>
      <c r="G56" s="377"/>
      <c r="H56" s="377"/>
      <c r="I56" s="378"/>
    </row>
    <row r="57" spans="1:9">
      <c r="A57" s="355"/>
      <c r="B57" s="356"/>
      <c r="C57" s="357"/>
      <c r="D57" s="337"/>
      <c r="E57" s="338"/>
      <c r="F57" s="370"/>
      <c r="G57" s="371"/>
      <c r="H57" s="371"/>
      <c r="I57" s="372"/>
    </row>
    <row r="58" spans="1:9">
      <c r="A58" s="358"/>
      <c r="B58" s="359"/>
      <c r="C58" s="360"/>
      <c r="D58" s="335"/>
      <c r="E58" s="336"/>
      <c r="F58" s="373"/>
      <c r="G58" s="374"/>
      <c r="H58" s="374"/>
      <c r="I58" s="375"/>
    </row>
    <row r="59" spans="1:9">
      <c r="A59" s="314"/>
      <c r="B59" s="334"/>
      <c r="C59" s="339" t="s">
        <v>524</v>
      </c>
      <c r="D59" s="340">
        <f>SUM(D44:D58)</f>
        <v>748.5</v>
      </c>
      <c r="E59" s="340"/>
      <c r="F59" s="340"/>
      <c r="G59" s="340"/>
      <c r="H59" s="341"/>
      <c r="I59" s="342"/>
    </row>
    <row r="60" spans="1:9">
      <c r="A60" s="286"/>
      <c r="B60" s="286"/>
      <c r="C60" s="343"/>
      <c r="D60" s="343"/>
      <c r="E60" s="343"/>
      <c r="F60" s="343"/>
      <c r="G60" s="343"/>
      <c r="H60" s="343"/>
      <c r="I60" s="343"/>
    </row>
    <row r="61" spans="1:9">
      <c r="A61" s="354" t="s">
        <v>525</v>
      </c>
      <c r="B61" s="354"/>
      <c r="C61" s="354"/>
      <c r="D61" s="350" t="s">
        <v>540</v>
      </c>
      <c r="E61" s="354" t="s">
        <v>509</v>
      </c>
      <c r="F61" s="354"/>
      <c r="G61" s="354"/>
      <c r="H61" s="354"/>
      <c r="I61" s="354"/>
    </row>
    <row r="62" spans="1:9">
      <c r="A62" s="358" t="s">
        <v>623</v>
      </c>
      <c r="B62" s="359"/>
      <c r="C62" s="360"/>
      <c r="D62" s="344">
        <v>8843.07</v>
      </c>
      <c r="E62" s="361"/>
      <c r="F62" s="362"/>
      <c r="G62" s="362"/>
      <c r="H62" s="362"/>
      <c r="I62" s="363"/>
    </row>
    <row r="63" spans="1:9">
      <c r="A63" s="355" t="s">
        <v>624</v>
      </c>
      <c r="B63" s="356"/>
      <c r="C63" s="357"/>
      <c r="D63" s="345">
        <v>5298.29</v>
      </c>
      <c r="E63" s="364"/>
      <c r="F63" s="365"/>
      <c r="G63" s="365"/>
      <c r="H63" s="365"/>
      <c r="I63" s="366"/>
    </row>
    <row r="64" spans="1:9">
      <c r="A64" s="358"/>
      <c r="B64" s="359"/>
      <c r="C64" s="360"/>
      <c r="D64" s="344">
        <v>0</v>
      </c>
      <c r="E64" s="361"/>
      <c r="F64" s="362"/>
      <c r="G64" s="362"/>
      <c r="H64" s="362"/>
      <c r="I64" s="363"/>
    </row>
    <row r="65" spans="1:9">
      <c r="A65" s="355"/>
      <c r="B65" s="356"/>
      <c r="C65" s="357"/>
      <c r="D65" s="345">
        <v>0</v>
      </c>
      <c r="E65" s="364"/>
      <c r="F65" s="365"/>
      <c r="G65" s="365"/>
      <c r="H65" s="365"/>
      <c r="I65" s="366"/>
    </row>
    <row r="66" spans="1:9">
      <c r="A66" s="358"/>
      <c r="B66" s="359"/>
      <c r="C66" s="360"/>
      <c r="D66" s="344">
        <v>0</v>
      </c>
      <c r="E66" s="361"/>
      <c r="F66" s="362"/>
      <c r="G66" s="362"/>
      <c r="H66" s="362"/>
      <c r="I66" s="363"/>
    </row>
    <row r="67" spans="1:9">
      <c r="A67" s="355"/>
      <c r="B67" s="356"/>
      <c r="C67" s="357"/>
      <c r="D67" s="345">
        <v>0</v>
      </c>
      <c r="E67" s="364"/>
      <c r="F67" s="365"/>
      <c r="G67" s="365"/>
      <c r="H67" s="365"/>
      <c r="I67" s="366"/>
    </row>
    <row r="68" spans="1:9">
      <c r="A68" s="358"/>
      <c r="B68" s="359"/>
      <c r="C68" s="360"/>
      <c r="D68" s="344">
        <v>0</v>
      </c>
      <c r="E68" s="361"/>
      <c r="F68" s="362"/>
      <c r="G68" s="362"/>
      <c r="H68" s="362"/>
      <c r="I68" s="363"/>
    </row>
    <row r="69" spans="1:9">
      <c r="A69" s="355"/>
      <c r="B69" s="356"/>
      <c r="C69" s="357"/>
      <c r="D69" s="345">
        <v>0</v>
      </c>
      <c r="E69" s="364"/>
      <c r="F69" s="365"/>
      <c r="G69" s="365"/>
      <c r="H69" s="365"/>
      <c r="I69" s="366"/>
    </row>
    <row r="70" spans="1:9">
      <c r="A70" s="358"/>
      <c r="B70" s="359"/>
      <c r="C70" s="360"/>
      <c r="D70" s="344">
        <v>0</v>
      </c>
      <c r="E70" s="361"/>
      <c r="F70" s="362"/>
      <c r="G70" s="362"/>
      <c r="H70" s="362"/>
      <c r="I70" s="363"/>
    </row>
    <row r="71" spans="1:9">
      <c r="A71" s="314"/>
      <c r="B71" s="334"/>
      <c r="C71" s="339" t="s">
        <v>524</v>
      </c>
      <c r="D71" s="340">
        <f>SUM(D62:D70)</f>
        <v>14141.36</v>
      </c>
      <c r="E71" s="340"/>
      <c r="F71" s="340"/>
      <c r="G71" s="340"/>
      <c r="H71" s="341"/>
      <c r="I71" s="342"/>
    </row>
    <row r="73" spans="1:9">
      <c r="A73" s="346" t="s">
        <v>542</v>
      </c>
      <c r="B73" s="347"/>
      <c r="C73" s="347"/>
      <c r="D73" s="347"/>
      <c r="E73" s="347"/>
      <c r="F73" s="347"/>
      <c r="G73" s="347"/>
      <c r="H73" s="347"/>
      <c r="I73" s="347"/>
    </row>
    <row r="74" spans="1:9" ht="12.75" customHeight="1">
      <c r="A74" s="379" t="s">
        <v>625</v>
      </c>
      <c r="B74" s="379"/>
      <c r="C74" s="379"/>
      <c r="D74" s="379"/>
      <c r="E74" s="379"/>
      <c r="F74" s="379"/>
      <c r="G74" s="379"/>
      <c r="H74" s="379"/>
      <c r="I74" s="379"/>
    </row>
    <row r="75" spans="1:9">
      <c r="A75" s="379"/>
      <c r="B75" s="379"/>
      <c r="C75" s="379"/>
      <c r="D75" s="379"/>
      <c r="E75" s="379"/>
      <c r="F75" s="379"/>
      <c r="G75" s="379"/>
      <c r="H75" s="379"/>
      <c r="I75" s="379"/>
    </row>
    <row r="76" spans="1:9">
      <c r="A76" s="379"/>
      <c r="B76" s="379"/>
      <c r="C76" s="379"/>
      <c r="D76" s="379"/>
      <c r="E76" s="379"/>
      <c r="F76" s="379"/>
      <c r="G76" s="379"/>
      <c r="H76" s="379"/>
      <c r="I76" s="379"/>
    </row>
    <row r="77" spans="1:9">
      <c r="A77" s="379"/>
      <c r="B77" s="379"/>
      <c r="C77" s="379"/>
      <c r="D77" s="379"/>
      <c r="E77" s="379"/>
      <c r="F77" s="379"/>
      <c r="G77" s="379"/>
      <c r="H77" s="379"/>
      <c r="I77" s="379"/>
    </row>
    <row r="78" spans="1:9">
      <c r="A78" s="379"/>
      <c r="B78" s="379"/>
      <c r="C78" s="379"/>
      <c r="D78" s="379"/>
      <c r="E78" s="379"/>
      <c r="F78" s="379"/>
      <c r="G78" s="379"/>
      <c r="H78" s="379"/>
      <c r="I78" s="379"/>
    </row>
    <row r="79" spans="1:9">
      <c r="A79" s="379"/>
      <c r="B79" s="379"/>
      <c r="C79" s="379"/>
      <c r="D79" s="379"/>
      <c r="E79" s="379"/>
      <c r="F79" s="379"/>
      <c r="G79" s="379"/>
      <c r="H79" s="379"/>
      <c r="I79" s="379"/>
    </row>
    <row r="80" spans="1:9">
      <c r="A80" s="348"/>
      <c r="B80" s="348"/>
      <c r="C80" s="348"/>
      <c r="D80" s="348"/>
      <c r="E80" s="348"/>
      <c r="F80" s="348"/>
      <c r="G80" s="348"/>
      <c r="H80" s="348"/>
      <c r="I80" s="348"/>
    </row>
  </sheetData>
  <mergeCells count="78">
    <mergeCell ref="B26:G26"/>
    <mergeCell ref="A28:C28"/>
    <mergeCell ref="E28:I28"/>
    <mergeCell ref="E29:I29"/>
    <mergeCell ref="F50:I50"/>
    <mergeCell ref="A44:C44"/>
    <mergeCell ref="A45:C45"/>
    <mergeCell ref="A46:C46"/>
    <mergeCell ref="A47:C47"/>
    <mergeCell ref="A43:C43"/>
    <mergeCell ref="F43:I43"/>
    <mergeCell ref="F44:I44"/>
    <mergeCell ref="F45:I45"/>
    <mergeCell ref="E41:I41"/>
    <mergeCell ref="A48:C48"/>
    <mergeCell ref="A49:C49"/>
    <mergeCell ref="A50:C50"/>
    <mergeCell ref="A51:C51"/>
    <mergeCell ref="A58:C58"/>
    <mergeCell ref="A52:C52"/>
    <mergeCell ref="A53:C53"/>
    <mergeCell ref="A54:C54"/>
    <mergeCell ref="A55:C55"/>
    <mergeCell ref="A56:C56"/>
    <mergeCell ref="A57:C57"/>
    <mergeCell ref="E35:I35"/>
    <mergeCell ref="A74:I79"/>
    <mergeCell ref="I9:I10"/>
    <mergeCell ref="I14:I15"/>
    <mergeCell ref="A19:G19"/>
    <mergeCell ref="B20:G20"/>
    <mergeCell ref="B21:G21"/>
    <mergeCell ref="B22:G22"/>
    <mergeCell ref="B23:G23"/>
    <mergeCell ref="B24:G24"/>
    <mergeCell ref="B25:G25"/>
    <mergeCell ref="A70:C70"/>
    <mergeCell ref="A69:C69"/>
    <mergeCell ref="E66:I66"/>
    <mergeCell ref="E67:I67"/>
    <mergeCell ref="A63:C63"/>
    <mergeCell ref="E30:I30"/>
    <mergeCell ref="E31:I31"/>
    <mergeCell ref="E32:I32"/>
    <mergeCell ref="E33:I33"/>
    <mergeCell ref="E34:I34"/>
    <mergeCell ref="E70:I70"/>
    <mergeCell ref="F58:I58"/>
    <mergeCell ref="E39:I39"/>
    <mergeCell ref="F56:I56"/>
    <mergeCell ref="F57:I57"/>
    <mergeCell ref="E65:I65"/>
    <mergeCell ref="E64:I64"/>
    <mergeCell ref="E40:I40"/>
    <mergeCell ref="F46:I46"/>
    <mergeCell ref="F47:I47"/>
    <mergeCell ref="F48:I48"/>
    <mergeCell ref="F49:I49"/>
    <mergeCell ref="F52:I52"/>
    <mergeCell ref="F53:I53"/>
    <mergeCell ref="F54:I54"/>
    <mergeCell ref="F55:I55"/>
    <mergeCell ref="E36:I36"/>
    <mergeCell ref="E37:I37"/>
    <mergeCell ref="E38:I38"/>
    <mergeCell ref="E68:I68"/>
    <mergeCell ref="E69:I69"/>
    <mergeCell ref="F51:I51"/>
    <mergeCell ref="A61:C61"/>
    <mergeCell ref="E61:I61"/>
    <mergeCell ref="A67:C67"/>
    <mergeCell ref="A68:C68"/>
    <mergeCell ref="E62:I62"/>
    <mergeCell ref="E63:I63"/>
    <mergeCell ref="A66:C66"/>
    <mergeCell ref="A64:C64"/>
    <mergeCell ref="A65:C65"/>
    <mergeCell ref="A62:C62"/>
  </mergeCells>
  <pageMargins left="0.7" right="0.7" top="0.75" bottom="0.75" header="0.3" footer="0.3"/>
  <pageSetup scale="60" orientation="portrait" verticalDpi="0" r:id="rId1"/>
  <colBreaks count="1" manualBreakCount="1">
    <brk id="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Y159"/>
  <sheetViews>
    <sheetView tabSelected="1" zoomScale="69" zoomScaleNormal="69" workbookViewId="0">
      <pane xSplit="2" topLeftCell="C1" activePane="topRight" state="frozen"/>
      <selection pane="topRight" activeCell="D27" sqref="D27"/>
    </sheetView>
  </sheetViews>
  <sheetFormatPr defaultColWidth="10.7109375" defaultRowHeight="12.75"/>
  <cols>
    <col min="1" max="1" width="42.28515625" style="43" customWidth="1"/>
    <col min="2" max="2" width="16.85546875" style="43" bestFit="1" customWidth="1"/>
    <col min="3" max="3" width="21.28515625" style="43" bestFit="1" customWidth="1"/>
    <col min="4" max="4" width="21.85546875" style="43" bestFit="1" customWidth="1"/>
    <col min="5" max="5" width="20.28515625" style="43" customWidth="1"/>
    <col min="6" max="6" width="19.42578125" style="43" customWidth="1"/>
    <col min="7" max="9" width="21.85546875" style="43" bestFit="1" customWidth="1"/>
    <col min="10" max="11" width="20" style="43" customWidth="1"/>
    <col min="12" max="12" width="23" style="43" bestFit="1" customWidth="1"/>
    <col min="13" max="13" width="23.7109375" style="43" bestFit="1" customWidth="1"/>
    <col min="14" max="14" width="18.42578125" style="43" customWidth="1"/>
    <col min="15" max="15" width="8.28515625" style="43" customWidth="1"/>
    <col min="16" max="25" width="13.7109375" style="43" customWidth="1"/>
    <col min="26" max="16384" width="10.7109375" style="43"/>
  </cols>
  <sheetData>
    <row r="1" spans="1:25" ht="51" customHeight="1">
      <c r="A1" s="280" t="str">
        <f>IF(ISTEXT(DBData!B3), UPPER(DBData!B3), "(SHOW NAME)")</f>
        <v>BEAUTY &amp; THE BEAST</v>
      </c>
      <c r="B1" s="8"/>
      <c r="C1" s="275">
        <f>IF(ISBLANK(DBData!DQ3), "(Date)",(DBData!DQ3))</f>
        <v>41712</v>
      </c>
      <c r="D1" s="275" t="str">
        <f>IF(ISBLANK(DBData!DQ4), "(Date)",(DBData!DQ4))</f>
        <v>(Date)</v>
      </c>
      <c r="E1" s="275" t="str">
        <f>IF(ISBLANK(DBData!DQ5), "(Date)",(DBData!DQ5))</f>
        <v>(Date)</v>
      </c>
      <c r="F1" s="275" t="str">
        <f>IF(ISBLANK(DBData!DQ6), "(Date)",(DBData!DQ6))</f>
        <v>(Date)</v>
      </c>
      <c r="G1" s="275" t="str">
        <f>IF(ISBLANK(DBData!DQ7), "(Date)",(DBData!DQ7))</f>
        <v>(Date)</v>
      </c>
      <c r="H1" s="275" t="str">
        <f>IF(ISBLANK(DBData!DQ8), "(Date)",(DBData!DQ8))</f>
        <v>(Date)</v>
      </c>
      <c r="I1" s="275" t="str">
        <f>IF(ISBLANK(DBData!DQ9), "(Date)",(DBData!DQ9))</f>
        <v>(Date)</v>
      </c>
      <c r="J1" s="275" t="str">
        <f>IF(ISBLANK(DBData!DQ10), "(Date)",(DBData!DQ10))</f>
        <v>(Date)</v>
      </c>
      <c r="K1" s="275" t="str">
        <f>IF(ISBLANK(DBData!DQ11), "(Date)",(DBData!DQ11))</f>
        <v>(Date)</v>
      </c>
      <c r="L1" s="275" t="str">
        <f>IF(ISBLANK(DBData!DQ12), "(Date)",(DBData!DQ12))</f>
        <v>(Date)</v>
      </c>
      <c r="M1" s="7"/>
      <c r="N1" s="68"/>
    </row>
    <row r="2" spans="1:25" ht="27.6" customHeight="1">
      <c r="A2" s="279" t="str">
        <f>IF(ISTEXT(DBData!C3), (DBData!C3), "(City name)")</f>
        <v>Pensacola</v>
      </c>
      <c r="B2" s="8"/>
      <c r="C2" s="270" t="str">
        <f>IF(ISTEXT(DBData!DS3), (DBData!DS3), "(Day)")</f>
        <v xml:space="preserve">Fri                           </v>
      </c>
      <c r="D2" s="270" t="str">
        <f>IF(ISTEXT(DBData!DS4), (DBData!DS4), "(Day)")</f>
        <v>(Day)</v>
      </c>
      <c r="E2" s="270" t="str">
        <f>IF(ISTEXT(DBData!DS5), (DBData!DS5), "(Day)")</f>
        <v>(Day)</v>
      </c>
      <c r="F2" s="270" t="str">
        <f>IF(ISTEXT(DBData!DS6), (DBData!DS6), "(Day)")</f>
        <v>(Day)</v>
      </c>
      <c r="G2" s="270" t="str">
        <f>IF(ISTEXT(DBData!DS7), (DBData!DS7), "(Day)")</f>
        <v>(Day)</v>
      </c>
      <c r="H2" s="270" t="str">
        <f>IF(ISTEXT(DBData!DS8), (DBData!DS8), "(Day)")</f>
        <v>(Day)</v>
      </c>
      <c r="I2" s="270" t="str">
        <f>IF(ISTEXT(DBData!DS9), (DBData!DS9), "(Day)")</f>
        <v>(Day)</v>
      </c>
      <c r="J2" s="270" t="str">
        <f>IF(ISTEXT(DBData!DS10), (DBData!DS10), "(Day)")</f>
        <v>(Day)</v>
      </c>
      <c r="K2" s="270" t="str">
        <f>IF(ISTEXT(DBData!W103), (DBData!DS11), "(Day)")</f>
        <v>(Day)</v>
      </c>
      <c r="L2" s="270" t="str">
        <f>IF(ISTEXT(DBData!DS12), (DBData!DS12), "(Day)")</f>
        <v>(Day)</v>
      </c>
      <c r="M2" s="140"/>
      <c r="N2" s="68"/>
      <c r="V2" s="41"/>
      <c r="W2" s="41"/>
      <c r="X2" s="41"/>
      <c r="Y2" s="41"/>
    </row>
    <row r="3" spans="1:25" ht="18" customHeight="1">
      <c r="A3" s="22" t="str">
        <f>IF(ISTEXT(DBData!D3), (DBData!D3), "(Venue Name)")</f>
        <v>Saenger Theatre</v>
      </c>
      <c r="B3" s="21"/>
      <c r="C3" s="273">
        <f>IF(ISBLANK(DBData!DT3), "(Time)",(DBData!DT3))</f>
        <v>0.8125</v>
      </c>
      <c r="D3" s="273" t="str">
        <f>IF(ISBLANK(DBData!DT4), "(Time)",(DBData!DT4))</f>
        <v>(Time)</v>
      </c>
      <c r="E3" s="273" t="str">
        <f>IF(ISBLANK(DBData!DT5), "(Time)",(DBData!DT5))</f>
        <v>(Time)</v>
      </c>
      <c r="F3" s="273" t="str">
        <f>IF(ISBLANK(DBData!DT6), "(Time)",(DBData!DT6))</f>
        <v>(Time)</v>
      </c>
      <c r="G3" s="273" t="str">
        <f>IF(ISBLANK(DBData!DT7), "(Time)",(DBData!DT7))</f>
        <v>(Time)</v>
      </c>
      <c r="H3" s="273" t="str">
        <f>IF(ISBLANK(DBData!DT8), "(Time)",(DBData!DT8))</f>
        <v>(Time)</v>
      </c>
      <c r="I3" s="273" t="str">
        <f>IF(ISBLANK(DBData!DT9), "(Time)",(DBData!DT9))</f>
        <v>(Time)</v>
      </c>
      <c r="J3" s="273" t="str">
        <f>IF(ISBLANK(DBData!DT10), "(Time)",(DBData!DT10))</f>
        <v>(Time)</v>
      </c>
      <c r="K3" s="274" t="str">
        <f>IF(ISBLANK(DBData!DT11), "(Time)",(DBData!DT11))</f>
        <v>(Time)</v>
      </c>
      <c r="L3" s="274" t="str">
        <f>IF(ISBLANK(DBData!DT12), "(Time)",(DBData!DT12))</f>
        <v>(Time)</v>
      </c>
      <c r="M3" s="140" t="s">
        <v>103</v>
      </c>
      <c r="N3" s="68"/>
      <c r="V3" s="41"/>
      <c r="W3" s="41"/>
      <c r="X3" s="41"/>
      <c r="Y3" s="41"/>
    </row>
    <row r="4" spans="1:25" ht="15.75" customHeight="1">
      <c r="A4" s="22">
        <f>MIN(DBData!DQ3:DQ12)</f>
        <v>41712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68"/>
      <c r="V4" s="41"/>
      <c r="W4" s="41"/>
      <c r="X4" s="41"/>
      <c r="Y4" s="41"/>
    </row>
    <row r="5" spans="1:25" ht="15.75" customHeight="1">
      <c r="A5" s="22">
        <f>MAX(DBData!DQ3:DQ12)</f>
        <v>41712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68"/>
      <c r="V5" s="41"/>
      <c r="W5" s="41"/>
      <c r="X5" s="41"/>
      <c r="Y5" s="41"/>
    </row>
    <row r="6" spans="1:25" ht="15.75" customHeight="1">
      <c r="A6" s="23" t="s">
        <v>87</v>
      </c>
      <c r="B6" s="8"/>
      <c r="C6" s="138">
        <f>IF(ISBLANK(DBData!DU3),0, (DBData!DU3))</f>
        <v>1439</v>
      </c>
      <c r="D6" s="138">
        <f>IF(ISBLANK(DBData!DU4),0, (DBData!DU4))</f>
        <v>0</v>
      </c>
      <c r="E6" s="138">
        <f>IF(ISBLANK(DBData!DU5),0, (DBData!DU5))</f>
        <v>0</v>
      </c>
      <c r="F6" s="138">
        <f>IF(ISBLANK(DBData!DU6),0, (DBData!DU6))</f>
        <v>0</v>
      </c>
      <c r="G6" s="138">
        <f>IF(ISBLANK(DBData!DU7),0, (DBData!DU7))</f>
        <v>0</v>
      </c>
      <c r="H6" s="138">
        <f>IF(ISBLANK(DBData!DU8),0, (DBData!DU8))</f>
        <v>0</v>
      </c>
      <c r="I6" s="138">
        <f>IF(ISBLANK(DBData!DU9),0, (DBData!DU9))</f>
        <v>0</v>
      </c>
      <c r="J6" s="138">
        <f>IF(ISBLANK(DBData!DU10),0, (DBData!DU10))</f>
        <v>0</v>
      </c>
      <c r="K6" s="138">
        <f>IF(ISBLANK(DBData!DU11),0, (DBData!DU11))</f>
        <v>0</v>
      </c>
      <c r="L6" s="138">
        <f>IF(ISBLANK(DBData!DU12),0, (DBData!DU12))</f>
        <v>0</v>
      </c>
      <c r="M6" s="9">
        <f>SUM(C6:L6)</f>
        <v>1439</v>
      </c>
      <c r="N6" s="68"/>
      <c r="V6" s="41"/>
      <c r="W6" s="41"/>
      <c r="X6" s="41"/>
      <c r="Y6" s="41"/>
    </row>
    <row r="7" spans="1:25" ht="15.75" customHeight="1">
      <c r="A7" s="24" t="s">
        <v>104</v>
      </c>
      <c r="B7" s="24"/>
      <c r="C7" s="138">
        <f>IF(ISBLANK(DBData!DV3),0, (DBData!DV3))</f>
        <v>1539</v>
      </c>
      <c r="D7" s="138">
        <f>IF(ISBLANK(DBData!DV4),0, (DBData!DV4))</f>
        <v>0</v>
      </c>
      <c r="E7" s="138">
        <f>IF(ISBLANK(DBData!DV5),0, (DBData!DV5))</f>
        <v>0</v>
      </c>
      <c r="F7" s="138">
        <f>IF(ISBLANK(DBData!DV6),0, (DBData!DV6))</f>
        <v>0</v>
      </c>
      <c r="G7" s="138">
        <f>IF(ISBLANK(DBData!DV7),0, (DBData!DV7))</f>
        <v>0</v>
      </c>
      <c r="H7" s="138">
        <f>IF(ISBLANK(DBData!DV8),0, (DBData!DV8))</f>
        <v>0</v>
      </c>
      <c r="I7" s="138">
        <f>IF(ISBLANK(DBData!DV9),0, (DBData!DV9))</f>
        <v>0</v>
      </c>
      <c r="J7" s="138">
        <f>IF(ISBLANK(DBData!DV10),0, (DBData!DV10))</f>
        <v>0</v>
      </c>
      <c r="K7" s="138">
        <f>IF(ISBLANK(DBData!DV11),0, (DBData!DV11))</f>
        <v>0</v>
      </c>
      <c r="L7" s="138">
        <f>IF(ISBLANK(DBData!DV12),0, (DBData!DV12))</f>
        <v>0</v>
      </c>
      <c r="M7" s="9">
        <f>SUM(C7:L7)</f>
        <v>1539</v>
      </c>
      <c r="N7" s="68"/>
      <c r="V7" s="41"/>
      <c r="W7" s="41"/>
      <c r="X7" s="41"/>
      <c r="Y7" s="41"/>
    </row>
    <row r="8" spans="1:25" ht="15.75" customHeight="1">
      <c r="A8" s="24" t="s">
        <v>105</v>
      </c>
      <c r="B8" s="24"/>
      <c r="C8" s="138">
        <f>IF(ISBLANK(DBData!DW3),0, (DBData!DW3))</f>
        <v>47</v>
      </c>
      <c r="D8" s="138">
        <f>IF(ISBLANK(DBData!DW4),0, (DBData!DW4))</f>
        <v>0</v>
      </c>
      <c r="E8" s="138">
        <f>IF(ISBLANK(DBData!DW5),0, (DBData!DW5))</f>
        <v>0</v>
      </c>
      <c r="F8" s="138">
        <f>IF(ISBLANK(DBData!DW6),0, (DBData!DW6))</f>
        <v>0</v>
      </c>
      <c r="G8" s="138">
        <f>IF(ISBLANK(DBData!DW7),0, (DBData!DW7))</f>
        <v>0</v>
      </c>
      <c r="H8" s="138">
        <f>IF(ISBLANK(DBData!DW8),0, (DBData!DW8))</f>
        <v>0</v>
      </c>
      <c r="I8" s="138">
        <f>IF(ISBLANK(DBData!DW9),0, (DBData!DW9))</f>
        <v>0</v>
      </c>
      <c r="J8" s="138">
        <f>IF(ISBLANK(DBData!DW10),0, (DBData!DW10))</f>
        <v>0</v>
      </c>
      <c r="K8" s="138">
        <f>IF(ISBLANK(DBData!DW11),0, (DBData!DW11))</f>
        <v>0</v>
      </c>
      <c r="L8" s="138">
        <f>IF(ISBLANK(DBData!DW12),0, (DBData!DW12))</f>
        <v>0</v>
      </c>
      <c r="M8" s="9">
        <f>SUM(C8:L8)</f>
        <v>47</v>
      </c>
      <c r="N8" s="68"/>
      <c r="V8" s="41"/>
      <c r="W8" s="41"/>
      <c r="X8" s="41"/>
      <c r="Y8" s="41"/>
    </row>
    <row r="9" spans="1:25" ht="15.75" customHeight="1">
      <c r="A9" s="25" t="s">
        <v>106</v>
      </c>
      <c r="B9" s="26"/>
      <c r="C9" s="26">
        <f t="shared" ref="C9:L9" si="0">SUM(C7:C8)</f>
        <v>1586</v>
      </c>
      <c r="D9" s="26">
        <f t="shared" si="0"/>
        <v>0</v>
      </c>
      <c r="E9" s="26">
        <f t="shared" si="0"/>
        <v>0</v>
      </c>
      <c r="F9" s="26">
        <f t="shared" si="0"/>
        <v>0</v>
      </c>
      <c r="G9" s="26">
        <f t="shared" si="0"/>
        <v>0</v>
      </c>
      <c r="H9" s="26">
        <f t="shared" si="0"/>
        <v>0</v>
      </c>
      <c r="I9" s="26">
        <f t="shared" si="0"/>
        <v>0</v>
      </c>
      <c r="J9" s="26">
        <f t="shared" si="0"/>
        <v>0</v>
      </c>
      <c r="K9" s="26">
        <f t="shared" si="0"/>
        <v>0</v>
      </c>
      <c r="L9" s="26">
        <f t="shared" si="0"/>
        <v>0</v>
      </c>
      <c r="M9" s="10">
        <f>SUM(M7:M8)</f>
        <v>1586</v>
      </c>
      <c r="N9" s="68"/>
      <c r="V9" s="41"/>
      <c r="W9" s="41"/>
      <c r="X9" s="41"/>
      <c r="Y9" s="41"/>
    </row>
    <row r="10" spans="1:25" ht="15.75" customHeight="1">
      <c r="A10" s="24" t="s">
        <v>107</v>
      </c>
      <c r="B10" s="24"/>
      <c r="C10" s="138">
        <f>IF(C2 &lt;&gt; "(Day)", (DBData!C17),0)</f>
        <v>1569</v>
      </c>
      <c r="D10" s="138">
        <f>IF(D2 &lt;&gt; "(Day)", (DBData!C17),0)</f>
        <v>0</v>
      </c>
      <c r="E10" s="138">
        <f>IF(E2 &lt;&gt; "(Day)", (DBData!C17),0)</f>
        <v>0</v>
      </c>
      <c r="F10" s="138">
        <f>IF(F2 &lt;&gt; "(Day)", (DBData!C17),0)</f>
        <v>0</v>
      </c>
      <c r="G10" s="138">
        <f>IF(G2 &lt;&gt; "(Day)", (DBData!C17),0)</f>
        <v>0</v>
      </c>
      <c r="H10" s="138">
        <f>IF(H2 &lt;&gt; "(Day)", (DBData!C17),0)</f>
        <v>0</v>
      </c>
      <c r="I10" s="138">
        <f>IF(I2 &lt;&gt; "(Day)", (DBData!C17),0)</f>
        <v>0</v>
      </c>
      <c r="J10" s="138">
        <f>IF(J2 &lt;&gt; "(Day)", (DBData!C17),0)</f>
        <v>0</v>
      </c>
      <c r="K10" s="138">
        <f>IF(K2 &lt;&gt; "(Day)", (DBData!C17),0)</f>
        <v>0</v>
      </c>
      <c r="L10" s="138">
        <f>IF(L2 &lt;&gt; "(Day)", (DBData!C17),0)</f>
        <v>0</v>
      </c>
      <c r="M10" s="11">
        <f>SUM(C10:L10)</f>
        <v>1569</v>
      </c>
      <c r="N10" s="68"/>
      <c r="V10" s="41"/>
      <c r="W10" s="41"/>
      <c r="X10" s="41"/>
      <c r="Y10" s="41"/>
    </row>
    <row r="11" spans="1:25" ht="15.75" customHeight="1">
      <c r="A11" s="24" t="s">
        <v>163</v>
      </c>
      <c r="B11" s="24"/>
      <c r="C11" s="28">
        <f t="shared" ref="C11:M11" si="1">C9/C10</f>
        <v>1.01</v>
      </c>
      <c r="D11" s="28" t="e">
        <f t="shared" si="1"/>
        <v>#DIV/0!</v>
      </c>
      <c r="E11" s="28" t="e">
        <f t="shared" si="1"/>
        <v>#DIV/0!</v>
      </c>
      <c r="F11" s="28" t="e">
        <f t="shared" si="1"/>
        <v>#DIV/0!</v>
      </c>
      <c r="G11" s="28" t="e">
        <f t="shared" si="1"/>
        <v>#DIV/0!</v>
      </c>
      <c r="H11" s="28" t="e">
        <f t="shared" si="1"/>
        <v>#DIV/0!</v>
      </c>
      <c r="I11" s="28" t="e">
        <f t="shared" si="1"/>
        <v>#DIV/0!</v>
      </c>
      <c r="J11" s="28" t="e">
        <f t="shared" si="1"/>
        <v>#DIV/0!</v>
      </c>
      <c r="K11" s="28" t="e">
        <f t="shared" si="1"/>
        <v>#DIV/0!</v>
      </c>
      <c r="L11" s="28" t="e">
        <f t="shared" si="1"/>
        <v>#DIV/0!</v>
      </c>
      <c r="M11" s="12">
        <f t="shared" si="1"/>
        <v>1.01</v>
      </c>
      <c r="N11" s="68"/>
      <c r="V11" s="41"/>
      <c r="W11" s="41"/>
      <c r="X11" s="41"/>
      <c r="Y11" s="41"/>
    </row>
    <row r="12" spans="1:25" ht="15.7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68"/>
      <c r="V12" s="41"/>
      <c r="W12" s="41"/>
      <c r="X12" s="41"/>
      <c r="Y12" s="41"/>
    </row>
    <row r="13" spans="1:25" s="98" customFormat="1" ht="15.75" customHeight="1">
      <c r="A13" s="27" t="s">
        <v>164</v>
      </c>
      <c r="B13" s="60"/>
      <c r="C13" s="139">
        <f>IF(ISBLANK(DBData!DX3),0, (DBData!DX3))</f>
        <v>103838</v>
      </c>
      <c r="D13" s="139">
        <f>IF(ISBLANK(DBData!DX4),0, (DBData!DX4))</f>
        <v>0</v>
      </c>
      <c r="E13" s="139">
        <f>IF(ISBLANK(DBData!DX5),0, (DBData!DX5))</f>
        <v>0</v>
      </c>
      <c r="F13" s="139">
        <f>IF(ISBLANK(DBData!DX6),0, (DBData!DX6))</f>
        <v>0</v>
      </c>
      <c r="G13" s="139">
        <f>IF(ISBLANK(DBData!DX7),0, (DBData!DX7))</f>
        <v>0</v>
      </c>
      <c r="H13" s="139">
        <f>IF(ISBLANK(DBData!DX8),0, (DBData!DX8))</f>
        <v>0</v>
      </c>
      <c r="I13" s="139">
        <f>IF(ISBLANK(DBData!DX9),0, (DBData!DX9))</f>
        <v>0</v>
      </c>
      <c r="J13" s="139">
        <f>IF(ISBLANK(DBData!DX10),0, (DBData!DX10))</f>
        <v>0</v>
      </c>
      <c r="K13" s="139">
        <f>IF(ISBLANK(DBData!DX11),0, (DBData!DX11))</f>
        <v>0</v>
      </c>
      <c r="L13" s="139">
        <f>IF(ISBLANK(DBData!DX12),0, (DBData!DX12))</f>
        <v>0</v>
      </c>
      <c r="M13" s="15">
        <f>SUM(C13:L13)</f>
        <v>103838</v>
      </c>
      <c r="N13" s="97" t="s">
        <v>165</v>
      </c>
    </row>
    <row r="14" spans="1:25" s="203" customFormat="1" ht="15.75" customHeight="1">
      <c r="A14" s="171" t="s">
        <v>114</v>
      </c>
      <c r="B14" s="219">
        <f>IF(ISBLANK(DBData!T3),0, (DBData!T3))/100</f>
        <v>7.4999999999999997E-2</v>
      </c>
      <c r="C14" s="200">
        <f>IF(ISBLANK(DBData!EN3),0, (DBData!EN3))</f>
        <v>7244.52</v>
      </c>
      <c r="D14" s="200">
        <f>IF(ISBLANK(DBData!EN4),0, (DBData!EN4))</f>
        <v>0</v>
      </c>
      <c r="E14" s="200">
        <f>IF(ISBLANK(DBData!EN5),0, (DBData!EN5))</f>
        <v>0</v>
      </c>
      <c r="F14" s="200">
        <f>IF(ISBLANK(DBData!EN6),0, (DBData!EN6))</f>
        <v>0</v>
      </c>
      <c r="G14" s="200">
        <f>IF(ISBLANK(DBData!EN7),0, (DBData!EN7))</f>
        <v>0</v>
      </c>
      <c r="H14" s="200">
        <f>IF(ISBLANK(DBData!EN8),0, (DBData!EN8))</f>
        <v>0</v>
      </c>
      <c r="I14" s="200">
        <f>IF(ISBLANK(DBData!EN9),0, (DBData!EN9))</f>
        <v>0</v>
      </c>
      <c r="J14" s="200">
        <f>IF(ISBLANK(DBData!EN10),0, (DBData!EN10))</f>
        <v>0</v>
      </c>
      <c r="K14" s="200">
        <f>IF(ISBLANK(DBData!EN11),0, (DBData!EN11))</f>
        <v>0</v>
      </c>
      <c r="L14" s="200">
        <f>IF(ISBLANK(DBData!EN12),0, (DBData!E12))</f>
        <v>0</v>
      </c>
      <c r="M14" s="201">
        <f>SUM(C14:L14)</f>
        <v>7244.52</v>
      </c>
      <c r="N14" s="202"/>
      <c r="V14" s="204"/>
      <c r="W14" s="204"/>
      <c r="X14" s="204"/>
      <c r="Y14" s="204"/>
    </row>
    <row r="15" spans="1:25" s="203" customFormat="1" ht="15.75" customHeight="1">
      <c r="A15" s="171" t="s">
        <v>113</v>
      </c>
      <c r="B15" s="219">
        <f>IF(ISBLANK(DBData!U3),0, (DBData!U3))/100</f>
        <v>0</v>
      </c>
      <c r="C15" s="200">
        <f>IF(ISBLANK(DBData!EW3),0, (DBData!EW3))</f>
        <v>0</v>
      </c>
      <c r="D15" s="200">
        <f>IF(ISBLANK(DBData!EW4),0, (DBData!EW4))</f>
        <v>0</v>
      </c>
      <c r="E15" s="200">
        <f>IF(ISBLANK(DBData!EW5),0, (DBData!EW5))</f>
        <v>0</v>
      </c>
      <c r="F15" s="200">
        <f>IF(ISBLANK(DBData!EW6),0, (DBData!EW6))</f>
        <v>0</v>
      </c>
      <c r="G15" s="200">
        <f>IF(ISBLANK(DBData!EW7),0, (DBData!EW7))</f>
        <v>0</v>
      </c>
      <c r="H15" s="200">
        <f>IF(ISBLANK(DBData!EW8),0, (DBData!EW8))</f>
        <v>0</v>
      </c>
      <c r="I15" s="200">
        <f>IF(ISBLANK(DBData!EW9),0, (DBData!EW9))</f>
        <v>0</v>
      </c>
      <c r="J15" s="200">
        <f>IF(ISBLANK(DBData!EW10),0, (DBData!EW10))</f>
        <v>0</v>
      </c>
      <c r="K15" s="200">
        <f>IF(ISBLANK(DBData!EW11),0, (DBData!EW11))</f>
        <v>0</v>
      </c>
      <c r="L15" s="200">
        <f>IF(ISBLANK(DBData!EW12),0, (DBData!EW12))</f>
        <v>0</v>
      </c>
      <c r="M15" s="201">
        <f>SUM(C15:L15)</f>
        <v>0</v>
      </c>
      <c r="N15" s="202"/>
      <c r="V15" s="204"/>
      <c r="W15" s="204"/>
      <c r="X15" s="204"/>
      <c r="Y15" s="204"/>
    </row>
    <row r="16" spans="1:25" ht="15.75" customHeight="1">
      <c r="A16" s="24" t="s">
        <v>4</v>
      </c>
      <c r="B16" s="219">
        <f>IF(ISBLANK(DBData!V3),0, (DBData!V3))/100</f>
        <v>0.12</v>
      </c>
      <c r="C16" s="1">
        <f t="shared" ref="C16:L16" si="2">C34*$B$16</f>
        <v>5759.44</v>
      </c>
      <c r="D16" s="1">
        <f t="shared" si="2"/>
        <v>0</v>
      </c>
      <c r="E16" s="1">
        <f t="shared" si="2"/>
        <v>0</v>
      </c>
      <c r="F16" s="1">
        <f t="shared" si="2"/>
        <v>0</v>
      </c>
      <c r="G16" s="1">
        <f t="shared" si="2"/>
        <v>0</v>
      </c>
      <c r="H16" s="1">
        <f t="shared" si="2"/>
        <v>0</v>
      </c>
      <c r="I16" s="1">
        <f t="shared" si="2"/>
        <v>0</v>
      </c>
      <c r="J16" s="1">
        <f t="shared" si="2"/>
        <v>0</v>
      </c>
      <c r="K16" s="1">
        <f t="shared" si="2"/>
        <v>0</v>
      </c>
      <c r="L16" s="1">
        <f t="shared" si="2"/>
        <v>0</v>
      </c>
      <c r="M16" s="13">
        <f t="shared" ref="M16:M22" si="3">SUM(C16:L16)</f>
        <v>5759.44</v>
      </c>
      <c r="N16" s="68"/>
      <c r="V16" s="41"/>
      <c r="W16" s="41"/>
      <c r="X16" s="41"/>
      <c r="Y16" s="41"/>
    </row>
    <row r="17" spans="1:25" ht="15.75" customHeight="1">
      <c r="A17" s="24" t="s">
        <v>85</v>
      </c>
      <c r="B17" s="219">
        <f>IF(ISBLANK(DBData!W3),0, (DBData!W3))/100</f>
        <v>0.04</v>
      </c>
      <c r="C17" s="1">
        <f t="shared" ref="C17:L17" si="4">C35*$B$17</f>
        <v>162.96</v>
      </c>
      <c r="D17" s="1">
        <f t="shared" si="4"/>
        <v>0</v>
      </c>
      <c r="E17" s="1">
        <f t="shared" si="4"/>
        <v>0</v>
      </c>
      <c r="F17" s="1">
        <f t="shared" si="4"/>
        <v>0</v>
      </c>
      <c r="G17" s="1">
        <f t="shared" si="4"/>
        <v>0</v>
      </c>
      <c r="H17" s="1">
        <f t="shared" si="4"/>
        <v>0</v>
      </c>
      <c r="I17" s="1">
        <f t="shared" si="4"/>
        <v>0</v>
      </c>
      <c r="J17" s="1">
        <f t="shared" si="4"/>
        <v>0</v>
      </c>
      <c r="K17" s="1">
        <f t="shared" si="4"/>
        <v>0</v>
      </c>
      <c r="L17" s="1">
        <f t="shared" si="4"/>
        <v>0</v>
      </c>
      <c r="M17" s="13">
        <f t="shared" si="3"/>
        <v>162.96</v>
      </c>
      <c r="N17" s="68"/>
      <c r="V17" s="41"/>
      <c r="W17" s="41"/>
      <c r="X17" s="41"/>
      <c r="Y17" s="41"/>
    </row>
    <row r="18" spans="1:25" ht="15.75" customHeight="1">
      <c r="A18" s="24" t="s">
        <v>84</v>
      </c>
      <c r="B18" s="219">
        <f>IF(ISBLANK(DBData!X3),0, (DBData!X3))/100</f>
        <v>0.04</v>
      </c>
      <c r="C18" s="1">
        <f t="shared" ref="C18:L18" si="5">C36*$B$18</f>
        <v>1106.8499999999999</v>
      </c>
      <c r="D18" s="1">
        <f t="shared" si="5"/>
        <v>0</v>
      </c>
      <c r="E18" s="1">
        <f t="shared" si="5"/>
        <v>0</v>
      </c>
      <c r="F18" s="1">
        <f t="shared" si="5"/>
        <v>0</v>
      </c>
      <c r="G18" s="1">
        <f t="shared" si="5"/>
        <v>0</v>
      </c>
      <c r="H18" s="1">
        <f t="shared" si="5"/>
        <v>0</v>
      </c>
      <c r="I18" s="1">
        <f t="shared" si="5"/>
        <v>0</v>
      </c>
      <c r="J18" s="1">
        <f t="shared" si="5"/>
        <v>0</v>
      </c>
      <c r="K18" s="1">
        <f t="shared" si="5"/>
        <v>0</v>
      </c>
      <c r="L18" s="1">
        <f t="shared" si="5"/>
        <v>0</v>
      </c>
      <c r="M18" s="13">
        <f t="shared" si="3"/>
        <v>1106.8499999999999</v>
      </c>
      <c r="N18" s="68"/>
      <c r="V18" s="41"/>
      <c r="W18" s="41"/>
      <c r="X18" s="41"/>
      <c r="Y18" s="41"/>
    </row>
    <row r="19" spans="1:25" ht="15.75" customHeight="1">
      <c r="A19" s="24" t="s">
        <v>5</v>
      </c>
      <c r="B19" s="219">
        <f>IF(ISBLANK(DBData!Y3),0, (DBData!Y3))/100</f>
        <v>0.04</v>
      </c>
      <c r="C19" s="1">
        <f t="shared" ref="C19:L19" si="6">C37*$B$19</f>
        <v>327.04000000000002</v>
      </c>
      <c r="D19" s="1">
        <f t="shared" si="6"/>
        <v>0</v>
      </c>
      <c r="E19" s="1">
        <f t="shared" si="6"/>
        <v>0</v>
      </c>
      <c r="F19" s="1">
        <f t="shared" si="6"/>
        <v>0</v>
      </c>
      <c r="G19" s="1">
        <f t="shared" si="6"/>
        <v>0</v>
      </c>
      <c r="H19" s="1">
        <f t="shared" si="6"/>
        <v>0</v>
      </c>
      <c r="I19" s="1">
        <f t="shared" si="6"/>
        <v>0</v>
      </c>
      <c r="J19" s="1">
        <f t="shared" si="6"/>
        <v>0</v>
      </c>
      <c r="K19" s="1">
        <f t="shared" si="6"/>
        <v>0</v>
      </c>
      <c r="L19" s="1">
        <f t="shared" si="6"/>
        <v>0</v>
      </c>
      <c r="M19" s="13">
        <f t="shared" si="3"/>
        <v>327.04000000000002</v>
      </c>
      <c r="N19" s="68"/>
      <c r="V19" s="41"/>
      <c r="W19" s="41"/>
      <c r="X19" s="41"/>
      <c r="Y19" s="41"/>
    </row>
    <row r="20" spans="1:25" ht="15.75" customHeight="1">
      <c r="A20" s="24" t="s">
        <v>6</v>
      </c>
      <c r="B20" s="219">
        <f>IF(ISBLANK(DBData!Z3),0, (DBData!Z3))/100</f>
        <v>0.04</v>
      </c>
      <c r="C20" s="1">
        <f t="shared" ref="C20:L20" si="7">C38*$B$20</f>
        <v>12.41</v>
      </c>
      <c r="D20" s="1">
        <f t="shared" si="7"/>
        <v>0</v>
      </c>
      <c r="E20" s="1">
        <f t="shared" si="7"/>
        <v>0</v>
      </c>
      <c r="F20" s="1">
        <f t="shared" si="7"/>
        <v>0</v>
      </c>
      <c r="G20" s="1">
        <f t="shared" si="7"/>
        <v>0</v>
      </c>
      <c r="H20" s="1">
        <f t="shared" si="7"/>
        <v>0</v>
      </c>
      <c r="I20" s="1">
        <f t="shared" si="7"/>
        <v>0</v>
      </c>
      <c r="J20" s="1">
        <f t="shared" si="7"/>
        <v>0</v>
      </c>
      <c r="K20" s="1">
        <f t="shared" si="7"/>
        <v>0</v>
      </c>
      <c r="L20" s="1">
        <f t="shared" si="7"/>
        <v>0</v>
      </c>
      <c r="M20" s="13">
        <f t="shared" si="3"/>
        <v>12.41</v>
      </c>
      <c r="N20" s="68"/>
      <c r="V20" s="41"/>
      <c r="W20" s="41"/>
      <c r="X20" s="41"/>
      <c r="Y20" s="41"/>
    </row>
    <row r="21" spans="1:25" ht="15.75" customHeight="1">
      <c r="A21" s="24" t="s">
        <v>9</v>
      </c>
      <c r="B21" s="219">
        <f>IF(ISBLANK(DBData!AA3),0, (DBData!AA3))/100</f>
        <v>0</v>
      </c>
      <c r="C21" s="1">
        <f t="shared" ref="C21:L21" si="8">C39*$B$21</f>
        <v>0</v>
      </c>
      <c r="D21" s="1">
        <f t="shared" si="8"/>
        <v>0</v>
      </c>
      <c r="E21" s="1">
        <f t="shared" si="8"/>
        <v>0</v>
      </c>
      <c r="F21" s="1">
        <f t="shared" si="8"/>
        <v>0</v>
      </c>
      <c r="G21" s="1">
        <f t="shared" si="8"/>
        <v>0</v>
      </c>
      <c r="H21" s="1">
        <f t="shared" si="8"/>
        <v>0</v>
      </c>
      <c r="I21" s="1">
        <f t="shared" si="8"/>
        <v>0</v>
      </c>
      <c r="J21" s="1">
        <f t="shared" si="8"/>
        <v>0</v>
      </c>
      <c r="K21" s="1">
        <f t="shared" si="8"/>
        <v>0</v>
      </c>
      <c r="L21" s="1">
        <f t="shared" si="8"/>
        <v>0</v>
      </c>
      <c r="M21" s="13">
        <f t="shared" si="3"/>
        <v>0</v>
      </c>
      <c r="N21" s="68"/>
      <c r="V21" s="41"/>
      <c r="W21" s="41"/>
      <c r="X21" s="41"/>
      <c r="Y21" s="41"/>
    </row>
    <row r="22" spans="1:25" ht="15.75" customHeight="1">
      <c r="A22" s="24" t="s">
        <v>22</v>
      </c>
      <c r="B22" s="219">
        <f>IF(ISBLANK(DBData!AB3),0, (DBData!AB3))/100</f>
        <v>0.1</v>
      </c>
      <c r="C22" s="1">
        <f t="shared" ref="C22:L22" si="9">C40*$B$22</f>
        <v>756.3</v>
      </c>
      <c r="D22" s="1">
        <f t="shared" si="9"/>
        <v>0</v>
      </c>
      <c r="E22" s="1">
        <f t="shared" si="9"/>
        <v>0</v>
      </c>
      <c r="F22" s="1">
        <f t="shared" si="9"/>
        <v>0</v>
      </c>
      <c r="G22" s="1">
        <f t="shared" si="9"/>
        <v>0</v>
      </c>
      <c r="H22" s="1">
        <f t="shared" si="9"/>
        <v>0</v>
      </c>
      <c r="I22" s="1">
        <f t="shared" si="9"/>
        <v>0</v>
      </c>
      <c r="J22" s="1">
        <f t="shared" si="9"/>
        <v>0</v>
      </c>
      <c r="K22" s="1">
        <f t="shared" si="9"/>
        <v>0</v>
      </c>
      <c r="L22" s="1">
        <f t="shared" si="9"/>
        <v>0</v>
      </c>
      <c r="M22" s="13">
        <f t="shared" si="3"/>
        <v>756.3</v>
      </c>
      <c r="N22" s="68"/>
      <c r="V22" s="41"/>
      <c r="W22" s="41"/>
      <c r="X22" s="41"/>
      <c r="Y22" s="41"/>
    </row>
    <row r="23" spans="1:25" ht="15.75" customHeight="1">
      <c r="A23" s="24" t="s">
        <v>23</v>
      </c>
      <c r="B23" s="219">
        <f>IF(ISBLANK(DBData!AC3),0, (DBData!AC3))/100</f>
        <v>0</v>
      </c>
      <c r="C23" s="1">
        <f t="shared" ref="C23:L23" si="10">C41*$B$23</f>
        <v>0</v>
      </c>
      <c r="D23" s="1">
        <f t="shared" si="10"/>
        <v>0</v>
      </c>
      <c r="E23" s="1">
        <f t="shared" si="10"/>
        <v>0</v>
      </c>
      <c r="F23" s="1">
        <f t="shared" si="10"/>
        <v>0</v>
      </c>
      <c r="G23" s="1">
        <f t="shared" si="10"/>
        <v>0</v>
      </c>
      <c r="H23" s="1">
        <f t="shared" si="10"/>
        <v>0</v>
      </c>
      <c r="I23" s="1">
        <f t="shared" si="10"/>
        <v>0</v>
      </c>
      <c r="J23" s="1">
        <f t="shared" si="10"/>
        <v>0</v>
      </c>
      <c r="K23" s="1">
        <f t="shared" si="10"/>
        <v>0</v>
      </c>
      <c r="L23" s="1">
        <f t="shared" si="10"/>
        <v>0</v>
      </c>
      <c r="M23" s="13">
        <f>SUM(C23:L23)</f>
        <v>0</v>
      </c>
      <c r="N23" s="68"/>
      <c r="V23" s="41"/>
      <c r="W23" s="41"/>
      <c r="X23" s="41"/>
      <c r="Y23" s="41"/>
    </row>
    <row r="24" spans="1:25" ht="15.75" customHeight="1">
      <c r="A24" s="171" t="s">
        <v>483</v>
      </c>
      <c r="B24" s="219">
        <f>IF(ISBLANK(DBData!AD3),0, (DBData!AD3))/100</f>
        <v>0</v>
      </c>
      <c r="C24" s="1">
        <f t="shared" ref="C24:L24" si="11">(C14+C25)*$B24</f>
        <v>0</v>
      </c>
      <c r="D24" s="1">
        <f t="shared" si="11"/>
        <v>0</v>
      </c>
      <c r="E24" s="1">
        <f t="shared" si="11"/>
        <v>0</v>
      </c>
      <c r="F24" s="1">
        <f t="shared" si="11"/>
        <v>0</v>
      </c>
      <c r="G24" s="1">
        <f t="shared" si="11"/>
        <v>0</v>
      </c>
      <c r="H24" s="1">
        <f t="shared" si="11"/>
        <v>0</v>
      </c>
      <c r="I24" s="1">
        <f t="shared" si="11"/>
        <v>0</v>
      </c>
      <c r="J24" s="1">
        <f t="shared" si="11"/>
        <v>0</v>
      </c>
      <c r="K24" s="1">
        <f t="shared" si="11"/>
        <v>0</v>
      </c>
      <c r="L24" s="1">
        <f t="shared" si="11"/>
        <v>0</v>
      </c>
      <c r="M24" s="13">
        <f>SUM(C24:L24)</f>
        <v>0</v>
      </c>
      <c r="N24" s="68"/>
      <c r="V24" s="41"/>
      <c r="W24" s="41"/>
      <c r="X24" s="41"/>
      <c r="Y24" s="41"/>
    </row>
    <row r="25" spans="1:25" s="203" customFormat="1" ht="15.75" customHeight="1">
      <c r="A25" s="171" t="s">
        <v>394</v>
      </c>
      <c r="B25" s="278" t="str">
        <f>IF(DBData!AF3 = "$", DBData!AF3&amp;DBData!AG3, DBData!AG3&amp;DBData!AF3)</f>
        <v>$0</v>
      </c>
      <c r="C25" s="216">
        <f>IF((DBData!ID3)="y",(DBData!IE3)+(DBData!II3)+(DBData!IM3)+(DBData!IQ3)+(DBData!IU3)+(DBData!IY3)+(DBData!JC3)+(DBData!IJL3)+(DBData!JO3)+(DBData!JT3)+(DBData!JY3)+(DBData!KD3),IF(ISBLANK(DBData!EM3),0,(DBData!EM3)))</f>
        <v>0</v>
      </c>
      <c r="D25" s="216">
        <f>IF(ISBLANK(DBData!EM4),0, (DBData!EM4))</f>
        <v>0</v>
      </c>
      <c r="E25" s="216">
        <f>IF(ISBLANK(DBData!EM5),0, (DBData!EM5))</f>
        <v>0</v>
      </c>
      <c r="F25" s="216">
        <f>IF(ISBLANK(DBData!EM6),0, (DBData!EM6))</f>
        <v>0</v>
      </c>
      <c r="G25" s="216">
        <f>IF(ISBLANK(DBData!EM7),0, (DBData!EM7))</f>
        <v>0</v>
      </c>
      <c r="H25" s="216">
        <f>IF(ISBLANK(DBData!EM8),0, (DBData!EM8))</f>
        <v>0</v>
      </c>
      <c r="I25" s="216">
        <f>IF(ISBLANK(DBData!EM9),0, (DBData!EM9))</f>
        <v>0</v>
      </c>
      <c r="J25" s="216">
        <f>IF(ISBLANK(DBData!EM10),0, (DBData!EM10))</f>
        <v>0</v>
      </c>
      <c r="K25" s="216">
        <f>IF(ISBLANK(DBData!EM11),0, (DBData!EM11))</f>
        <v>0</v>
      </c>
      <c r="L25" s="216">
        <f>IF(ISBLANK(DBData!EM12),0, (DBData!EM12))</f>
        <v>0</v>
      </c>
      <c r="M25" s="201">
        <f>SUM(C25:L25)</f>
        <v>0</v>
      </c>
      <c r="N25" s="202"/>
      <c r="V25" s="204"/>
      <c r="W25" s="204"/>
      <c r="X25" s="204"/>
      <c r="Y25" s="204"/>
    </row>
    <row r="26" spans="1:25" s="203" customFormat="1" ht="15.75" customHeight="1">
      <c r="A26" s="174" t="s">
        <v>546</v>
      </c>
      <c r="B26" s="278" t="str">
        <f>IF(DBData!AH3 = "$", DBData!AH3&amp;DBData!AI3, DBData!AI3&amp;DBData!AH3)</f>
        <v>$0</v>
      </c>
      <c r="C26" s="245">
        <f>IF(DBData!AH3 = "$", DBData!AI3*DBData!EI3, B26*DBData!EG3)</f>
        <v>0</v>
      </c>
      <c r="D26" s="245">
        <f>IF(DBData!AH3 = "$", DBData!AI4*DBData!EI4, B26*DBData!EG4)</f>
        <v>0</v>
      </c>
      <c r="E26" s="245">
        <f>IF(DBData!AH3 = "$", DBData!AI5*DBData!EI5, B26*DBData!EG5)</f>
        <v>0</v>
      </c>
      <c r="F26" s="245">
        <f>IF(DBData!AH3 = "$", DBData!AI6*DBData!EI6, B26*DBData!EG6)</f>
        <v>0</v>
      </c>
      <c r="G26" s="245">
        <f>IF(DBData!AH3 = "$", DBData!AI7*DBData!EI7, B26*DBData!EG7)</f>
        <v>0</v>
      </c>
      <c r="H26" s="245">
        <f>IF(DBData!AH3 = "$", DBData!AI8*DBData!EI8, B26*DBData!EG8)</f>
        <v>0</v>
      </c>
      <c r="I26" s="245">
        <f>IF(DBData!AH3 = "$", DBData!AI9*DBData!EI9, B26*DBData!EG9)</f>
        <v>0</v>
      </c>
      <c r="J26" s="245">
        <f>IF(DBData!AH3 = "$", DBData!AI10*DBData!EI10, B26*DBData!EG10)</f>
        <v>0</v>
      </c>
      <c r="K26" s="245">
        <f>IF(DBData!AH3 = "$", DBData!AI11*DBData!EI11, B26*DBData!EG11)</f>
        <v>0</v>
      </c>
      <c r="L26" s="245">
        <f>IF(DBData!AH3 = "$", DBData!AI12*DBData!EI12, B26*DBData!EG12)</f>
        <v>0</v>
      </c>
      <c r="M26" s="201">
        <f>SUM(C26:L26)</f>
        <v>0</v>
      </c>
      <c r="N26" s="202"/>
      <c r="V26" s="204"/>
      <c r="W26" s="204"/>
      <c r="X26" s="204"/>
      <c r="Y26" s="204"/>
    </row>
    <row r="27" spans="1:25" s="203" customFormat="1" ht="15.75" customHeight="1">
      <c r="A27" s="254" t="s">
        <v>547</v>
      </c>
      <c r="B27" s="277" t="str">
        <f>IF(DBData!AJ3 = "$", DBData!AJ3&amp;DBData!AK3, DBData!AK3&amp;DBData!AJ3)</f>
        <v>$0</v>
      </c>
      <c r="C27" s="217">
        <f>IF(DBData!AJ3 = "$", DBData!AK3*DBData!EK3, B27*DBData!EH3)</f>
        <v>0</v>
      </c>
      <c r="D27" s="217">
        <f>IF(DBData!AJ3 = "$", DBData!AK4*DBData!EK4, B27*DBData!EH4)</f>
        <v>0</v>
      </c>
      <c r="E27" s="217">
        <f>IF(DBData!AJ3 = "$", DBData!AK5*DBData!EK5, B27*DBData!EH5)</f>
        <v>0</v>
      </c>
      <c r="F27" s="217">
        <f>IF(DBData!AJ3 = "$", DBData!AK6*DBData!EK6, B27*DBData!EH6)</f>
        <v>0</v>
      </c>
      <c r="G27" s="217">
        <f>IF(DBData!AJ3 = "$", DBData!AK7*DBData!EK7, B27*DBData!EH7)</f>
        <v>0</v>
      </c>
      <c r="H27" s="217">
        <f>IF(DBData!AJ3 = "$", DBData!AK8*DBData!EK8, B27*DBData!EH8)</f>
        <v>0</v>
      </c>
      <c r="I27" s="217">
        <f>IF(DBData!AJ3 = "$", DBData!AK9*DBData!EK9, B27*DBData!EH9)</f>
        <v>0</v>
      </c>
      <c r="J27" s="217">
        <f>IF(DBData!AJ3 = "$", DBData!AK10*DBData!EK10, B27*DBData!EH10)</f>
        <v>0</v>
      </c>
      <c r="K27" s="217">
        <f>IF(DBData!AJ3 = "$", DBData!AK11*DBData!EK11, B27*DBData!EH11)</f>
        <v>0</v>
      </c>
      <c r="L27" s="217">
        <f>IF(DBData!AJ3 = "$", DBData!AK12*DBData!EK12, B27*DBData!EH12)</f>
        <v>0</v>
      </c>
      <c r="M27" s="218">
        <f>SUM(C27:L27)</f>
        <v>0</v>
      </c>
      <c r="N27" s="202"/>
      <c r="V27" s="204"/>
      <c r="W27" s="204"/>
      <c r="X27" s="204"/>
      <c r="Y27" s="204"/>
    </row>
    <row r="28" spans="1:25" ht="15.75" customHeight="1">
      <c r="A28" s="8" t="s">
        <v>7</v>
      </c>
      <c r="B28" s="8"/>
      <c r="C28" s="3">
        <f t="shared" ref="C28:M28" si="12">SUM(C14:C25)</f>
        <v>15369.52</v>
      </c>
      <c r="D28" s="3">
        <f t="shared" si="12"/>
        <v>0</v>
      </c>
      <c r="E28" s="3">
        <f t="shared" si="12"/>
        <v>0</v>
      </c>
      <c r="F28" s="3">
        <f t="shared" si="12"/>
        <v>0</v>
      </c>
      <c r="G28" s="3">
        <f t="shared" si="12"/>
        <v>0</v>
      </c>
      <c r="H28" s="3">
        <f t="shared" si="12"/>
        <v>0</v>
      </c>
      <c r="I28" s="3">
        <f t="shared" si="12"/>
        <v>0</v>
      </c>
      <c r="J28" s="3">
        <f t="shared" si="12"/>
        <v>0</v>
      </c>
      <c r="K28" s="3">
        <f t="shared" si="12"/>
        <v>0</v>
      </c>
      <c r="L28" s="3">
        <f t="shared" si="12"/>
        <v>0</v>
      </c>
      <c r="M28" s="15">
        <f t="shared" si="12"/>
        <v>15369.52</v>
      </c>
      <c r="N28" s="68"/>
      <c r="V28" s="41"/>
      <c r="W28" s="41"/>
      <c r="X28" s="41"/>
      <c r="Y28" s="41"/>
    </row>
    <row r="29" spans="1:25" ht="15.75" customHeight="1">
      <c r="A29" s="8"/>
      <c r="B29" s="8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41" t="s">
        <v>8</v>
      </c>
      <c r="V29" s="41"/>
      <c r="W29" s="41"/>
      <c r="X29" s="41"/>
      <c r="Y29" s="41"/>
    </row>
    <row r="30" spans="1:25" ht="15.75" customHeight="1">
      <c r="A30" s="29" t="s">
        <v>166</v>
      </c>
      <c r="B30" s="10"/>
      <c r="C30" s="36">
        <f t="shared" ref="C30:M30" si="13">C13-C28</f>
        <v>88468.479999999996</v>
      </c>
      <c r="D30" s="36">
        <f t="shared" si="13"/>
        <v>0</v>
      </c>
      <c r="E30" s="36">
        <f t="shared" si="13"/>
        <v>0</v>
      </c>
      <c r="F30" s="36">
        <f t="shared" si="13"/>
        <v>0</v>
      </c>
      <c r="G30" s="36">
        <f t="shared" si="13"/>
        <v>0</v>
      </c>
      <c r="H30" s="36">
        <f t="shared" si="13"/>
        <v>0</v>
      </c>
      <c r="I30" s="36">
        <f t="shared" si="13"/>
        <v>0</v>
      </c>
      <c r="J30" s="36">
        <f t="shared" si="13"/>
        <v>0</v>
      </c>
      <c r="K30" s="36">
        <f t="shared" si="13"/>
        <v>0</v>
      </c>
      <c r="L30" s="36">
        <f t="shared" si="13"/>
        <v>0</v>
      </c>
      <c r="M30" s="16">
        <f t="shared" si="13"/>
        <v>88468.479999999996</v>
      </c>
      <c r="N30" s="142">
        <f>SUM(C30:L30)</f>
        <v>88468.479999999996</v>
      </c>
      <c r="V30" s="41"/>
      <c r="W30" s="41"/>
      <c r="X30" s="41"/>
      <c r="Y30" s="41"/>
    </row>
    <row r="31" spans="1:25" ht="15.75" customHeight="1">
      <c r="A31" s="29" t="s">
        <v>167</v>
      </c>
      <c r="B31" s="10"/>
      <c r="C31" s="36">
        <f>SUM($C$30:C30)</f>
        <v>88468.479999999996</v>
      </c>
      <c r="D31" s="36">
        <f>SUM($C$30:D30)</f>
        <v>88468.479999999996</v>
      </c>
      <c r="E31" s="36">
        <f>SUM($C$30:E30)</f>
        <v>88468.479999999996</v>
      </c>
      <c r="F31" s="36">
        <f>SUM($C$30:F30)</f>
        <v>88468.479999999996</v>
      </c>
      <c r="G31" s="36">
        <f>SUM($C$30:G30)</f>
        <v>88468.479999999996</v>
      </c>
      <c r="H31" s="36">
        <f>SUM($C$30:H30)</f>
        <v>88468.479999999996</v>
      </c>
      <c r="I31" s="36">
        <f>SUM($C$30:I30)</f>
        <v>88468.479999999996</v>
      </c>
      <c r="J31" s="36">
        <f>SUM($C$30:J30)</f>
        <v>88468.479999999996</v>
      </c>
      <c r="K31" s="36">
        <f>SUM($C$30:K30)</f>
        <v>88468.479999999996</v>
      </c>
      <c r="L31" s="36">
        <f>SUM($C$30:L30)</f>
        <v>88468.479999999996</v>
      </c>
      <c r="M31" s="15" t="s">
        <v>168</v>
      </c>
      <c r="N31" s="68"/>
      <c r="V31" s="41"/>
      <c r="W31" s="41"/>
      <c r="X31" s="41"/>
      <c r="Y31" s="41"/>
    </row>
    <row r="32" spans="1:25" ht="15.75" customHeight="1">
      <c r="A32" s="8"/>
      <c r="B32" s="8"/>
      <c r="C32" s="15"/>
      <c r="D32" s="15"/>
      <c r="E32" s="253"/>
      <c r="F32" s="15"/>
      <c r="G32" s="15"/>
      <c r="H32" s="15"/>
      <c r="I32" s="15"/>
      <c r="J32" s="15"/>
      <c r="K32" s="15"/>
      <c r="L32" s="15"/>
      <c r="M32" s="15"/>
      <c r="N32" s="68"/>
      <c r="V32" s="41"/>
      <c r="W32" s="41"/>
      <c r="X32" s="41"/>
      <c r="Y32" s="41"/>
    </row>
    <row r="33" spans="1:25" ht="15.75" customHeight="1">
      <c r="A33" s="8" t="s">
        <v>169</v>
      </c>
      <c r="B33" s="7"/>
      <c r="C33" s="353">
        <f>SUM(C34:C41,C44:C45)</f>
        <v>103390.82</v>
      </c>
      <c r="D33" s="38">
        <f t="shared" ref="D33:L33" si="14">SUM(D34:D45)</f>
        <v>0</v>
      </c>
      <c r="E33" s="38">
        <f t="shared" si="14"/>
        <v>0</v>
      </c>
      <c r="F33" s="38">
        <f t="shared" si="14"/>
        <v>0</v>
      </c>
      <c r="G33" s="38">
        <f t="shared" si="14"/>
        <v>0</v>
      </c>
      <c r="H33" s="38">
        <f t="shared" si="14"/>
        <v>0</v>
      </c>
      <c r="I33" s="38">
        <f t="shared" si="14"/>
        <v>0</v>
      </c>
      <c r="J33" s="38">
        <f t="shared" si="14"/>
        <v>0</v>
      </c>
      <c r="K33" s="38">
        <f t="shared" si="14"/>
        <v>0</v>
      </c>
      <c r="L33" s="38">
        <f t="shared" si="14"/>
        <v>0</v>
      </c>
      <c r="M33" s="15">
        <f t="shared" ref="M33:M45" si="15">SUM(C33:L33)</f>
        <v>103390.82</v>
      </c>
      <c r="N33" s="39"/>
      <c r="V33" s="41"/>
      <c r="W33" s="41"/>
      <c r="X33" s="41"/>
      <c r="Y33" s="41"/>
    </row>
    <row r="34" spans="1:25" ht="15.75" customHeight="1">
      <c r="A34" s="24" t="s">
        <v>117</v>
      </c>
      <c r="B34" s="143"/>
      <c r="C34" s="172">
        <f>IF(ISBLANK(DBData!DY3),0, (DBData!DY3))</f>
        <v>47995.37</v>
      </c>
      <c r="D34" s="172">
        <f>IF(ISBLANK(DBData!DY4),0, (DBData!DY4))</f>
        <v>0</v>
      </c>
      <c r="E34" s="172">
        <f>IF(ISBLANK(DBData!DY5),0, (DBData!DY5))</f>
        <v>0</v>
      </c>
      <c r="F34" s="172">
        <f>IF(ISBLANK(DBData!DY6),0, (DBData!DY6))</f>
        <v>0</v>
      </c>
      <c r="G34" s="172">
        <f>IF(ISBLANK(DBData!DY7),0, (DBData!DY7))</f>
        <v>0</v>
      </c>
      <c r="H34" s="172">
        <f>IF(ISBLANK(DBData!DY8),0, (DBData!DY8))</f>
        <v>0</v>
      </c>
      <c r="I34" s="172">
        <f>IF(ISBLANK(DBData!DY9),0, (DBData!DY9))</f>
        <v>0</v>
      </c>
      <c r="J34" s="172">
        <f>IF(ISBLANK(DBData!DY10),0, (DBData!DY10))</f>
        <v>0</v>
      </c>
      <c r="K34" s="172">
        <f>IF(ISBLANK(DBData!DY11),0, (DBData!DY11))</f>
        <v>0</v>
      </c>
      <c r="L34" s="172">
        <f>IF(ISBLANK(DBData!DY12),0, (DBData!DY12))</f>
        <v>0</v>
      </c>
      <c r="M34" s="13">
        <f t="shared" si="15"/>
        <v>47995.37</v>
      </c>
      <c r="N34" s="39"/>
      <c r="V34" s="41"/>
      <c r="W34" s="41"/>
      <c r="X34" s="41"/>
      <c r="Y34" s="41"/>
    </row>
    <row r="35" spans="1:25" ht="15.75" customHeight="1">
      <c r="A35" s="24" t="s">
        <v>102</v>
      </c>
      <c r="B35" s="144"/>
      <c r="C35" s="172">
        <f>IF(ISBLANK(DBData!DZ3),0, (DBData!DZ3))</f>
        <v>4074.07</v>
      </c>
      <c r="D35" s="172">
        <f>IF(ISBLANK(DBData!DZ4),0, (DBData!DZ4))</f>
        <v>0</v>
      </c>
      <c r="E35" s="172">
        <f>IF(ISBLANK(DBData!DZ5),0, (DBData!DZ5))</f>
        <v>0</v>
      </c>
      <c r="F35" s="172">
        <f>IF(ISBLANK(DBData!DZ6),0, (DBData!DZ6))</f>
        <v>0</v>
      </c>
      <c r="G35" s="172">
        <f>IF(ISBLANK(DBData!DZ7),0, (DBData!DZ7))</f>
        <v>0</v>
      </c>
      <c r="H35" s="172">
        <f>IF(ISBLANK(DBData!DZ8),0, (DBData!DZ8))</f>
        <v>0</v>
      </c>
      <c r="I35" s="172">
        <f>IF(ISBLANK(DBData!DZ9),0, (DBData!DZ9))</f>
        <v>0</v>
      </c>
      <c r="J35" s="172">
        <f>IF(ISBLANK(DBData!DZ10),0, (DBData!DZ10))</f>
        <v>0</v>
      </c>
      <c r="K35" s="172">
        <f>IF(ISBLANK(DBData!DZ11),0, (DBData!DZ11))</f>
        <v>0</v>
      </c>
      <c r="L35" s="172">
        <f>IF(ISBLANK(DBData!DZ12),0, (DBData!DZ12))</f>
        <v>0</v>
      </c>
      <c r="M35" s="13">
        <f t="shared" si="15"/>
        <v>4074.07</v>
      </c>
      <c r="N35" s="39"/>
      <c r="V35" s="41"/>
      <c r="W35" s="41"/>
      <c r="X35" s="41"/>
      <c r="Y35" s="41"/>
    </row>
    <row r="36" spans="1:25" ht="15.75" customHeight="1">
      <c r="A36" s="24" t="s">
        <v>101</v>
      </c>
      <c r="B36" s="144"/>
      <c r="C36" s="172">
        <f>IF(ISBLANK(DBData!EA3),0, (DBData!EA3))</f>
        <v>27671.3</v>
      </c>
      <c r="D36" s="172">
        <f>IF(ISBLANK(DBData!EA4),0, (DBData!EA4))</f>
        <v>0</v>
      </c>
      <c r="E36" s="172">
        <f>IF(ISBLANK(DBData!EA5),0, (DBData!EA5))</f>
        <v>0</v>
      </c>
      <c r="F36" s="172">
        <f>IF(ISBLANK(DBData!EA6),0, (DBData!EA6))</f>
        <v>0</v>
      </c>
      <c r="G36" s="172">
        <f>IF(ISBLANK(DBData!EA7),0, (DBData!EA7))</f>
        <v>0</v>
      </c>
      <c r="H36" s="172">
        <f>IF(ISBLANK(DBData!EA8),0, (DBData!EA8))</f>
        <v>0</v>
      </c>
      <c r="I36" s="172">
        <f>IF(ISBLANK(DBData!EA9),0, (DBData!EA9))</f>
        <v>0</v>
      </c>
      <c r="J36" s="172">
        <f>IF(ISBLANK(DBData!EA10),0, (DBData!EA10))</f>
        <v>0</v>
      </c>
      <c r="K36" s="172">
        <f>IF(ISBLANK(DBData!EA11),0, (DBData!EA11))</f>
        <v>0</v>
      </c>
      <c r="L36" s="172">
        <f>IF(ISBLANK(DBData!EA12),0, (DBData!EA12))</f>
        <v>0</v>
      </c>
      <c r="M36" s="13">
        <f t="shared" si="15"/>
        <v>27671.3</v>
      </c>
      <c r="N36" s="39"/>
      <c r="V36" s="41"/>
      <c r="W36" s="41"/>
      <c r="X36" s="41"/>
      <c r="Y36" s="41"/>
    </row>
    <row r="37" spans="1:25" ht="15.75" customHeight="1">
      <c r="A37" s="24" t="s">
        <v>118</v>
      </c>
      <c r="B37" s="144"/>
      <c r="C37" s="172">
        <f>IF(ISBLANK(DBData!EB3),0, (DBData!EB3))</f>
        <v>8175.93</v>
      </c>
      <c r="D37" s="172">
        <f>IF(ISBLANK(DBData!EB4),0, (DBData!EB4))</f>
        <v>0</v>
      </c>
      <c r="E37" s="172">
        <f>IF(ISBLANK(DBData!EB5),0, (DBData!EB5))</f>
        <v>0</v>
      </c>
      <c r="F37" s="172">
        <f>IF(ISBLANK(DBData!EB6),0, (DBData!EB6))</f>
        <v>0</v>
      </c>
      <c r="G37" s="172">
        <f>IF(ISBLANK(DBData!EB7),0, (DBData!EB7))</f>
        <v>0</v>
      </c>
      <c r="H37" s="172">
        <f>IF(ISBLANK(DBData!EB8),0, (DBData!EB8))</f>
        <v>0</v>
      </c>
      <c r="I37" s="172">
        <f>IF(ISBLANK(DBData!EB9),0, (DBData!EB9))</f>
        <v>0</v>
      </c>
      <c r="J37" s="172">
        <f>IF(ISBLANK(DBData!EB10),0, (DBData!EB10))</f>
        <v>0</v>
      </c>
      <c r="K37" s="172">
        <f>IF(ISBLANK(DBData!EB11),0, (DBData!EB11))</f>
        <v>0</v>
      </c>
      <c r="L37" s="172">
        <f>IF(ISBLANK(DBData!EB12),0, (DBData!EB12))</f>
        <v>0</v>
      </c>
      <c r="M37" s="13">
        <f t="shared" si="15"/>
        <v>8175.93</v>
      </c>
      <c r="N37" s="39"/>
      <c r="V37" s="41"/>
      <c r="W37" s="41"/>
      <c r="X37" s="41"/>
      <c r="Y37" s="41"/>
    </row>
    <row r="38" spans="1:25" ht="15.75" customHeight="1">
      <c r="A38" s="24" t="s">
        <v>174</v>
      </c>
      <c r="B38" s="144"/>
      <c r="C38" s="172">
        <f>IF(ISBLANK(DBData!EC3),0, (DBData!EC3))</f>
        <v>310.19</v>
      </c>
      <c r="D38" s="172">
        <f>IF(ISBLANK(DBData!EC4),0, (DBData!EC4))</f>
        <v>0</v>
      </c>
      <c r="E38" s="172">
        <f>IF(ISBLANK(DBData!EC5),0, (DBData!EC5))</f>
        <v>0</v>
      </c>
      <c r="F38" s="172">
        <f>IF(ISBLANK(DBData!EC6),0, (DBData!EC6))</f>
        <v>0</v>
      </c>
      <c r="G38" s="172">
        <f>IF(ISBLANK(DBData!EC7),0, (DBData!EC7))</f>
        <v>0</v>
      </c>
      <c r="H38" s="172">
        <f>IF(ISBLANK(DBData!EC8),0, (DBData!EC8))</f>
        <v>0</v>
      </c>
      <c r="I38" s="172">
        <f>IF(ISBLANK(DBData!EC9),0, (DBData!EC9))</f>
        <v>0</v>
      </c>
      <c r="J38" s="172">
        <f>IF(ISBLANK(DBData!EC10),0, (DBData!EC10))</f>
        <v>0</v>
      </c>
      <c r="K38" s="172">
        <f>IF(ISBLANK(DBData!EC11),0, (DBData!EC11))</f>
        <v>0</v>
      </c>
      <c r="L38" s="172">
        <f>IF(ISBLANK(DBData!EC12),0, (DBData!EC12))</f>
        <v>0</v>
      </c>
      <c r="M38" s="13">
        <f t="shared" si="15"/>
        <v>310.19</v>
      </c>
      <c r="N38" s="39"/>
      <c r="V38" s="41"/>
      <c r="W38" s="41"/>
      <c r="X38" s="41"/>
      <c r="Y38" s="41"/>
    </row>
    <row r="39" spans="1:25" ht="15.75" customHeight="1">
      <c r="A39" s="24" t="s">
        <v>173</v>
      </c>
      <c r="B39" s="143"/>
      <c r="C39" s="172">
        <f>IF(ISBLANK(DBData!ED3),0, (DBData!ED3))</f>
        <v>356.48</v>
      </c>
      <c r="D39" s="172">
        <f>IF(ISBLANK(DBData!ED4),0, (DBData!ED4))</f>
        <v>0</v>
      </c>
      <c r="E39" s="172">
        <f>IF(ISBLANK(DBData!ED5),0, (DBData!ED5))</f>
        <v>0</v>
      </c>
      <c r="F39" s="172">
        <f>IF(ISBLANK(DBData!ED6),0, (DBData!ED6))</f>
        <v>0</v>
      </c>
      <c r="G39" s="172">
        <f>IF(ISBLANK(DBData!ED7),0, (DBData!ED7))</f>
        <v>0</v>
      </c>
      <c r="H39" s="172">
        <f>IF(ISBLANK(DBData!ED8),0, (DBData!ED8))</f>
        <v>0</v>
      </c>
      <c r="I39" s="172">
        <f>IF(ISBLANK(DBData!ED9),0, (DBData!ED9))</f>
        <v>0</v>
      </c>
      <c r="J39" s="172">
        <f>IF(ISBLANK(DBData!ED10),0, (DBData!ED10))</f>
        <v>0</v>
      </c>
      <c r="K39" s="172">
        <f>IF(ISBLANK(DBData!ED11),0, (DBData!ED11))</f>
        <v>0</v>
      </c>
      <c r="L39" s="172">
        <f>IF(ISBLANK(DBData!ED12),0, (DBData!ED12))</f>
        <v>0</v>
      </c>
      <c r="M39" s="13">
        <f t="shared" si="15"/>
        <v>356.48</v>
      </c>
      <c r="N39" s="39"/>
      <c r="V39" s="41"/>
      <c r="W39" s="41"/>
      <c r="X39" s="41"/>
      <c r="Y39" s="41"/>
    </row>
    <row r="40" spans="1:25" ht="15" customHeight="1">
      <c r="A40" s="24" t="s">
        <v>20</v>
      </c>
      <c r="B40" s="145"/>
      <c r="C40" s="172">
        <f>IF(ISBLANK(DBData!EE3),0, (DBData!EE3))</f>
        <v>7562.96</v>
      </c>
      <c r="D40" s="172">
        <f>IF(ISBLANK(DBData!EE4),0, (DBData!EE4))</f>
        <v>0</v>
      </c>
      <c r="E40" s="172">
        <f>IF(ISBLANK(DBData!EE5),0, (DBData!EE5))</f>
        <v>0</v>
      </c>
      <c r="F40" s="172">
        <f>IF(ISBLANK(DBData!EE6),0, (DBData!EE6))</f>
        <v>0</v>
      </c>
      <c r="G40" s="172">
        <f>IF(ISBLANK(DBData!EE7),0, (DBData!EE7))</f>
        <v>0</v>
      </c>
      <c r="H40" s="172">
        <f>IF(ISBLANK(DBData!EE8),0, (DBData!EE8))</f>
        <v>0</v>
      </c>
      <c r="I40" s="172">
        <f>IF(ISBLANK(DBData!EE9),0, (DBData!EE9))</f>
        <v>0</v>
      </c>
      <c r="J40" s="172">
        <f>IF(ISBLANK(DBData!EE10),0, (DBData!EE10))</f>
        <v>0</v>
      </c>
      <c r="K40" s="172">
        <f>IF(ISBLANK(DBData!EE11),0, (DBData!EE11))</f>
        <v>0</v>
      </c>
      <c r="L40" s="172">
        <f>IF(ISBLANK(DBData!EE12),0, (DBData!EE12))</f>
        <v>0</v>
      </c>
      <c r="M40" s="17">
        <f t="shared" si="15"/>
        <v>7562.96</v>
      </c>
      <c r="N40" s="39"/>
      <c r="V40" s="41"/>
      <c r="W40" s="41"/>
      <c r="X40" s="41"/>
      <c r="Y40" s="41"/>
    </row>
    <row r="41" spans="1:25" ht="15" customHeight="1">
      <c r="A41" s="24" t="s">
        <v>21</v>
      </c>
      <c r="B41" s="145"/>
      <c r="C41" s="172">
        <f>IF(ISBLANK(DBData!EF3),0, (DBData!EF3))</f>
        <v>0</v>
      </c>
      <c r="D41" s="172">
        <f>IF(ISBLANK(DBData!EF4),0, (DBData!EF4))</f>
        <v>0</v>
      </c>
      <c r="E41" s="172">
        <f>IF(ISBLANK(DBData!EF5),0, (DBData!EF5))</f>
        <v>0</v>
      </c>
      <c r="F41" s="172">
        <f>IF(ISBLANK(DBData!EF6),0, (DBData!EF6))</f>
        <v>0</v>
      </c>
      <c r="G41" s="172">
        <f>IF(ISBLANK(DBData!EF7),0, (DBData!EF7))</f>
        <v>0</v>
      </c>
      <c r="H41" s="172">
        <f>IF(ISBLANK(DBData!EF8),0, (DBData!EF8))</f>
        <v>0</v>
      </c>
      <c r="I41" s="172">
        <f>IF(ISBLANK(DBData!EF9),0, (DBData!EF9))</f>
        <v>0</v>
      </c>
      <c r="J41" s="172">
        <f>IF(ISBLANK(DBData!EF10),0, (DBData!EF10))</f>
        <v>0</v>
      </c>
      <c r="K41" s="172">
        <f>IF(ISBLANK(DBData!EF11),0, (DBData!EF11))</f>
        <v>0</v>
      </c>
      <c r="L41" s="172">
        <f>IF(ISBLANK(DBData!EF12),0, (DBData!EF12))</f>
        <v>0</v>
      </c>
      <c r="M41" s="17">
        <f t="shared" si="15"/>
        <v>0</v>
      </c>
      <c r="N41" s="39"/>
      <c r="V41" s="41"/>
      <c r="W41" s="41"/>
      <c r="X41" s="41"/>
      <c r="Y41" s="41"/>
    </row>
    <row r="42" spans="1:25" ht="15" customHeight="1">
      <c r="A42" s="24" t="s">
        <v>382</v>
      </c>
      <c r="B42" s="143"/>
      <c r="C42" s="172">
        <f>IF(ISBLANK(DBData!EJ3),0, (DBData!EJ3))</f>
        <v>0</v>
      </c>
      <c r="D42" s="172">
        <f>IF(ISBLANK(DBData!EJ4),0, (DBData!EJ4))</f>
        <v>0</v>
      </c>
      <c r="E42" s="172">
        <f>IF(ISBLANK(DBData!EJ5),0, (DBData!EJ5))</f>
        <v>0</v>
      </c>
      <c r="F42" s="172">
        <f>IF(ISBLANK(DBData!EJ6),0, (DBData!EJ6))</f>
        <v>0</v>
      </c>
      <c r="G42" s="172">
        <f>IF(ISBLANK(DBData!EJ7),0, (DBData!EJ7))</f>
        <v>0</v>
      </c>
      <c r="H42" s="172">
        <f>IF(ISBLANK(DBData!EJ8),0, (DBData!EJ8))</f>
        <v>0</v>
      </c>
      <c r="I42" s="172">
        <f>IF(ISBLANK(DBData!EJ9),0, (DBData!EJ9))</f>
        <v>0</v>
      </c>
      <c r="J42" s="172">
        <f>IF(ISBLANK(DBData!EJ10),0, (DBData!EJ10))</f>
        <v>0</v>
      </c>
      <c r="K42" s="172">
        <f>IF(ISBLANK(DBData!EJ11),0, (DBData!EJ11))</f>
        <v>0</v>
      </c>
      <c r="L42" s="172">
        <f>IF(ISBLANK(DBData!EJ12),0, (DBData!EJ12))</f>
        <v>0</v>
      </c>
      <c r="M42" s="13">
        <f t="shared" si="15"/>
        <v>0</v>
      </c>
      <c r="N42" s="39"/>
      <c r="V42" s="41"/>
      <c r="W42" s="41"/>
      <c r="X42" s="41"/>
      <c r="Y42" s="41"/>
    </row>
    <row r="43" spans="1:25" ht="15" customHeight="1">
      <c r="A43" s="24" t="s">
        <v>383</v>
      </c>
      <c r="B43" s="143"/>
      <c r="C43" s="172">
        <f>IF(ISBLANK(DBData!EL3),0, (DBData!EL3))</f>
        <v>0</v>
      </c>
      <c r="D43" s="172">
        <f>IF(ISBLANK(DBData!EL4),0, (DBData!EL4))</f>
        <v>0</v>
      </c>
      <c r="E43" s="172">
        <f>IF(ISBLANK(DBData!EL5),0, (DBData!EL5))</f>
        <v>0</v>
      </c>
      <c r="F43" s="172">
        <f>IF(ISBLANK(DBData!EL6),0, (DBData!EL6))</f>
        <v>0</v>
      </c>
      <c r="G43" s="172">
        <f>IF(ISBLANK(DBData!EL7),0, (DBData!EL7))</f>
        <v>0</v>
      </c>
      <c r="H43" s="172">
        <f>IF(ISBLANK(DBData!EL8),0, (DBData!EL8))</f>
        <v>0</v>
      </c>
      <c r="I43" s="172">
        <f>IF(ISBLANK(DBData!EL9),0, (DBData!EL9))</f>
        <v>0</v>
      </c>
      <c r="J43" s="172">
        <f>IF(ISBLANK(DBData!EL10),0, (DBData!EL10))</f>
        <v>0</v>
      </c>
      <c r="K43" s="172">
        <f>IF(ISBLANK(DBData!EL11),0, (DBData!EL11))</f>
        <v>0</v>
      </c>
      <c r="L43" s="172">
        <f>IF(ISBLANK(DBData!EL12),0, (DBData!EL12))</f>
        <v>0</v>
      </c>
      <c r="M43" s="13">
        <f t="shared" si="15"/>
        <v>0</v>
      </c>
      <c r="N43" s="68"/>
      <c r="V43" s="41"/>
      <c r="W43" s="41"/>
      <c r="X43" s="41"/>
      <c r="Y43" s="41"/>
    </row>
    <row r="44" spans="1:25" ht="15" customHeight="1">
      <c r="A44" s="182" t="s">
        <v>115</v>
      </c>
      <c r="B44" s="143"/>
      <c r="C44" s="172">
        <f>IF(DBData!AE3 = "I", C25, 0)</f>
        <v>0</v>
      </c>
      <c r="D44" s="172">
        <f>IF(DBData!AE3 = "I", D25, 0)</f>
        <v>0</v>
      </c>
      <c r="E44" s="172">
        <f>IF(DBData!AE3 = "I", E25, 0)</f>
        <v>0</v>
      </c>
      <c r="F44" s="172">
        <f>IF(DBData!AE3 = "I", F25, 0)</f>
        <v>0</v>
      </c>
      <c r="G44" s="172">
        <f>IF(DBData!AE3 = "I", G25, 0)</f>
        <v>0</v>
      </c>
      <c r="H44" s="172">
        <f>IF(DBData!AE3 = "I", H25, 0)</f>
        <v>0</v>
      </c>
      <c r="I44" s="172">
        <f>IF(DBData!AE3 = "I", I25, 0)</f>
        <v>0</v>
      </c>
      <c r="J44" s="172">
        <f>IF(DBData!AE3 = "I", J25, 0)</f>
        <v>0</v>
      </c>
      <c r="K44" s="172">
        <f>IF(DBData!AE3 = "I", K25, 0)</f>
        <v>0</v>
      </c>
      <c r="L44" s="172">
        <f>IF(DBData!AE3 = "I", L25, 0)</f>
        <v>0</v>
      </c>
      <c r="M44" s="13">
        <f t="shared" si="15"/>
        <v>0</v>
      </c>
      <c r="N44" s="68"/>
      <c r="V44" s="41"/>
      <c r="W44" s="41"/>
      <c r="X44" s="41"/>
      <c r="Y44" s="41"/>
    </row>
    <row r="45" spans="1:25" s="148" customFormat="1" ht="15.75" customHeight="1">
      <c r="A45" s="183" t="s">
        <v>116</v>
      </c>
      <c r="B45" s="146"/>
      <c r="C45" s="173">
        <f>IF(OR(DBData!S3="IA", DBData!S3="IB", DBData!S3="I0"),C14,0)</f>
        <v>7244.52</v>
      </c>
      <c r="D45" s="173">
        <f>IF(OR(DBData!S3="IA", DBData!S3="IB", DBData!S3="I0"),D14,0)</f>
        <v>0</v>
      </c>
      <c r="E45" s="173">
        <f>IF(OR(DBData!S3="IA", DBData!S3="IB", DBData!S3="I0"),E14,0)</f>
        <v>0</v>
      </c>
      <c r="F45" s="173">
        <f>IF(OR(DBData!S3="IA", DBData!S3="IB", DBData!S3="I0"),F14,0)</f>
        <v>0</v>
      </c>
      <c r="G45" s="173">
        <f>IF(OR(DBData!S3="IA", DBData!S3="IB", DBData!S3="I0"),G14,0)</f>
        <v>0</v>
      </c>
      <c r="H45" s="173">
        <f>IF(OR(DBData!S3="IA", DBData!S3="IB", DBData!S3="I0"),H14,0)</f>
        <v>0</v>
      </c>
      <c r="I45" s="173">
        <f>IF(OR(DBData!S3="IA", DBData!S3="IB", DBData!S3="I0"),I14,0)</f>
        <v>0</v>
      </c>
      <c r="J45" s="173">
        <f>IF(OR(DBData!S3="IA", DBData!S3="IB", DBData!S3="I0"),J14,0)</f>
        <v>0</v>
      </c>
      <c r="K45" s="173">
        <f>IF(OR(DBData!S3="IA", DBData!S3="IB", DBData!S3="I0"),K14,0)</f>
        <v>0</v>
      </c>
      <c r="L45" s="173">
        <f>IF(OR(DBData!S3="IA", DBData!S3="IB", DBData!S3="I0"),L14,0)</f>
        <v>0</v>
      </c>
      <c r="M45" s="14">
        <f t="shared" si="15"/>
        <v>7244.52</v>
      </c>
      <c r="N45" s="147"/>
      <c r="V45" s="149"/>
      <c r="W45" s="149"/>
      <c r="X45" s="149"/>
      <c r="Y45" s="149"/>
    </row>
    <row r="46" spans="1:25" ht="15.75">
      <c r="A46" s="31" t="s">
        <v>8</v>
      </c>
      <c r="B46" s="150"/>
      <c r="C46" s="4">
        <f t="shared" ref="C46:M46" si="16">C33-C13</f>
        <v>-447.18</v>
      </c>
      <c r="D46" s="4">
        <f t="shared" si="16"/>
        <v>0</v>
      </c>
      <c r="E46" s="4">
        <f t="shared" si="16"/>
        <v>0</v>
      </c>
      <c r="F46" s="4">
        <f t="shared" si="16"/>
        <v>0</v>
      </c>
      <c r="G46" s="4">
        <f t="shared" si="16"/>
        <v>0</v>
      </c>
      <c r="H46" s="4">
        <f t="shared" si="16"/>
        <v>0</v>
      </c>
      <c r="I46" s="4">
        <f t="shared" si="16"/>
        <v>0</v>
      </c>
      <c r="J46" s="4">
        <f t="shared" si="16"/>
        <v>0</v>
      </c>
      <c r="K46" s="4">
        <f t="shared" si="16"/>
        <v>0</v>
      </c>
      <c r="L46" s="4">
        <f t="shared" si="16"/>
        <v>0</v>
      </c>
      <c r="M46" s="18">
        <f t="shared" si="16"/>
        <v>-447.18</v>
      </c>
      <c r="N46" s="68"/>
      <c r="V46" s="41"/>
      <c r="W46" s="41"/>
      <c r="X46" s="41"/>
      <c r="Y46" s="41"/>
    </row>
    <row r="47" spans="1:25" ht="15.75">
      <c r="A47" s="24" t="s">
        <v>119</v>
      </c>
      <c r="B47" s="8"/>
      <c r="C47" s="137">
        <f>IF(ISBLANK(DBData!EO3),0, (DBData!EO3))</f>
        <v>781</v>
      </c>
      <c r="D47" s="137">
        <f>IF(ISBLANK(DBData!EO4),0, (DBData!EO4))</f>
        <v>0</v>
      </c>
      <c r="E47" s="137">
        <f>IF(ISBLANK(DBData!EO5),0, (DBData!EO5))</f>
        <v>0</v>
      </c>
      <c r="F47" s="137">
        <f>IF(ISBLANK(DBData!EO6),0, (DBData!EO6))</f>
        <v>0</v>
      </c>
      <c r="G47" s="137">
        <f>IF(ISBLANK(DBData!EO7),0, (DBData!EO7))</f>
        <v>0</v>
      </c>
      <c r="H47" s="137">
        <f>IF(ISBLANK(DBData!EO8),0, (DBData!EO8))</f>
        <v>0</v>
      </c>
      <c r="I47" s="137">
        <f>IF(ISBLANK(DBData!EO9),0, (DBData!EO9))</f>
        <v>0</v>
      </c>
      <c r="J47" s="137">
        <f>IF(ISBLANK(DBData!EO10),0, (DBData!EO10))</f>
        <v>0</v>
      </c>
      <c r="K47" s="137">
        <f>IF(ISBLANK(DBData!EO11),0, (DBData!EO11))</f>
        <v>0</v>
      </c>
      <c r="L47" s="137">
        <f>IF(ISBLANK(DBData!EO12),0, (DBData!EO12))</f>
        <v>0</v>
      </c>
      <c r="M47" s="19">
        <f t="shared" ref="M47:M55" si="17">SUM(C47:L47)</f>
        <v>781</v>
      </c>
      <c r="N47" s="68"/>
      <c r="V47" s="41"/>
      <c r="W47" s="41"/>
      <c r="X47" s="41"/>
      <c r="Y47" s="41"/>
    </row>
    <row r="48" spans="1:25" ht="15.75">
      <c r="A48" s="24" t="s">
        <v>120</v>
      </c>
      <c r="B48" s="8"/>
      <c r="C48" s="137">
        <f>IF(ISBLANK(DBData!EP3),0, (DBData!EP3))</f>
        <v>68</v>
      </c>
      <c r="D48" s="137">
        <f>IF(ISBLANK(DBData!EP4),0, (DBData!EP4))</f>
        <v>0</v>
      </c>
      <c r="E48" s="137">
        <f>IF(ISBLANK(DBData!EP5),0, (DBData!EP5))</f>
        <v>0</v>
      </c>
      <c r="F48" s="137">
        <f>IF(ISBLANK(DBData!EP6),0, (DBData!EP6))</f>
        <v>0</v>
      </c>
      <c r="G48" s="137">
        <f>IF(ISBLANK(DBData!EP7),0, (DBData!EP7))</f>
        <v>0</v>
      </c>
      <c r="H48" s="137">
        <f>IF(ISBLANK(DBData!EP8),0, (DBData!EP8))</f>
        <v>0</v>
      </c>
      <c r="I48" s="137">
        <f>IF(ISBLANK(DBData!EP9),0, (DBData!EP9))</f>
        <v>0</v>
      </c>
      <c r="J48" s="137">
        <f>IF(ISBLANK(DBData!EP10),0, (DBData!EP10))</f>
        <v>0</v>
      </c>
      <c r="K48" s="137">
        <f>IF(ISBLANK(DBData!EP11),0, (DBData!EP11))</f>
        <v>0</v>
      </c>
      <c r="L48" s="137">
        <f>IF(ISBLANK(DBData!EP12),0, (DBData!EP12))</f>
        <v>0</v>
      </c>
      <c r="M48" s="19">
        <f t="shared" si="17"/>
        <v>68</v>
      </c>
      <c r="N48" s="68"/>
      <c r="V48" s="41"/>
      <c r="W48" s="41"/>
      <c r="X48" s="41"/>
      <c r="Y48" s="41"/>
    </row>
    <row r="49" spans="1:25" ht="15.75">
      <c r="A49" s="24" t="s">
        <v>15</v>
      </c>
      <c r="B49" s="8"/>
      <c r="C49" s="137">
        <f>IF(ISBLANK(DBData!EQ3),0, (DBData!EQ3))</f>
        <v>427</v>
      </c>
      <c r="D49" s="137">
        <f>IF(ISBLANK(DBData!EQ4),0, (DBData!EQ4))</f>
        <v>0</v>
      </c>
      <c r="E49" s="137">
        <f>IF(ISBLANK(DBData!EQ5),0, (DBData!EQ5))</f>
        <v>0</v>
      </c>
      <c r="F49" s="137">
        <f>IF(ISBLANK(DBData!EQ6),0, (DBData!EQ6))</f>
        <v>0</v>
      </c>
      <c r="G49" s="137">
        <f>IF(ISBLANK(DBData!EQ7),0, (DBData!EQ7))</f>
        <v>0</v>
      </c>
      <c r="H49" s="137">
        <f>IF(ISBLANK(DBData!EQ8),0, (DBData!EQ8))</f>
        <v>0</v>
      </c>
      <c r="I49" s="137">
        <f>IF(ISBLANK(DBData!EQ9),0, (DBData!EQ9))</f>
        <v>0</v>
      </c>
      <c r="J49" s="137">
        <f>IF(ISBLANK(DBData!EQ10),0, (DBData!EQ10))</f>
        <v>0</v>
      </c>
      <c r="K49" s="137">
        <f>IF(ISBLANK(DBData!EQ11),0, (DBData!EQ11))</f>
        <v>0</v>
      </c>
      <c r="L49" s="137">
        <f>IF(ISBLANK(DBData!EQ12),0, (DBData!EQ12))</f>
        <v>0</v>
      </c>
      <c r="M49" s="19">
        <f t="shared" si="17"/>
        <v>427</v>
      </c>
      <c r="N49" s="68"/>
      <c r="V49" s="41"/>
      <c r="W49" s="41"/>
      <c r="X49" s="41"/>
      <c r="Y49" s="41"/>
    </row>
    <row r="50" spans="1:25" ht="15.75">
      <c r="A50" s="24" t="s">
        <v>38</v>
      </c>
      <c r="B50" s="8"/>
      <c r="C50" s="137">
        <f>IF(ISBLANK(DBData!ER3),0, (DBData!ER3))</f>
        <v>130</v>
      </c>
      <c r="D50" s="137">
        <f>IF(ISBLANK(DBData!ER4),0, (DBData!ER4))</f>
        <v>0</v>
      </c>
      <c r="E50" s="137">
        <f>IF(ISBLANK(DBData!ER5),0, (DBData!ER5))</f>
        <v>0</v>
      </c>
      <c r="F50" s="137">
        <f>IF(ISBLANK(DBData!ER6),0, (DBData!ER6))</f>
        <v>0</v>
      </c>
      <c r="G50" s="137">
        <f>IF(ISBLANK(DBData!ER7),0, (DBData!ER7))</f>
        <v>0</v>
      </c>
      <c r="H50" s="137">
        <f>IF(ISBLANK(DBData!ER8),0,(DBData!ER8))</f>
        <v>0</v>
      </c>
      <c r="I50" s="137">
        <f>IF(ISBLANK(DBData!ER9),0, (DBData!ER9))</f>
        <v>0</v>
      </c>
      <c r="J50" s="137">
        <f>IF(ISBLANK(DBData!ER10),0, (DBData!ER10))</f>
        <v>0</v>
      </c>
      <c r="K50" s="137">
        <f>IF(ISBLANK(DBData!ER11),0, (DBData!ER11))</f>
        <v>0</v>
      </c>
      <c r="L50" s="137">
        <f>IF(ISBLANK(DBData!ER12),0, (DBData!ER12))</f>
        <v>0</v>
      </c>
      <c r="M50" s="19">
        <f t="shared" si="17"/>
        <v>130</v>
      </c>
      <c r="N50" s="68"/>
      <c r="V50" s="41"/>
      <c r="W50" s="41"/>
      <c r="X50" s="41"/>
      <c r="Y50" s="41"/>
    </row>
    <row r="51" spans="1:25" ht="15.75">
      <c r="A51" s="24" t="s">
        <v>10</v>
      </c>
      <c r="B51" s="8"/>
      <c r="C51" s="137">
        <f>IF(ISBLANK(DBData!ES3),0, (DBData!ES3))</f>
        <v>5</v>
      </c>
      <c r="D51" s="137">
        <f>IF(ISBLANK(DBData!ES4),0, (DBData!ES4))</f>
        <v>0</v>
      </c>
      <c r="E51" s="137">
        <f>IF(ISBLANK(DBData!ES5),0, (DBData!ES5))</f>
        <v>0</v>
      </c>
      <c r="F51" s="137">
        <f>IF(ISBLANK(DBData!ES6),0, (DBData!ES6))</f>
        <v>0</v>
      </c>
      <c r="G51" s="137">
        <f>IF(ISBLANK(DBData!ES7),0, (DBData!ES7))</f>
        <v>0</v>
      </c>
      <c r="H51" s="137">
        <f>IF(ISBLANK(DBData!ES8),0, (DBData!ES8))</f>
        <v>0</v>
      </c>
      <c r="I51" s="137">
        <f>IF(ISBLANK(DBData!ES9),0, (DBData!ES9))</f>
        <v>0</v>
      </c>
      <c r="J51" s="137">
        <f>IF(ISBLANK(DBData!ES10),0, (DBData!ES10))</f>
        <v>0</v>
      </c>
      <c r="K51" s="137">
        <f>IF(ISBLANK(DBData!ES11),0, (DBData!ES11))</f>
        <v>0</v>
      </c>
      <c r="L51" s="137">
        <f>IF(ISBLANK(DBData!ES12),0, (DBData!ES12))</f>
        <v>0</v>
      </c>
      <c r="M51" s="19">
        <f t="shared" si="17"/>
        <v>5</v>
      </c>
      <c r="N51" s="68"/>
      <c r="V51" s="41"/>
      <c r="W51" s="41"/>
      <c r="X51" s="41"/>
      <c r="Y51" s="41"/>
    </row>
    <row r="52" spans="1:25" ht="15.75">
      <c r="A52" s="24" t="s">
        <v>11</v>
      </c>
      <c r="B52" s="8"/>
      <c r="C52" s="137">
        <f>IF(ISBLANK(DBData!ET3),0, (DBData!ET3))</f>
        <v>7</v>
      </c>
      <c r="D52" s="137">
        <f>IF(ISBLANK(DBData!ET4),0, (DBData!ET4))</f>
        <v>0</v>
      </c>
      <c r="E52" s="137">
        <f>IF(ISBLANK(DBData!ET5),0, (DBData!ET5))</f>
        <v>0</v>
      </c>
      <c r="F52" s="137">
        <f>IF(ISBLANK(DBData!ET6),0, (DBData!ET6))</f>
        <v>0</v>
      </c>
      <c r="G52" s="137">
        <f>IF(ISBLANK(DBData!ET7),0, (DBData!ET7))</f>
        <v>0</v>
      </c>
      <c r="H52" s="137">
        <f>IF(ISBLANK(DBData!ET8),0, (DBData!ET8))</f>
        <v>0</v>
      </c>
      <c r="I52" s="137">
        <f>IF(ISBLANK(DBData!ET9),0, (DBData!ET9))</f>
        <v>0</v>
      </c>
      <c r="J52" s="137">
        <f>IF(ISBLANK(DBData!ET10),0, (DBData!ET10))</f>
        <v>0</v>
      </c>
      <c r="K52" s="137">
        <f>IF(ISBLANK(DBData!ET11),0, (DBData!ET11))</f>
        <v>0</v>
      </c>
      <c r="L52" s="137">
        <f>IF(ISBLANK(DBData!ET12),0, (DBData!ET12))</f>
        <v>0</v>
      </c>
      <c r="M52" s="19">
        <f t="shared" si="17"/>
        <v>7</v>
      </c>
      <c r="N52" s="68"/>
      <c r="V52" s="41"/>
      <c r="W52" s="41"/>
      <c r="X52" s="41"/>
      <c r="Y52" s="41"/>
    </row>
    <row r="53" spans="1:25" ht="15.75">
      <c r="A53" s="251" t="s">
        <v>384</v>
      </c>
      <c r="B53" s="8"/>
      <c r="C53" s="137">
        <f>IF(ISBLANK(DBData!EU3),0, (DBData!EU3))</f>
        <v>121</v>
      </c>
      <c r="D53" s="137">
        <f>IF(ISBLANK(DBData!EU4),0, (DBData!EU4))</f>
        <v>0</v>
      </c>
      <c r="E53" s="137">
        <f>IF(ISBLANK(DBData!EU5),0, (DBData!EU5))</f>
        <v>0</v>
      </c>
      <c r="F53" s="137">
        <f>IF(ISBLANK(DBData!EU6),0, (DBData!EU6))</f>
        <v>0</v>
      </c>
      <c r="G53" s="137">
        <f>IF(ISBLANK(DBData!EU7),0, (DBData!EU7))</f>
        <v>0</v>
      </c>
      <c r="H53" s="137">
        <f>IF(ISBLANK(DBData!EU8),0, (DBData!EU8))</f>
        <v>0</v>
      </c>
      <c r="I53" s="137">
        <f>IF(ISBLANK(DBData!EU9),0, (DBData!EU9))</f>
        <v>0</v>
      </c>
      <c r="J53" s="137">
        <f>IF(ISBLANK(DBData!EU10),0, (DBData!EU10))</f>
        <v>0</v>
      </c>
      <c r="K53" s="137">
        <f>IF(ISBLANK(DBData!EU11),0, (DBData!EU11))</f>
        <v>0</v>
      </c>
      <c r="L53" s="137">
        <f>IF(ISBLANK(DBData!EU12),0, (DBData!EU12))</f>
        <v>0</v>
      </c>
      <c r="M53" s="19">
        <f t="shared" si="17"/>
        <v>121</v>
      </c>
      <c r="N53" s="68"/>
      <c r="V53" s="41"/>
      <c r="W53" s="41"/>
      <c r="X53" s="41"/>
      <c r="Y53" s="41"/>
    </row>
    <row r="54" spans="1:25" ht="15.75">
      <c r="A54" s="262" t="s">
        <v>385</v>
      </c>
      <c r="B54" s="8"/>
      <c r="C54" s="137">
        <f>IF(ISBLANK(DBData!EV3),0, (DBData!EV3))</f>
        <v>0</v>
      </c>
      <c r="D54" s="137">
        <f>IF(ISBLANK(DBData!EV4),0, (DBData!EV4))</f>
        <v>0</v>
      </c>
      <c r="E54" s="137">
        <f>IF(ISBLANK(DBData!EV5),0, (DBData!EV5))</f>
        <v>0</v>
      </c>
      <c r="F54" s="137">
        <f>IF(ISBLANK(DBData!EV6),0, (DBData!EV6))</f>
        <v>0</v>
      </c>
      <c r="G54" s="137">
        <f>IF(ISBLANK(DBData!EV7),0, (DBData!EV7))</f>
        <v>0</v>
      </c>
      <c r="H54" s="137">
        <f>IF(ISBLANK(DBData!EV8),0, (DBData!EV8))</f>
        <v>0</v>
      </c>
      <c r="I54" s="137">
        <f>IF(ISBLANK(DBData!EV9),0, (DBData!EV9))</f>
        <v>0</v>
      </c>
      <c r="J54" s="137">
        <f>IF(ISBLANK(DBData!EV10),0, (DBData!EV10))</f>
        <v>0</v>
      </c>
      <c r="K54" s="137">
        <f>IF(ISBLANK(DBData!EV11),0, (DBData!EV11))</f>
        <v>0</v>
      </c>
      <c r="L54" s="137">
        <f>IF(ISBLANK(DBData!EV12),0, (DBData!EV12))</f>
        <v>0</v>
      </c>
      <c r="M54" s="19">
        <f t="shared" si="17"/>
        <v>0</v>
      </c>
      <c r="N54" s="68"/>
      <c r="V54" s="41"/>
      <c r="W54" s="41"/>
      <c r="X54" s="41"/>
      <c r="Y54" s="41"/>
    </row>
    <row r="55" spans="1:25" ht="15.75">
      <c r="A55" s="24" t="s">
        <v>86</v>
      </c>
      <c r="B55" s="8"/>
      <c r="C55" s="137">
        <f t="shared" ref="C55:L55" si="18">C8</f>
        <v>47</v>
      </c>
      <c r="D55" s="137">
        <f t="shared" si="18"/>
        <v>0</v>
      </c>
      <c r="E55" s="137">
        <f t="shared" si="18"/>
        <v>0</v>
      </c>
      <c r="F55" s="137">
        <f t="shared" si="18"/>
        <v>0</v>
      </c>
      <c r="G55" s="137">
        <f t="shared" si="18"/>
        <v>0</v>
      </c>
      <c r="H55" s="137">
        <f t="shared" si="18"/>
        <v>0</v>
      </c>
      <c r="I55" s="137">
        <f t="shared" si="18"/>
        <v>0</v>
      </c>
      <c r="J55" s="137">
        <f t="shared" si="18"/>
        <v>0</v>
      </c>
      <c r="K55" s="137">
        <f t="shared" si="18"/>
        <v>0</v>
      </c>
      <c r="L55" s="137">
        <f t="shared" si="18"/>
        <v>0</v>
      </c>
      <c r="M55" s="19">
        <f t="shared" si="17"/>
        <v>47</v>
      </c>
      <c r="N55" s="68"/>
      <c r="V55" s="41"/>
      <c r="W55" s="41"/>
      <c r="X55" s="41"/>
      <c r="Y55" s="41"/>
    </row>
    <row r="56" spans="1:25" ht="15.75">
      <c r="A56" s="31" t="s">
        <v>8</v>
      </c>
      <c r="B56" s="150"/>
      <c r="C56" s="20">
        <f t="shared" ref="C56:L56" si="19">SUM(C47:C55)-C9</f>
        <v>0</v>
      </c>
      <c r="D56" s="20">
        <f t="shared" si="19"/>
        <v>0</v>
      </c>
      <c r="E56" s="20">
        <f t="shared" si="19"/>
        <v>0</v>
      </c>
      <c r="F56" s="20">
        <f t="shared" si="19"/>
        <v>0</v>
      </c>
      <c r="G56" s="20">
        <f t="shared" si="19"/>
        <v>0</v>
      </c>
      <c r="H56" s="20">
        <f t="shared" si="19"/>
        <v>0</v>
      </c>
      <c r="I56" s="20">
        <f t="shared" si="19"/>
        <v>0</v>
      </c>
      <c r="J56" s="20">
        <f t="shared" si="19"/>
        <v>0</v>
      </c>
      <c r="K56" s="20">
        <f t="shared" si="19"/>
        <v>0</v>
      </c>
      <c r="L56" s="20">
        <f t="shared" si="19"/>
        <v>0</v>
      </c>
      <c r="M56" s="20">
        <f>SUM(M47:M54)-M7</f>
        <v>0</v>
      </c>
      <c r="N56" s="68"/>
      <c r="V56" s="41"/>
      <c r="W56" s="41"/>
      <c r="X56" s="41"/>
      <c r="Y56" s="41"/>
    </row>
    <row r="57" spans="1:25">
      <c r="A57" s="32"/>
      <c r="B57" s="32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68"/>
      <c r="V57" s="41"/>
      <c r="W57" s="41"/>
      <c r="X57" s="41"/>
      <c r="Y57" s="41"/>
    </row>
    <row r="58" spans="1:25" ht="15.75">
      <c r="A58" s="30" t="s">
        <v>42</v>
      </c>
      <c r="B58" s="152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68"/>
      <c r="V58" s="41"/>
      <c r="W58" s="41"/>
      <c r="X58" s="41"/>
      <c r="Y58" s="41"/>
    </row>
    <row r="59" spans="1:25" s="156" customFormat="1" ht="15.75">
      <c r="A59" s="24" t="s">
        <v>65</v>
      </c>
      <c r="B59" s="154"/>
      <c r="C59" s="155">
        <f>IF(ISBLANK(DBData!C17),0,DBData!B17/(DBData!C17*DBData!DR13))</f>
        <v>35.93</v>
      </c>
      <c r="D59" s="155">
        <f>IF(ISBLANK(DBData!C17),0,DBData!B17/(DBData!C17*DBData!DR13))</f>
        <v>35.93</v>
      </c>
      <c r="E59" s="155">
        <f>IF(ISBLANK(DBData!C17),0,DBData!B17/(DBData!C17*DBData!DR13))</f>
        <v>35.93</v>
      </c>
      <c r="F59" s="155">
        <f>IF(ISBLANK(DBData!C17),0,DBData!B17/(DBData!C17*DBData!DR13))</f>
        <v>35.93</v>
      </c>
      <c r="G59" s="155">
        <f>IF(ISBLANK(DBData!C17),0,DBData!B17/(DBData!C17*DBData!DR13))</f>
        <v>35.93</v>
      </c>
      <c r="H59" s="155">
        <f>IF(ISBLANK(DBData!C17),0,DBData!B17/(DBData!C17*DBData!DR13))</f>
        <v>35.93</v>
      </c>
      <c r="I59" s="155">
        <f>IF(ISBLANK(DBData!C17),0,DBData!B17/(DBData!C17*DBData!DR13))</f>
        <v>35.93</v>
      </c>
      <c r="J59" s="155">
        <f>IF(ISBLANK(DBData!C17),0,DBData!B17/(DBData!C17*DBData!DR13))</f>
        <v>35.93</v>
      </c>
      <c r="K59" s="155">
        <f>IF(ISBLANK(DBData!C17),0,DBData!B17/(DBData!C17*DBData!DR13))</f>
        <v>35.93</v>
      </c>
      <c r="L59" s="155">
        <f>IF(ISBLANK(DBData!C17),0,DBData!B17/(DBData!C17*DBData!DR13))</f>
        <v>35.93</v>
      </c>
      <c r="M59" s="13"/>
      <c r="N59" s="47"/>
      <c r="V59" s="157"/>
      <c r="W59" s="157"/>
      <c r="X59" s="157"/>
      <c r="Y59" s="157"/>
    </row>
    <row r="60" spans="1:25" s="156" customFormat="1" ht="15.75" customHeight="1">
      <c r="A60" s="24"/>
      <c r="B60" s="154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3"/>
      <c r="N60" s="47"/>
      <c r="V60" s="157"/>
      <c r="W60" s="157"/>
      <c r="X60" s="157"/>
      <c r="Y60" s="157"/>
    </row>
    <row r="61" spans="1:25" s="156" customFormat="1" ht="15.75">
      <c r="A61" s="24" t="s">
        <v>415</v>
      </c>
      <c r="B61" s="237"/>
      <c r="C61" s="179">
        <f>IF(ISBLANK(DBData!EZ3),0, (DBData!EZ3))/100</f>
        <v>0.1</v>
      </c>
      <c r="D61" s="179">
        <f>IF(ISBLANK(DBData!EZ4),0, (DBData!EZ4))/100</f>
        <v>0</v>
      </c>
      <c r="E61" s="179">
        <f>IF(ISBLANK(DBData!EZ5),0, (DBData!EZ5))/100</f>
        <v>0</v>
      </c>
      <c r="F61" s="179">
        <f>IF(ISBLANK(DBData!EZ6),0, (DBData!EZ6))/100</f>
        <v>0</v>
      </c>
      <c r="G61" s="179">
        <f>IF(ISBLANK(DBData!EZ7),0, (DBData!EZ7))/100</f>
        <v>0</v>
      </c>
      <c r="H61" s="179">
        <f>IF(ISBLANK(DBData!EZ8),0, (DBData!EZ8))/100</f>
        <v>0</v>
      </c>
      <c r="I61" s="179">
        <f>IF(ISBLANK(DBData!EZ9),0, (DBData!EZ9))/100</f>
        <v>0</v>
      </c>
      <c r="J61" s="179">
        <f>IF(ISBLANK(DBData!EZ10),0, (DBData!EZ10))/100</f>
        <v>0</v>
      </c>
      <c r="K61" s="179">
        <f>IF(ISBLANK(DBData!EZ11),0, (DBData!EZ11))/100</f>
        <v>0</v>
      </c>
      <c r="L61" s="179">
        <f>IF(ISBLANK(DBData!EZ12),0, (DBData!EZ12))/100</f>
        <v>0</v>
      </c>
      <c r="M61" s="13"/>
      <c r="N61" s="47"/>
      <c r="V61" s="157"/>
      <c r="W61" s="157"/>
      <c r="X61" s="157"/>
      <c r="Y61" s="157"/>
    </row>
    <row r="62" spans="1:25" s="156" customFormat="1" ht="15.75">
      <c r="A62" s="24" t="s">
        <v>128</v>
      </c>
      <c r="B62" s="246"/>
      <c r="C62" s="180">
        <f>IF(ISBLANK(DBData!FA3),0, (DBData!FA3))</f>
        <v>781</v>
      </c>
      <c r="D62" s="180">
        <f>IF(ISBLANK(DBData!FA4),0, (DBData!FA4))</f>
        <v>0</v>
      </c>
      <c r="E62" s="180">
        <f>IF(ISBLANK(DBData!FA5),0, (DBData!FA5))</f>
        <v>0</v>
      </c>
      <c r="F62" s="180">
        <f>IF(ISBLANK(DBData!FA6),0, (DBData!FA6))</f>
        <v>0</v>
      </c>
      <c r="G62" s="180">
        <f>IF(ISBLANK(DBData!FA7),0, (DBData!FA7))</f>
        <v>0</v>
      </c>
      <c r="H62" s="180">
        <f>IF(ISBLANK(DBData!FA8),0, (DBData!FA8))</f>
        <v>0</v>
      </c>
      <c r="I62" s="180">
        <f>IF(ISBLANK(DBData!FA9),0, (DBData!FA9))</f>
        <v>0</v>
      </c>
      <c r="J62" s="180">
        <f>IF(ISBLANK(DBData!FA10),0, (DBData!FA10))</f>
        <v>0</v>
      </c>
      <c r="K62" s="180">
        <f>IF(ISBLANK(DBData!FA11),0, (DBData!FA11))</f>
        <v>0</v>
      </c>
      <c r="L62" s="180">
        <f>IF(ISBLANK(DBData!FA12),0, (DBData!FA12))</f>
        <v>0</v>
      </c>
      <c r="M62" s="181"/>
      <c r="N62" s="47"/>
      <c r="V62" s="157"/>
      <c r="W62" s="157"/>
      <c r="X62" s="157"/>
      <c r="Y62" s="157"/>
    </row>
    <row r="63" spans="1:25" s="156" customFormat="1" ht="15.75">
      <c r="A63" s="24" t="s">
        <v>416</v>
      </c>
      <c r="B63" s="246"/>
      <c r="C63" s="179">
        <f>IF(ISBLANK(DBData!FB3),0, (DBData!FB3))/100</f>
        <v>0</v>
      </c>
      <c r="D63" s="179">
        <f>IF(ISBLANK(DBData!FB4),0, (DBData!FB4))/100</f>
        <v>0</v>
      </c>
      <c r="E63" s="179">
        <f>IF(ISBLANK(DBData!FB5),0, (DBData!FB5))/100</f>
        <v>0</v>
      </c>
      <c r="F63" s="179">
        <f>IF(ISBLANK(DBData!FB6),0, (DBData!FB6))/100</f>
        <v>0</v>
      </c>
      <c r="G63" s="179">
        <f>IF(ISBLANK(DBData!FB7),0, (DBData!FB7))/100</f>
        <v>0</v>
      </c>
      <c r="H63" s="179">
        <f>IF(ISBLANK(DBData!FB8),0, (DBData!FB8))/100</f>
        <v>0</v>
      </c>
      <c r="I63" s="179">
        <f>IF(ISBLANK(DBData!FB9),0, (DBData!FB9))/100</f>
        <v>0</v>
      </c>
      <c r="J63" s="179">
        <f>IF(ISBLANK(DBData!FB10),0, (DBData!FB10))/100</f>
        <v>0</v>
      </c>
      <c r="K63" s="179">
        <f>IF(ISBLANK(DBData!FB11),0, (DBData!FB11))/100</f>
        <v>0</v>
      </c>
      <c r="L63" s="179">
        <f>IF(ISBLANK(DBData!FB12),0, (DBData!FB12))/100</f>
        <v>0</v>
      </c>
      <c r="M63" s="181"/>
      <c r="N63" s="47"/>
      <c r="V63" s="157"/>
      <c r="W63" s="157"/>
      <c r="X63" s="157"/>
      <c r="Y63" s="157"/>
    </row>
    <row r="64" spans="1:25" s="156" customFormat="1" ht="15.75">
      <c r="A64" s="24" t="s">
        <v>129</v>
      </c>
      <c r="B64" s="246"/>
      <c r="C64" s="180">
        <f>IF(ISBLANK(DBData!FC3),0, (DBData!FC3))</f>
        <v>0</v>
      </c>
      <c r="D64" s="180">
        <f>IF(ISBLANK(DBData!FC4),0, (DBData!FC4))</f>
        <v>0</v>
      </c>
      <c r="E64" s="180">
        <f>IF(ISBLANK(DBData!FC5),0, (DBData!FC5))</f>
        <v>0</v>
      </c>
      <c r="F64" s="180">
        <f>IF(ISBLANK(DBData!FC6),0, (DBData!FC6))</f>
        <v>0</v>
      </c>
      <c r="G64" s="180">
        <f>IF(ISBLANK(DBData!FC7),0, (DBData!FC7))</f>
        <v>0</v>
      </c>
      <c r="H64" s="180">
        <f>IF(ISBLANK(DBData!FC8),0, (DBData!FC8))</f>
        <v>0</v>
      </c>
      <c r="I64" s="180">
        <f>IF(ISBLANK(DBData!FC9),0, (DBData!FC9))</f>
        <v>0</v>
      </c>
      <c r="J64" s="180">
        <f>IF(ISBLANK(DBData!FC10),0, (DBData!FC10))</f>
        <v>0</v>
      </c>
      <c r="K64" s="180">
        <f>IF(ISBLANK(DBData!FC11),0, (DBData!FC11))</f>
        <v>0</v>
      </c>
      <c r="L64" s="180">
        <f>IF(ISBLANK(DBData!FC12),0, (DBData!FC12))</f>
        <v>0</v>
      </c>
      <c r="M64" s="181"/>
      <c r="N64" s="47"/>
      <c r="V64" s="157"/>
      <c r="W64" s="157"/>
      <c r="X64" s="157"/>
      <c r="Y64" s="157"/>
    </row>
    <row r="65" spans="1:25" s="156" customFormat="1" ht="15.75">
      <c r="A65" s="24" t="s">
        <v>417</v>
      </c>
      <c r="B65" s="246"/>
      <c r="C65" s="179">
        <f>IF(ISBLANK(DBData!FD3),0, (DBData!FD3))/100</f>
        <v>0</v>
      </c>
      <c r="D65" s="179">
        <f>IF(ISBLANK(DBData!FD4),0, (DBData!FD4))/100</f>
        <v>0</v>
      </c>
      <c r="E65" s="179">
        <f>IF(ISBLANK(DBData!FD5),0, (DBData!FD5))/100</f>
        <v>0</v>
      </c>
      <c r="F65" s="179">
        <f>IF(ISBLANK(DBData!FD6),0, (DBData!FD6))/100</f>
        <v>0</v>
      </c>
      <c r="G65" s="179">
        <f>IF(ISBLANK(DBData!FD7),0, (DBData!FD7))/100</f>
        <v>0</v>
      </c>
      <c r="H65" s="179">
        <f>IF(ISBLANK(DBData!FD8),0, (DBData!FD8))/100</f>
        <v>0</v>
      </c>
      <c r="I65" s="179">
        <f>IF(ISBLANK(DBData!FD9),0, (DBData!FD9))/100</f>
        <v>0</v>
      </c>
      <c r="J65" s="179">
        <f>IF(ISBLANK(DBData!FD10),0, (DBData!FD10))/100</f>
        <v>0</v>
      </c>
      <c r="K65" s="179">
        <f>IF(ISBLANK(DBData!FD11),0, (DBData!FD11))/100</f>
        <v>0</v>
      </c>
      <c r="L65" s="179">
        <f>IF(ISBLANK(DBData!FD12),0, (DBData!FD12))/100</f>
        <v>0</v>
      </c>
      <c r="M65" s="181"/>
      <c r="N65" s="47"/>
      <c r="V65" s="157"/>
      <c r="W65" s="157"/>
      <c r="X65" s="157"/>
      <c r="Y65" s="157"/>
    </row>
    <row r="66" spans="1:25" s="156" customFormat="1" ht="15.75">
      <c r="A66" s="24" t="s">
        <v>130</v>
      </c>
      <c r="B66" s="246"/>
      <c r="C66" s="180">
        <f>IF(ISBLANK(DBData!FE3),0, (DBData!FE3))</f>
        <v>0</v>
      </c>
      <c r="D66" s="180">
        <f>IF(ISBLANK(DBData!FE4),0, (DBData!FE4))</f>
        <v>0</v>
      </c>
      <c r="E66" s="180">
        <f>IF(ISBLANK(DBData!FE5),0, (DBData!FE5))</f>
        <v>0</v>
      </c>
      <c r="F66" s="180">
        <f>IF(ISBLANK(DBData!FE6),0, (DBData!FE6))</f>
        <v>0</v>
      </c>
      <c r="G66" s="180">
        <f>IF(ISBLANK(DBData!FE7),0, (DBData!FE7))</f>
        <v>0</v>
      </c>
      <c r="H66" s="180">
        <f>IF(ISBLANK(DBData!FE8),0, (DBData!FE8))</f>
        <v>0</v>
      </c>
      <c r="I66" s="180">
        <f>IF(ISBLANK(DBData!FE9),0, (DBData!FE9))</f>
        <v>0</v>
      </c>
      <c r="J66" s="180">
        <f>IF(ISBLANK(DBData!FE10),0, (DBData!FE10))</f>
        <v>0</v>
      </c>
      <c r="K66" s="180">
        <f>IF(ISBLANK(DBData!FE11),0, (DBData!FE11))</f>
        <v>0</v>
      </c>
      <c r="L66" s="180">
        <f>IF(ISBLANK(DBData!FE12),0, (DBData!FE12))</f>
        <v>0</v>
      </c>
      <c r="M66" s="181"/>
      <c r="N66" s="47"/>
      <c r="V66" s="157"/>
      <c r="W66" s="157"/>
      <c r="X66" s="157"/>
      <c r="Y66" s="157"/>
    </row>
    <row r="67" spans="1:25" s="156" customFormat="1" ht="15.75">
      <c r="A67" s="24" t="s">
        <v>418</v>
      </c>
      <c r="B67" s="246"/>
      <c r="C67" s="179">
        <f>IF(ISBLANK(DBData!FF3),0, (DBData!FF3))/100</f>
        <v>0</v>
      </c>
      <c r="D67" s="179">
        <f>IF(ISBLANK(DBData!FF4),0, (DBData!FF4))/100</f>
        <v>0</v>
      </c>
      <c r="E67" s="179">
        <f>IF(ISBLANK(DBData!FF5),0, (DBData!FF5))/100</f>
        <v>0</v>
      </c>
      <c r="F67" s="179">
        <f>IF(ISBLANK(DBData!FF6),0, (DBData!FF6))/100</f>
        <v>0</v>
      </c>
      <c r="G67" s="179">
        <f>IF(ISBLANK(DBData!FF7),0, (DBData!FF7))/100</f>
        <v>0</v>
      </c>
      <c r="H67" s="179">
        <f>IF(ISBLANK(DBData!FF8),0, (DBData!FF8))/100</f>
        <v>0</v>
      </c>
      <c r="I67" s="179">
        <f>IF(ISBLANK(DBData!FF9),0, (DBData!FF9))/100</f>
        <v>0</v>
      </c>
      <c r="J67" s="179">
        <f>IF(ISBLANK(DBData!FF10),0, (DBData!FF10))/100</f>
        <v>0</v>
      </c>
      <c r="K67" s="179">
        <f>IF(ISBLANK(DBData!FF11),0, (DBData!FF11))/100</f>
        <v>0</v>
      </c>
      <c r="L67" s="179">
        <f>IF(ISBLANK(DBData!FF12),0, (DBData!FF12))/100</f>
        <v>0</v>
      </c>
      <c r="M67" s="181"/>
      <c r="N67" s="47"/>
      <c r="V67" s="157"/>
      <c r="W67" s="157"/>
      <c r="X67" s="157"/>
      <c r="Y67" s="157"/>
    </row>
    <row r="68" spans="1:25" s="156" customFormat="1" ht="15.75">
      <c r="A68" s="24" t="s">
        <v>28</v>
      </c>
      <c r="B68" s="246"/>
      <c r="C68" s="180">
        <f>IF(ISBLANK(DBData!FG3),0, (DBData!FG3))</f>
        <v>0</v>
      </c>
      <c r="D68" s="180">
        <f>IF(ISBLANK(DBData!FG4),0, (DBData!FG4))</f>
        <v>0</v>
      </c>
      <c r="E68" s="180">
        <f>IF(ISBLANK(DBData!FG5),0, (DBData!FG5))</f>
        <v>0</v>
      </c>
      <c r="F68" s="180">
        <f>IF(ISBLANK(DBData!FG6),0, (DBData!FG6))</f>
        <v>0</v>
      </c>
      <c r="G68" s="180">
        <f>IF(ISBLANK(DBData!FG7),0, (DBData!FG7))</f>
        <v>0</v>
      </c>
      <c r="H68" s="180">
        <f>IF(ISBLANK(DBData!FG8),0, (DBData!FG8))</f>
        <v>0</v>
      </c>
      <c r="I68" s="180">
        <f>IF(ISBLANK(DBData!FG9),0, (DBData!FG9))</f>
        <v>0</v>
      </c>
      <c r="J68" s="180">
        <f>IF(ISBLANK(DBData!FG10),0, (DBData!FG10))</f>
        <v>0</v>
      </c>
      <c r="K68" s="180">
        <f>IF(ISBLANK(DBData!FG11),0, (DBData!FG11))</f>
        <v>0</v>
      </c>
      <c r="L68" s="180">
        <f>IF(ISBLANK(DBData!FG12),0, (DBData!FG12))</f>
        <v>0</v>
      </c>
      <c r="M68" s="181"/>
      <c r="N68" s="47"/>
      <c r="V68" s="157"/>
      <c r="W68" s="157"/>
      <c r="X68" s="157"/>
      <c r="Y68" s="157"/>
    </row>
    <row r="69" spans="1:25" s="156" customFormat="1" ht="15.75">
      <c r="A69" s="24" t="s">
        <v>419</v>
      </c>
      <c r="B69" s="246"/>
      <c r="C69" s="179">
        <f>IF(ISBLANK(DBData!FH3),0, (DBData!FH3))/100</f>
        <v>0</v>
      </c>
      <c r="D69" s="179">
        <f>IF(ISBLANK(DBData!FH4),0, (DBData!FH4))/100</f>
        <v>0</v>
      </c>
      <c r="E69" s="179">
        <f>IF(ISBLANK(DBData!FH5),0, (DBData!FH5))/100</f>
        <v>0</v>
      </c>
      <c r="F69" s="179">
        <f>IF(ISBLANK(DBData!FH6),0, (DBData!FH6))/100</f>
        <v>0</v>
      </c>
      <c r="G69" s="179">
        <f>IF(ISBLANK(DBData!FH7),0, (DBData!FH7))/100</f>
        <v>0</v>
      </c>
      <c r="H69" s="179">
        <f>IF(ISBLANK(DBData!FH8),0, (DBData!FH8))/100</f>
        <v>0</v>
      </c>
      <c r="I69" s="179">
        <f>IF(ISBLANK(DBData!FH9),0, (DBData!FH9))/100</f>
        <v>0</v>
      </c>
      <c r="J69" s="179">
        <f>IF(ISBLANK(DBData!FH10),0, (DBData!FH10))/100</f>
        <v>0</v>
      </c>
      <c r="K69" s="179">
        <f>IF(ISBLANK(DBData!FH11),0, (DBData!FH11))/100</f>
        <v>0</v>
      </c>
      <c r="L69" s="179">
        <f>IF(ISBLANK(DBData!FH12),0, (DBData!FH12))/100</f>
        <v>0</v>
      </c>
      <c r="M69" s="181"/>
      <c r="N69" s="47"/>
      <c r="V69" s="157"/>
      <c r="W69" s="157"/>
      <c r="X69" s="157"/>
      <c r="Y69" s="157"/>
    </row>
    <row r="70" spans="1:25" s="156" customFormat="1" ht="15.75">
      <c r="A70" s="24" t="s">
        <v>29</v>
      </c>
      <c r="B70" s="246"/>
      <c r="C70" s="180">
        <f>IF(ISBLANK(DBData!FI3),0, (DBData!FI3))</f>
        <v>0</v>
      </c>
      <c r="D70" s="180">
        <f>IF(ISBLANK(DBData!FI4),0, (DBData!FI4))</f>
        <v>0</v>
      </c>
      <c r="E70" s="180">
        <f>IF(ISBLANK(DBData!FI5),0, (DBData!FI5))</f>
        <v>0</v>
      </c>
      <c r="F70" s="180">
        <f>IF(ISBLANK(DBData!FI6),0, (DBData!FI6))</f>
        <v>0</v>
      </c>
      <c r="G70" s="180">
        <f>IF(ISBLANK(DBData!FI7),0, (DBData!FI7))</f>
        <v>0</v>
      </c>
      <c r="H70" s="180">
        <f>IF(ISBLANK(DBData!FI8),0, (DBData!FI8))</f>
        <v>0</v>
      </c>
      <c r="I70" s="180">
        <f>IF(ISBLANK(DBData!FI9),0, (DBData!FI9))</f>
        <v>0</v>
      </c>
      <c r="J70" s="180">
        <f>IF(ISBLANK(DBData!FI10),0, (DBData!FI10))</f>
        <v>0</v>
      </c>
      <c r="K70" s="180">
        <f>IF(ISBLANK(DBData!FI11),0, (DBData!FI11))</f>
        <v>0</v>
      </c>
      <c r="L70" s="180">
        <f>IF(ISBLANK(DBData!FI12),0, (DBData!FI12))</f>
        <v>0</v>
      </c>
      <c r="M70" s="181"/>
      <c r="N70" s="47"/>
      <c r="V70" s="157"/>
      <c r="W70" s="157"/>
      <c r="X70" s="157"/>
      <c r="Y70" s="157"/>
    </row>
    <row r="71" spans="1:25" s="156" customFormat="1" ht="15.75">
      <c r="A71" s="24" t="s">
        <v>420</v>
      </c>
      <c r="B71" s="237"/>
      <c r="C71" s="179">
        <f>IF(ISBLANK(DBData!FJ3),0, (DBData!FJ3))/100</f>
        <v>0</v>
      </c>
      <c r="D71" s="179">
        <f>IF(ISBLANK(DBData!FJ4),0, (DBData!FJ4))/100</f>
        <v>0</v>
      </c>
      <c r="E71" s="179">
        <f>IF(ISBLANK(DBData!FJ5),0, (DBData!FJ5))/100</f>
        <v>0</v>
      </c>
      <c r="F71" s="179">
        <f>IF(ISBLANK(DBData!FJ6),0, (DBData!FJ6))/100</f>
        <v>0</v>
      </c>
      <c r="G71" s="179">
        <f>IF(ISBLANK(DBData!FJ7),0, (DBData!FJ7))/100</f>
        <v>0</v>
      </c>
      <c r="H71" s="179">
        <f>IF(ISBLANK(DBData!FJ8),0, (DBData!FJ8))/100</f>
        <v>0</v>
      </c>
      <c r="I71" s="179">
        <f>IF(ISBLANK(DBData!FJ9),0, (DBData!FJ9))/100</f>
        <v>0</v>
      </c>
      <c r="J71" s="179">
        <f>IF(ISBLANK(DBData!FJ10),0, (DBData!FJ10))/100</f>
        <v>0</v>
      </c>
      <c r="K71" s="179">
        <f>IF(ISBLANK(DBData!FJ11),0, (DBData!FJ11))/100</f>
        <v>0</v>
      </c>
      <c r="L71" s="179">
        <f>IF(ISBLANK(DBData!FJ12),0, (DBData!FJ12))/100</f>
        <v>0</v>
      </c>
      <c r="M71" s="13"/>
      <c r="N71" s="47"/>
      <c r="V71" s="157"/>
      <c r="W71" s="157"/>
      <c r="X71" s="157"/>
      <c r="Y71" s="157"/>
    </row>
    <row r="72" spans="1:25" s="156" customFormat="1" ht="15.75">
      <c r="A72" s="24" t="s">
        <v>30</v>
      </c>
      <c r="B72" s="154"/>
      <c r="C72" s="180">
        <f>IF(ISBLANK(DBData!FK3),0, (DBData!FK3))</f>
        <v>0</v>
      </c>
      <c r="D72" s="180">
        <f>IF(ISBLANK(DBData!FK4),0, (DBData!FK4))</f>
        <v>0</v>
      </c>
      <c r="E72" s="180">
        <f>IF(ISBLANK(DBData!FK5),0, (DBData!FK5))</f>
        <v>0</v>
      </c>
      <c r="F72" s="180">
        <f>IF(ISBLANK(DBData!FK6),0, (DBData!FK6))</f>
        <v>0</v>
      </c>
      <c r="G72" s="180">
        <f>IF(ISBLANK(DBData!FK7),0, (DBData!FK7))</f>
        <v>0</v>
      </c>
      <c r="H72" s="180">
        <f>IF(ISBLANK(DBData!FK8),0, (DBData!FK8))</f>
        <v>0</v>
      </c>
      <c r="I72" s="180">
        <f>IF(ISBLANK(DBData!FK9),0, (DBData!FK9))</f>
        <v>0</v>
      </c>
      <c r="J72" s="180">
        <f>IF(ISBLANK(DBData!FK10),0, (DBData!FK10))</f>
        <v>0</v>
      </c>
      <c r="K72" s="180">
        <f>IF(ISBLANK(DBData!FK11),0, (DBData!FK11))</f>
        <v>0</v>
      </c>
      <c r="L72" s="180">
        <f>IF(ISBLANK(DBData!FK12),0, (DBData!FK12))</f>
        <v>0</v>
      </c>
      <c r="M72" s="13"/>
      <c r="N72" s="47"/>
      <c r="V72" s="157"/>
      <c r="W72" s="157"/>
      <c r="X72" s="157"/>
      <c r="Y72" s="157"/>
    </row>
    <row r="73" spans="1:25" s="156" customFormat="1" ht="15.75">
      <c r="A73" s="24" t="s">
        <v>421</v>
      </c>
      <c r="B73" s="246"/>
      <c r="C73" s="179">
        <f>IF(ISBLANK(DBData!FL3),0, (DBData!FL3))/100</f>
        <v>0</v>
      </c>
      <c r="D73" s="179">
        <f>IF(ISBLANK(DBData!FL4),0, (DBData!FL4))/100</f>
        <v>0</v>
      </c>
      <c r="E73" s="179">
        <f>IF(ISBLANK(DBData!FL5),0, (DBData!FL5))/100</f>
        <v>0</v>
      </c>
      <c r="F73" s="179">
        <f>IF(ISBLANK(DBData!FL6),0, (DBData!FL6))/100</f>
        <v>0</v>
      </c>
      <c r="G73" s="179">
        <f>IF(ISBLANK(DBData!FL7),0, (DBData!FL7))/100</f>
        <v>0</v>
      </c>
      <c r="H73" s="179">
        <f>IF(ISBLANK(DBData!FL8),0, (DBData!FL8))/100</f>
        <v>0</v>
      </c>
      <c r="I73" s="179">
        <f>IF(ISBLANK(DBData!FL9),0, (DBData!FL9))/100</f>
        <v>0</v>
      </c>
      <c r="J73" s="179">
        <f>IF(ISBLANK(DBData!FL10),0, (DBData!FL10))/100</f>
        <v>0</v>
      </c>
      <c r="K73" s="179">
        <f>IF(ISBLANK(DBData!FL11),0, (DBData!FL11))/100</f>
        <v>0</v>
      </c>
      <c r="L73" s="179">
        <f>IF(ISBLANK(DBData!FL12),0, (DBData!FL12))/100</f>
        <v>0</v>
      </c>
      <c r="M73" s="181"/>
      <c r="N73" s="47"/>
      <c r="V73" s="157"/>
      <c r="W73" s="157"/>
      <c r="X73" s="157"/>
      <c r="Y73" s="157"/>
    </row>
    <row r="74" spans="1:25" s="156" customFormat="1" ht="15.75">
      <c r="A74" s="24" t="s">
        <v>411</v>
      </c>
      <c r="B74" s="246"/>
      <c r="C74" s="180">
        <f>IF(ISBLANK(DBData!FM3),0, (DBData!FM3))</f>
        <v>0</v>
      </c>
      <c r="D74" s="180">
        <f>IF(ISBLANK(DBData!FM4),0, (DBData!FM4))</f>
        <v>0</v>
      </c>
      <c r="E74" s="180">
        <f>IF(ISBLANK(DBData!FM5),0, (DBData!FM5))</f>
        <v>0</v>
      </c>
      <c r="F74" s="180">
        <f>IF(ISBLANK(DBData!FM6),0, (DBData!FM6))</f>
        <v>0</v>
      </c>
      <c r="G74" s="180">
        <f>IF(ISBLANK(DBData!FM7),0, (DBData!FM7))</f>
        <v>0</v>
      </c>
      <c r="H74" s="180">
        <f>IF(ISBLANK(DBData!FM8),0, (DBData!FM8))</f>
        <v>0</v>
      </c>
      <c r="I74" s="180">
        <f>IF(ISBLANK(DBData!FM9),0, (DBData!FM9))</f>
        <v>0</v>
      </c>
      <c r="J74" s="180">
        <f>IF(ISBLANK(DBData!FM10),0, (DBData!FM10))</f>
        <v>0</v>
      </c>
      <c r="K74" s="180">
        <f>IF(ISBLANK(DBData!FM11),0, (DBData!FM11))</f>
        <v>0</v>
      </c>
      <c r="L74" s="180">
        <f>IF(ISBLANK(DBData!FM12),0, (DBData!FM12))</f>
        <v>0</v>
      </c>
      <c r="M74" s="181"/>
      <c r="N74" s="47"/>
      <c r="V74" s="157"/>
      <c r="W74" s="157"/>
      <c r="X74" s="157"/>
      <c r="Y74" s="157"/>
    </row>
    <row r="75" spans="1:25" s="156" customFormat="1" ht="15.75">
      <c r="A75" s="24" t="s">
        <v>422</v>
      </c>
      <c r="B75" s="246"/>
      <c r="C75" s="179">
        <f>IF(ISBLANK(DBData!FN3),0, (DBData!FN3))/100</f>
        <v>0</v>
      </c>
      <c r="D75" s="179">
        <f>IF(ISBLANK(DBData!FN4),0, (DBData!FN4))/100</f>
        <v>0</v>
      </c>
      <c r="E75" s="179">
        <f>IF(ISBLANK(DBData!FN5),0, (DBData!FN5))/100</f>
        <v>0</v>
      </c>
      <c r="F75" s="179">
        <f>IF(ISBLANK(DBData!FN6),0, (DBData!FN6))/100</f>
        <v>0</v>
      </c>
      <c r="G75" s="179">
        <f>IF(ISBLANK(DBData!FN7),0, (DBData!FN7))/100</f>
        <v>0</v>
      </c>
      <c r="H75" s="179">
        <f>IF(ISBLANK(DBData!FN8),0, (DBData!FN8))/100</f>
        <v>0</v>
      </c>
      <c r="I75" s="179">
        <f>IF(ISBLANK(DBData!FN9),0, (DBData!FN9))/100</f>
        <v>0</v>
      </c>
      <c r="J75" s="179">
        <f>IF(ISBLANK(DBData!FN10),0, (DBData!FN10))/100</f>
        <v>0</v>
      </c>
      <c r="K75" s="179">
        <f>IF(ISBLANK(DBData!FN11),0, (DBData!FN11))/100</f>
        <v>0</v>
      </c>
      <c r="L75" s="179">
        <f>IF(ISBLANK(DBData!FN12),0, (DBData!FN12))/100</f>
        <v>0</v>
      </c>
      <c r="M75" s="181"/>
      <c r="N75" s="47"/>
      <c r="V75" s="157"/>
      <c r="W75" s="157"/>
      <c r="X75" s="157"/>
      <c r="Y75" s="157"/>
    </row>
    <row r="76" spans="1:25" s="156" customFormat="1" ht="15.75">
      <c r="A76" s="24" t="s">
        <v>412</v>
      </c>
      <c r="B76" s="246"/>
      <c r="C76" s="180">
        <f>IF(ISBLANK(DBData!FO3),0, (DBData!FO3))</f>
        <v>0</v>
      </c>
      <c r="D76" s="180">
        <f>IF(ISBLANK(DBData!FO4),0, (DBData!FO4))</f>
        <v>0</v>
      </c>
      <c r="E76" s="180">
        <f>IF(ISBLANK(DBData!FO5),0, (DBData!FO5))</f>
        <v>0</v>
      </c>
      <c r="F76" s="180">
        <f>IF(ISBLANK(DBData!FO6),0, (DBData!FO6))</f>
        <v>0</v>
      </c>
      <c r="G76" s="180">
        <f>IF(ISBLANK(DBData!FO7),0, (DBData!FO7))</f>
        <v>0</v>
      </c>
      <c r="H76" s="180">
        <f>IF(ISBLANK(DBData!FO8),0, (DBData!FO8))</f>
        <v>0</v>
      </c>
      <c r="I76" s="180">
        <f>IF(ISBLANK(DBData!FO9),0, (DBData!FO9))</f>
        <v>0</v>
      </c>
      <c r="J76" s="180">
        <f>IF(ISBLANK(DBData!FO10),0, (DBData!FO10))</f>
        <v>0</v>
      </c>
      <c r="K76" s="180">
        <f>IF(ISBLANK(DBData!FO11),0, (DBData!FO11))</f>
        <v>0</v>
      </c>
      <c r="L76" s="180">
        <f>IF(ISBLANK(DBData!FO12),0, (DBData!FO12))</f>
        <v>0</v>
      </c>
      <c r="M76" s="181"/>
      <c r="N76" s="47"/>
      <c r="V76" s="157"/>
      <c r="W76" s="157"/>
      <c r="X76" s="157"/>
      <c r="Y76" s="157"/>
    </row>
    <row r="77" spans="1:25" s="156" customFormat="1" ht="15.75">
      <c r="A77" s="24" t="s">
        <v>423</v>
      </c>
      <c r="B77" s="246"/>
      <c r="C77" s="179">
        <f>IF(ISBLANK(DBData!FP3),0, (DBData!FP3))/100</f>
        <v>0</v>
      </c>
      <c r="D77" s="179">
        <f>IF(ISBLANK(DBData!FP4),0, (DBData!FP4))/100</f>
        <v>0</v>
      </c>
      <c r="E77" s="179">
        <f>IF(ISBLANK(DBData!FP5),0, (DBData!FP5))/100</f>
        <v>0</v>
      </c>
      <c r="F77" s="179">
        <f>IF(ISBLANK(DBData!FP6),0, (DBData!FP6))/100</f>
        <v>0</v>
      </c>
      <c r="G77" s="179">
        <f>IF(ISBLANK(DBData!FP7),0, (DBData!FP7))/100</f>
        <v>0</v>
      </c>
      <c r="H77" s="179">
        <f>IF(ISBLANK(DBData!FP8),0, (DBData!FP8))/100</f>
        <v>0</v>
      </c>
      <c r="I77" s="179">
        <f>IF(ISBLANK(DBData!FP9),0, (DBData!FP9))/100</f>
        <v>0</v>
      </c>
      <c r="J77" s="179">
        <f>IF(ISBLANK(DBData!FP10),0, (DBData!FP10))/100</f>
        <v>0</v>
      </c>
      <c r="K77" s="179">
        <f>IF(ISBLANK(DBData!FP11),0, (DBData!FP11))/100</f>
        <v>0</v>
      </c>
      <c r="L77" s="179">
        <f>IF(ISBLANK(DBData!FP12),0, (DBData!FP12))/100</f>
        <v>0</v>
      </c>
      <c r="M77" s="181"/>
      <c r="N77" s="47"/>
      <c r="V77" s="157"/>
      <c r="W77" s="157"/>
      <c r="X77" s="157"/>
      <c r="Y77" s="157"/>
    </row>
    <row r="78" spans="1:25" s="156" customFormat="1" ht="15.75">
      <c r="A78" s="24" t="s">
        <v>413</v>
      </c>
      <c r="B78" s="246"/>
      <c r="C78" s="180">
        <f>IF(ISBLANK(DBData!FQ3),0, (DBData!FQ3))</f>
        <v>0</v>
      </c>
      <c r="D78" s="180">
        <f>IF(ISBLANK(DBData!FQ4),0, (DBData!FQ4))</f>
        <v>0</v>
      </c>
      <c r="E78" s="180">
        <f>IF(ISBLANK(DBData!FQ5),0, (DBData!FQ5))</f>
        <v>0</v>
      </c>
      <c r="F78" s="180">
        <f>IF(ISBLANK(DBData!FQ6),0, (DBData!FQ6))</f>
        <v>0</v>
      </c>
      <c r="G78" s="180">
        <f>IF(ISBLANK(DBData!FQ7),0, (DBData!FQ7))</f>
        <v>0</v>
      </c>
      <c r="H78" s="180">
        <f>IF(ISBLANK(DBData!FQ8),0, (DBData!FQ8))</f>
        <v>0</v>
      </c>
      <c r="I78" s="180">
        <f>IF(ISBLANK(DBData!FQ9),0, (DBData!FQ9))</f>
        <v>0</v>
      </c>
      <c r="J78" s="180">
        <f>IF(ISBLANK(DBData!FQ10),0, (DBData!FQ10))</f>
        <v>0</v>
      </c>
      <c r="K78" s="180">
        <f>IF(ISBLANK(DBData!FQ11),0, (DBData!FQ11))</f>
        <v>0</v>
      </c>
      <c r="L78" s="180">
        <f>IF(ISBLANK(DBData!FQ12),0, (DBData!FQ12))</f>
        <v>0</v>
      </c>
      <c r="M78" s="181"/>
      <c r="N78" s="47"/>
      <c r="V78" s="157"/>
      <c r="W78" s="157"/>
      <c r="X78" s="157"/>
      <c r="Y78" s="157"/>
    </row>
    <row r="79" spans="1:25" s="156" customFormat="1" ht="15.75">
      <c r="A79" s="24" t="s">
        <v>424</v>
      </c>
      <c r="B79" s="237"/>
      <c r="C79" s="179">
        <f>IF(ISBLANK(DBData!FR3),0, (DBData!FR3))/100</f>
        <v>0</v>
      </c>
      <c r="D79" s="179">
        <f>IF(ISBLANK(DBData!FR4),0, (DBData!FR4))/100</f>
        <v>0</v>
      </c>
      <c r="E79" s="179">
        <f>IF(ISBLANK(DBData!FR5),0, (DBData!FR5))/100</f>
        <v>0</v>
      </c>
      <c r="F79" s="179">
        <f>IF(ISBLANK(DBData!FR6),0, (DBData!FR6))/100</f>
        <v>0</v>
      </c>
      <c r="G79" s="179">
        <f>IF(ISBLANK(DBData!FR7),0, (DBData!FR7))/100</f>
        <v>0</v>
      </c>
      <c r="H79" s="179">
        <f>IF(ISBLANK(DBData!FR8),0, (DBData!FR8))/100</f>
        <v>0</v>
      </c>
      <c r="I79" s="179">
        <f>IF(ISBLANK(DBData!FR9),0, (DBData!FR9))/100</f>
        <v>0</v>
      </c>
      <c r="J79" s="179">
        <f>IF(ISBLANK(DBData!FR10),0, (DBData!FR10))/100</f>
        <v>0</v>
      </c>
      <c r="K79" s="179">
        <f>IF(ISBLANK(DBData!FR11),0, (DBData!FR11))/100</f>
        <v>0</v>
      </c>
      <c r="L79" s="179">
        <f>IF(ISBLANK(DBData!FR12),0, (DBData!FR12))/100</f>
        <v>0</v>
      </c>
      <c r="M79" s="13"/>
      <c r="N79" s="47"/>
      <c r="V79" s="157"/>
      <c r="W79" s="157"/>
      <c r="X79" s="157"/>
      <c r="Y79" s="157"/>
    </row>
    <row r="80" spans="1:25" s="156" customFormat="1" ht="15.75">
      <c r="A80" s="24" t="s">
        <v>414</v>
      </c>
      <c r="B80" s="154"/>
      <c r="C80" s="180">
        <f>IF(ISBLANK(DBData!FS3),0, (DBData!FS3))</f>
        <v>0</v>
      </c>
      <c r="D80" s="180">
        <f>IF(ISBLANK(DBData!FS4),0, (DBData!FS4))</f>
        <v>0</v>
      </c>
      <c r="E80" s="180">
        <f>IF(ISBLANK(DBData!FS5),0, (DBData!FS5))</f>
        <v>0</v>
      </c>
      <c r="F80" s="180">
        <f>IF(ISBLANK(DBData!FS6),0, (DBData!FS6))</f>
        <v>0</v>
      </c>
      <c r="G80" s="180">
        <f>IF(ISBLANK(DBData!FS7),0, (DBData!FS7))</f>
        <v>0</v>
      </c>
      <c r="H80" s="180">
        <f>IF(ISBLANK(DBData!FS8),0, (DBData!FS8))</f>
        <v>0</v>
      </c>
      <c r="I80" s="180">
        <f>IF(ISBLANK(DBData!FS9),0, (DBData!FS9))</f>
        <v>0</v>
      </c>
      <c r="J80" s="180">
        <f>IF(ISBLANK(DBData!FS10),0, (DBData!FS10))</f>
        <v>0</v>
      </c>
      <c r="K80" s="180">
        <f>IF(ISBLANK(DBData!FS11),0, (DBData!FS11))</f>
        <v>0</v>
      </c>
      <c r="L80" s="180">
        <f>IF(ISBLANK(DBData!FS12),0, (DBData!FS12))</f>
        <v>0</v>
      </c>
      <c r="M80" s="13"/>
      <c r="N80" s="47"/>
      <c r="V80" s="157"/>
      <c r="W80" s="157"/>
      <c r="X80" s="157"/>
      <c r="Y80" s="157"/>
    </row>
    <row r="81" spans="1:25" s="156" customFormat="1" ht="15.75">
      <c r="A81" s="30" t="s">
        <v>66</v>
      </c>
      <c r="B81" s="158"/>
      <c r="C81" s="159">
        <f>(C59*C79*C80)+(C59*C77*C78)+(C59*C75*C76)+(C59*C73*C74)+(C59*C71*C72)+(C59*C69*C70)+(C59*C67*C68)+(C59*C65*C66)+(C59*C63*C64)+(C61*C62*C59)</f>
        <v>2806.13</v>
      </c>
      <c r="D81" s="159">
        <f t="shared" ref="D81:L81" si="20">(D59*D79*D80)+(D59*D77*D78)+(D59*D75*D76)+(D59*D73*D74)+(D59*D71*D72)+(D59*D69*D70)+(D59*D67*D68)+(D59*D65*D66)+(D59*D63*D64)+(D61*D62*D59)</f>
        <v>0</v>
      </c>
      <c r="E81" s="159">
        <f t="shared" si="20"/>
        <v>0</v>
      </c>
      <c r="F81" s="159">
        <f t="shared" si="20"/>
        <v>0</v>
      </c>
      <c r="G81" s="159">
        <f t="shared" si="20"/>
        <v>0</v>
      </c>
      <c r="H81" s="159">
        <f t="shared" si="20"/>
        <v>0</v>
      </c>
      <c r="I81" s="159">
        <f t="shared" si="20"/>
        <v>0</v>
      </c>
      <c r="J81" s="159">
        <f t="shared" si="20"/>
        <v>0</v>
      </c>
      <c r="K81" s="159">
        <f t="shared" si="20"/>
        <v>0</v>
      </c>
      <c r="L81" s="159">
        <f t="shared" si="20"/>
        <v>0</v>
      </c>
      <c r="M81" s="159">
        <f>SUM(C81:L81)</f>
        <v>2806.13</v>
      </c>
      <c r="N81" s="47"/>
      <c r="V81" s="157"/>
      <c r="W81" s="157"/>
      <c r="X81" s="157"/>
      <c r="Y81" s="157"/>
    </row>
    <row r="82" spans="1:25" s="156" customFormat="1" ht="6" customHeight="1">
      <c r="A82" s="33"/>
      <c r="B82" s="160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2"/>
      <c r="N82" s="47"/>
      <c r="V82" s="157"/>
      <c r="W82" s="157"/>
      <c r="X82" s="157"/>
      <c r="Y82" s="157"/>
    </row>
    <row r="83" spans="1:25" s="156" customFormat="1" ht="15.75">
      <c r="A83" s="33" t="s">
        <v>386</v>
      </c>
      <c r="B83" s="238"/>
      <c r="C83" s="163">
        <f>IF(ISBLANK(DBData!FT3),0, (DBData!FT3))/100</f>
        <v>0.1</v>
      </c>
      <c r="D83" s="163">
        <f>IF(ISBLANK(DBData!FT4),0, (DBData!FT4))/100</f>
        <v>0</v>
      </c>
      <c r="E83" s="163">
        <f>IF(ISBLANK(DBData!FT5),0, (DBData!FT5))/100</f>
        <v>0</v>
      </c>
      <c r="F83" s="163">
        <f>IF(ISBLANK(DBData!FT6),0, (DBData!FT6))/100</f>
        <v>0</v>
      </c>
      <c r="G83" s="163">
        <f>IF(ISBLANK(DBData!FT7),0, (DBData!FT7))/100</f>
        <v>0</v>
      </c>
      <c r="H83" s="163">
        <f>IF(ISBLANK(DBData!FT8),0, (DBData!FT8))/100</f>
        <v>0</v>
      </c>
      <c r="I83" s="163">
        <f>IF(ISBLANK(DBData!FT9),0, (DBData!FT9))/100</f>
        <v>0</v>
      </c>
      <c r="J83" s="163">
        <f>IF(ISBLANK(DBData!FT10),0, (DBData!FT10))/100</f>
        <v>0</v>
      </c>
      <c r="K83" s="163">
        <f>IF(ISBLANK(DBData!FT11),0, (DBData!FT11))/100</f>
        <v>0</v>
      </c>
      <c r="L83" s="163">
        <f>IF(ISBLANK(DBData!FT12),0, (DBData!FT12))/100</f>
        <v>0</v>
      </c>
      <c r="M83" s="17"/>
      <c r="N83" s="47"/>
      <c r="V83" s="157"/>
      <c r="W83" s="157"/>
      <c r="X83" s="157"/>
      <c r="Y83" s="157"/>
    </row>
    <row r="84" spans="1:25" s="156" customFormat="1" ht="15.75">
      <c r="A84" s="33" t="s">
        <v>387</v>
      </c>
      <c r="B84" s="247"/>
      <c r="C84" s="175">
        <f>IF(ISBLANK(DBData!FU3),0, (DBData!FU3))</f>
        <v>121</v>
      </c>
      <c r="D84" s="175">
        <f>IF(ISBLANK(DBData!FU4),0, (DBData!FU4))</f>
        <v>0</v>
      </c>
      <c r="E84" s="175">
        <f>IF(ISBLANK(DBData!FU5),0, (DBData!FU5))</f>
        <v>0</v>
      </c>
      <c r="F84" s="175">
        <f>IF(ISBLANK(DBData!FU6),0, (DBData!FU6))</f>
        <v>0</v>
      </c>
      <c r="G84" s="175">
        <f>IF(ISBLANK(DBData!FU7),0, (DBData!FU7))</f>
        <v>0</v>
      </c>
      <c r="H84" s="175">
        <f>IF(ISBLANK(DBData!FU8),0, (DBData!FU8))</f>
        <v>0</v>
      </c>
      <c r="I84" s="175">
        <f>IF(ISBLANK(DBData!FU9),0, (DBData!FU9))</f>
        <v>0</v>
      </c>
      <c r="J84" s="175">
        <f>IF(ISBLANK(DBData!FU10),0, (DBData!FU10))</f>
        <v>0</v>
      </c>
      <c r="K84" s="175">
        <f>IF(ISBLANK(DBData!FU11),0, (DBData!FU11))</f>
        <v>0</v>
      </c>
      <c r="L84" s="175">
        <f>IF(ISBLANK(DBData!FU12),0, (DBData!FU12))</f>
        <v>0</v>
      </c>
      <c r="M84" s="17"/>
      <c r="N84" s="47"/>
      <c r="V84" s="157"/>
      <c r="W84" s="157"/>
      <c r="X84" s="157"/>
      <c r="Y84" s="157"/>
    </row>
    <row r="85" spans="1:25" s="156" customFormat="1" ht="15.75">
      <c r="A85" s="33" t="s">
        <v>388</v>
      </c>
      <c r="B85" s="238"/>
      <c r="C85" s="163">
        <f>IF(ISBLANK(DBData!FV3),0, (DBData!FV3))/100</f>
        <v>0</v>
      </c>
      <c r="D85" s="163">
        <f>IF(ISBLANK(DBData!FV4),0, (DBData!FV4))/100</f>
        <v>0</v>
      </c>
      <c r="E85" s="163">
        <f>IF(ISBLANK(DBData!FV5),0, (DBData!FV5))/100</f>
        <v>0</v>
      </c>
      <c r="F85" s="163">
        <f>IF(ISBLANK(DBData!FV6),0, (DBData!FV6))/100</f>
        <v>0</v>
      </c>
      <c r="G85" s="163">
        <f>IF(ISBLANK(DBData!FV7),0, (DBData!FV7))/100</f>
        <v>0</v>
      </c>
      <c r="H85" s="163">
        <f>IF(ISBLANK(DBData!FV8),0, (DBData!FV8))/100</f>
        <v>0</v>
      </c>
      <c r="I85" s="163">
        <f>IF(ISBLANK(DBData!FV9),0, (DBData!FV9))/100</f>
        <v>0</v>
      </c>
      <c r="J85" s="163">
        <f>IF(ISBLANK(DBData!FV10),0, (DBData!FV10))/100</f>
        <v>0</v>
      </c>
      <c r="K85" s="163">
        <f>IF(ISBLANK(DBData!FV11),0, (DBData!FV11))/100</f>
        <v>0</v>
      </c>
      <c r="L85" s="163">
        <f>IF(ISBLANK(DBData!FV12),0, (DBData!FV12))/100</f>
        <v>0</v>
      </c>
      <c r="M85" s="17"/>
      <c r="N85" s="47"/>
      <c r="V85" s="157"/>
      <c r="W85" s="157"/>
      <c r="X85" s="157"/>
      <c r="Y85" s="157"/>
    </row>
    <row r="86" spans="1:25" s="156" customFormat="1" ht="15.75">
      <c r="A86" s="33" t="s">
        <v>389</v>
      </c>
      <c r="B86" s="247"/>
      <c r="C86" s="175">
        <f>IF(ISBLANK(DBData!FW3),0, (DBData!FW3))</f>
        <v>0</v>
      </c>
      <c r="D86" s="175">
        <f>IF(ISBLANK(DBData!FW4),0, (DBData!FW4))</f>
        <v>0</v>
      </c>
      <c r="E86" s="175">
        <f>IF(ISBLANK(DBData!FW5),0, (DBData!FW5))</f>
        <v>0</v>
      </c>
      <c r="F86" s="175">
        <f>IF(ISBLANK(DBData!FW6),0, (DBData!FW6))</f>
        <v>0</v>
      </c>
      <c r="G86" s="175">
        <f>IF(ISBLANK(DBData!FW7),0, (DBData!FW7))</f>
        <v>0</v>
      </c>
      <c r="H86" s="175">
        <f>IF(ISBLANK(DBData!FW8),0, (DBData!FW8))</f>
        <v>0</v>
      </c>
      <c r="I86" s="175">
        <f>IF(ISBLANK(DBData!FW9),0, (DBData!FW9))</f>
        <v>0</v>
      </c>
      <c r="J86" s="175">
        <f>IF(ISBLANK(DBData!FW10),0, (DBData!FW10))</f>
        <v>0</v>
      </c>
      <c r="K86" s="175">
        <f>IF(ISBLANK(DBData!FW11),0, (DBData!FW11))</f>
        <v>0</v>
      </c>
      <c r="L86" s="175">
        <f>IF(ISBLANK(DBData!FW12),0, (DBData!FW12))</f>
        <v>0</v>
      </c>
      <c r="M86" s="17"/>
      <c r="N86" s="47"/>
      <c r="V86" s="157"/>
      <c r="W86" s="157"/>
      <c r="X86" s="157"/>
      <c r="Y86" s="157"/>
    </row>
    <row r="87" spans="1:25" s="156" customFormat="1" ht="15.75">
      <c r="A87" s="33" t="s">
        <v>425</v>
      </c>
      <c r="B87" s="238"/>
      <c r="C87" s="163">
        <f>IF(ISBLANK(DBData!FX3),0, (DBData!FX3))/100</f>
        <v>0</v>
      </c>
      <c r="D87" s="163">
        <f>IF(ISBLANK(DBData!FX4),0, (DBData!FX4))/100</f>
        <v>0</v>
      </c>
      <c r="E87" s="163">
        <f>IF(ISBLANK(DBData!FX5),0, (DBData!FX5))/100</f>
        <v>0</v>
      </c>
      <c r="F87" s="163">
        <f>IF(ISBLANK(DBData!FX6),0, (DBData!FX6))/100</f>
        <v>0</v>
      </c>
      <c r="G87" s="163">
        <f>IF(ISBLANK(DBData!FX7),0, (DBData!FX7))/100</f>
        <v>0</v>
      </c>
      <c r="H87" s="163">
        <f>IF(ISBLANK(DBData!FX8),0, (DBData!FX8))/100</f>
        <v>0</v>
      </c>
      <c r="I87" s="163">
        <f>IF(ISBLANK(DBData!FX9),0, (DBData!FX9))/100</f>
        <v>0</v>
      </c>
      <c r="J87" s="163">
        <f>IF(ISBLANK(DBData!FX10),0, (DBData!FX10))/100</f>
        <v>0</v>
      </c>
      <c r="K87" s="163">
        <f>IF(ISBLANK(DBData!FX11),0, (DBData!FX11))/100</f>
        <v>0</v>
      </c>
      <c r="L87" s="163">
        <f>IF(ISBLANK(DBData!FX12),0, (DBData!FX12))/100</f>
        <v>0</v>
      </c>
      <c r="M87" s="17"/>
      <c r="N87" s="47"/>
      <c r="V87" s="157"/>
      <c r="W87" s="157"/>
      <c r="X87" s="157"/>
      <c r="Y87" s="157"/>
    </row>
    <row r="88" spans="1:25" s="156" customFormat="1" ht="15.75">
      <c r="A88" s="33" t="s">
        <v>426</v>
      </c>
      <c r="B88" s="247"/>
      <c r="C88" s="175">
        <f>IF(ISBLANK(DBData!FY3),0, (DBData!FY3))</f>
        <v>0</v>
      </c>
      <c r="D88" s="175">
        <f>IF(ISBLANK(DBData!FY4),0, (DBData!FY4))</f>
        <v>0</v>
      </c>
      <c r="E88" s="175">
        <f>IF(ISBLANK(DBData!FY5),0, (DBData!FY5))</f>
        <v>0</v>
      </c>
      <c r="F88" s="175">
        <f>IF(ISBLANK(DBData!FY6),0, (DBData!FY6))</f>
        <v>0</v>
      </c>
      <c r="G88" s="175">
        <f>IF(ISBLANK(DBData!FY7),0, (DBData!FY7))</f>
        <v>0</v>
      </c>
      <c r="H88" s="175">
        <f>IF(ISBLANK(DBData!FY8),0, (DBData!FY8))</f>
        <v>0</v>
      </c>
      <c r="I88" s="175">
        <f>IF(ISBLANK(DBData!FY9),0, (DBData!FY9))</f>
        <v>0</v>
      </c>
      <c r="J88" s="175">
        <f>IF(ISBLANK(DBData!FY10),0, (DBData!FY10))</f>
        <v>0</v>
      </c>
      <c r="K88" s="175">
        <f>IF(ISBLANK(DBData!FY11),0, (DBData!FY11))</f>
        <v>0</v>
      </c>
      <c r="L88" s="175">
        <f>IF(ISBLANK(DBData!FY12),0, (DBData!FY12))</f>
        <v>0</v>
      </c>
      <c r="M88" s="17"/>
      <c r="N88" s="47"/>
      <c r="V88" s="157"/>
      <c r="W88" s="157"/>
      <c r="X88" s="157"/>
      <c r="Y88" s="157"/>
    </row>
    <row r="89" spans="1:25" s="156" customFormat="1" ht="15.75">
      <c r="A89" s="33" t="s">
        <v>427</v>
      </c>
      <c r="B89" s="238"/>
      <c r="C89" s="163">
        <f>IF(ISBLANK(DBData!FZ3),0, (DBData!FZ3))/100</f>
        <v>0</v>
      </c>
      <c r="D89" s="163">
        <f>IF(ISBLANK(DBData!FZ4),0, (DBData!FZ4))/100</f>
        <v>0</v>
      </c>
      <c r="E89" s="163">
        <f>IF(ISBLANK(DBData!FZ5),0, (DBData!FZ5))/100</f>
        <v>0</v>
      </c>
      <c r="F89" s="163">
        <f>IF(ISBLANK(DBData!FZ6),0, (DBData!FZ6))/100</f>
        <v>0</v>
      </c>
      <c r="G89" s="163">
        <f>IF(ISBLANK(DBData!FZ7),0, (DBData!FZ7))/100</f>
        <v>0</v>
      </c>
      <c r="H89" s="163">
        <f>IF(ISBLANK(DBData!FZ8),0, (DBData!FZ8))/100</f>
        <v>0</v>
      </c>
      <c r="I89" s="163">
        <f>IF(ISBLANK(DBData!FZ9),0, (DBData!FZ9))/100</f>
        <v>0</v>
      </c>
      <c r="J89" s="163">
        <f>IF(ISBLANK(DBData!FZ10),0, (DBData!FZ10))/100</f>
        <v>0</v>
      </c>
      <c r="K89" s="163">
        <f>IF(ISBLANK(DBData!FZ11),0, (DBData!FZ11))/100</f>
        <v>0</v>
      </c>
      <c r="L89" s="163">
        <f>IF(ISBLANK(DBData!FZ12),0, (DBData!FZ12))/100</f>
        <v>0</v>
      </c>
      <c r="M89" s="17"/>
      <c r="N89" s="47"/>
      <c r="V89" s="157"/>
      <c r="W89" s="157"/>
      <c r="X89" s="157"/>
      <c r="Y89" s="157"/>
    </row>
    <row r="90" spans="1:25" s="156" customFormat="1" ht="15.75">
      <c r="A90" s="33" t="s">
        <v>428</v>
      </c>
      <c r="B90" s="247"/>
      <c r="C90" s="175">
        <f>IF(ISBLANK(DBData!GA3),0, (DBData!GA3))</f>
        <v>0</v>
      </c>
      <c r="D90" s="175">
        <f>IF(ISBLANK(DBData!GA4),0, (DBData!GA4))</f>
        <v>0</v>
      </c>
      <c r="E90" s="175">
        <f>IF(ISBLANK(DBData!GA5),0, (DBData!GA5))</f>
        <v>0</v>
      </c>
      <c r="F90" s="175">
        <f>IF(ISBLANK(DBData!GA6),0, (DBData!GA6))</f>
        <v>0</v>
      </c>
      <c r="G90" s="175">
        <f>IF(ISBLANK(DBData!GA7),0, (DBData!GA7))</f>
        <v>0</v>
      </c>
      <c r="H90" s="175">
        <f>IF(ISBLANK(DBData!GA8),0, (DBData!GA8))</f>
        <v>0</v>
      </c>
      <c r="I90" s="175">
        <f>IF(ISBLANK(DBData!GA9),0, (DBData!GA9))</f>
        <v>0</v>
      </c>
      <c r="J90" s="175">
        <f>IF(ISBLANK(DBData!GA10),0, (DBData!GA10))</f>
        <v>0</v>
      </c>
      <c r="K90" s="175">
        <f>IF(ISBLANK(DBData!GA11),0, (DBData!GA11))</f>
        <v>0</v>
      </c>
      <c r="L90" s="175">
        <f>IF(ISBLANK(DBData!GA12),0, (DBData!GA12))</f>
        <v>0</v>
      </c>
      <c r="M90" s="17"/>
      <c r="N90" s="47"/>
      <c r="V90" s="157"/>
      <c r="W90" s="157"/>
      <c r="X90" s="157"/>
      <c r="Y90" s="157"/>
    </row>
    <row r="91" spans="1:25" s="156" customFormat="1" ht="15.75">
      <c r="A91" s="33" t="s">
        <v>429</v>
      </c>
      <c r="B91" s="238"/>
      <c r="C91" s="163">
        <f>IF(ISBLANK(DBData!GB3),0, (DBData!GB3))/100</f>
        <v>0</v>
      </c>
      <c r="D91" s="163">
        <f>IF(ISBLANK(DBData!GB4),0, (DBData!GB4))/100</f>
        <v>0</v>
      </c>
      <c r="E91" s="163">
        <f>IF(ISBLANK(DBData!GB5),0, (DBData!GB5))/100</f>
        <v>0</v>
      </c>
      <c r="F91" s="163">
        <f>IF(ISBLANK(DBData!GB6),0, (DBData!GB6))/100</f>
        <v>0</v>
      </c>
      <c r="G91" s="163">
        <f>IF(ISBLANK(DBData!GB7),0, (DBData!GB7))/100</f>
        <v>0</v>
      </c>
      <c r="H91" s="163">
        <f>IF(ISBLANK(DBData!GB8),0, (DBData!GB8))/100</f>
        <v>0</v>
      </c>
      <c r="I91" s="163">
        <f>IF(ISBLANK(DBData!GB9),0, (DBData!GB9))/100</f>
        <v>0</v>
      </c>
      <c r="J91" s="163">
        <f>IF(ISBLANK(DBData!GB10),0, (DBData!GB10))/100</f>
        <v>0</v>
      </c>
      <c r="K91" s="163">
        <f>IF(ISBLANK(DBData!GB11),0, (DBData!GB11))/100</f>
        <v>0</v>
      </c>
      <c r="L91" s="163">
        <f>IF(ISBLANK(DBData!GB12),0, (DBData!GB12))/100</f>
        <v>0</v>
      </c>
      <c r="M91" s="17"/>
      <c r="N91" s="47"/>
      <c r="V91" s="157"/>
      <c r="W91" s="157"/>
      <c r="X91" s="157"/>
      <c r="Y91" s="157"/>
    </row>
    <row r="92" spans="1:25" s="156" customFormat="1" ht="15.75">
      <c r="A92" s="33" t="s">
        <v>430</v>
      </c>
      <c r="B92" s="247"/>
      <c r="C92" s="175">
        <f>IF(ISBLANK(DBData!GC3),0, (DBData!GC3))</f>
        <v>0</v>
      </c>
      <c r="D92" s="175">
        <f>IF(ISBLANK(DBData!GC4),0, (DBData!GC4))</f>
        <v>0</v>
      </c>
      <c r="E92" s="175">
        <f>IF(ISBLANK(DBData!GC5),0, (DBData!GC5))</f>
        <v>0</v>
      </c>
      <c r="F92" s="175">
        <f>IF(ISBLANK(DBData!GC6),0, (DBData!GC6))</f>
        <v>0</v>
      </c>
      <c r="G92" s="175">
        <f>IF(ISBLANK(DBData!GC7),0, (DBData!GC7))</f>
        <v>0</v>
      </c>
      <c r="H92" s="175">
        <f>IF(ISBLANK(DBData!GC8),0, (DBData!GC8))</f>
        <v>0</v>
      </c>
      <c r="I92" s="175">
        <f>IF(ISBLANK(DBData!GC9),0, (DBData!GC9))</f>
        <v>0</v>
      </c>
      <c r="J92" s="175">
        <f>IF(ISBLANK(DBData!GC10),0, (DBData!GC10))</f>
        <v>0</v>
      </c>
      <c r="K92" s="175">
        <f>IF(ISBLANK(DBData!GC11),0, (DBData!GC11))</f>
        <v>0</v>
      </c>
      <c r="L92" s="175">
        <f>IF(ISBLANK(DBData!GC12),0, (DBData!GC12))</f>
        <v>0</v>
      </c>
      <c r="M92" s="17"/>
      <c r="N92" s="47"/>
      <c r="V92" s="157"/>
      <c r="W92" s="157"/>
      <c r="X92" s="157"/>
      <c r="Y92" s="157"/>
    </row>
    <row r="93" spans="1:25" s="156" customFormat="1" ht="15.75">
      <c r="A93" s="33" t="s">
        <v>431</v>
      </c>
      <c r="B93" s="238"/>
      <c r="C93" s="163">
        <f>IF(ISBLANK(DBData!GD$3),0, (DBData!GD$3))/100</f>
        <v>0</v>
      </c>
      <c r="D93" s="163">
        <f>IF(ISBLANK(DBData!$GD4),0, (DBData!$GD4))/100</f>
        <v>0</v>
      </c>
      <c r="E93" s="163">
        <f>IF(ISBLANK(DBData!$GD5),0, (DBData!$GD5))/100</f>
        <v>0</v>
      </c>
      <c r="F93" s="163">
        <f>IF(ISBLANK(DBData!$GD6),0, (DBData!$GD6))/100</f>
        <v>0</v>
      </c>
      <c r="G93" s="163">
        <f>IF(ISBLANK(DBData!$GD7),0, (DBData!$GD7))/100</f>
        <v>0</v>
      </c>
      <c r="H93" s="163">
        <f>IF(ISBLANK(DBData!$GD8),0, (DBData!$GD8))/100</f>
        <v>0</v>
      </c>
      <c r="I93" s="163">
        <f>IF(ISBLANK(DBData!$GD9),0, (DBData!$GD9))/100</f>
        <v>0</v>
      </c>
      <c r="J93" s="163">
        <f>IF(ISBLANK(DBData!$GD10),0, (DBData!$GD10))/100</f>
        <v>0</v>
      </c>
      <c r="K93" s="163">
        <f>IF(ISBLANK(DBData!$GD11),0, (DBData!$GD11))/100</f>
        <v>0</v>
      </c>
      <c r="L93" s="163">
        <f>IF(ISBLANK(DBData!$GD12),0, (DBData!$GD12))/100</f>
        <v>0</v>
      </c>
      <c r="M93" s="17"/>
      <c r="N93" s="47"/>
      <c r="V93" s="157"/>
      <c r="W93" s="157"/>
      <c r="X93" s="157"/>
      <c r="Y93" s="157"/>
    </row>
    <row r="94" spans="1:25" s="156" customFormat="1" ht="15.75">
      <c r="A94" s="33" t="s">
        <v>432</v>
      </c>
      <c r="B94" s="247"/>
      <c r="C94" s="175">
        <f>IF(ISBLANK(DBData!GE3),0, (DBData!GE3))</f>
        <v>0</v>
      </c>
      <c r="D94" s="175">
        <f>IF(ISBLANK(DBData!GE4),0, (DBData!GE4))</f>
        <v>0</v>
      </c>
      <c r="E94" s="175">
        <f>IF(ISBLANK(DBData!GE5),0, (DBData!GE5))</f>
        <v>0</v>
      </c>
      <c r="F94" s="175">
        <f>IF(ISBLANK(DBData!GE6),0, (DBData!GE6))</f>
        <v>0</v>
      </c>
      <c r="G94" s="175">
        <f>IF(ISBLANK(DBData!GE7),0, (DBData!GE7))</f>
        <v>0</v>
      </c>
      <c r="H94" s="175">
        <f>IF(ISBLANK(DBData!GE8),0, (DBData!GE8))</f>
        <v>0</v>
      </c>
      <c r="I94" s="175">
        <f>IF(ISBLANK(DBData!GE9),0, (DBData!GE9))</f>
        <v>0</v>
      </c>
      <c r="J94" s="175">
        <f>IF(ISBLANK(DBData!GE10),0, (DBData!GE10))</f>
        <v>0</v>
      </c>
      <c r="K94" s="175">
        <f>IF(ISBLANK(DBData!GE11),0, (DBData!GE11))</f>
        <v>0</v>
      </c>
      <c r="L94" s="175">
        <f>IF(ISBLANK(DBData!GE12),0, (DBData!GE12))</f>
        <v>0</v>
      </c>
      <c r="M94" s="17"/>
      <c r="N94" s="47"/>
      <c r="V94" s="157"/>
      <c r="W94" s="157"/>
      <c r="X94" s="157"/>
      <c r="Y94" s="157"/>
    </row>
    <row r="95" spans="1:25" s="156" customFormat="1" ht="15.75">
      <c r="A95" s="33" t="s">
        <v>433</v>
      </c>
      <c r="B95" s="238"/>
      <c r="C95" s="163">
        <f>IF(ISBLANK(DBData!GF3),0, (DBData!GF3))/100</f>
        <v>0</v>
      </c>
      <c r="D95" s="163">
        <f>IF(ISBLANK(DBData!GF4),0, (DBData!GF4))/100</f>
        <v>0</v>
      </c>
      <c r="E95" s="163">
        <f>IF(ISBLANK(DBData!GF5),0, (DBData!GF5))/100</f>
        <v>0</v>
      </c>
      <c r="F95" s="163">
        <f>IF(ISBLANK(DBData!GF6),0, (DBData!GF6))/100</f>
        <v>0</v>
      </c>
      <c r="G95" s="163">
        <f>IF(ISBLANK(DBData!GF7),0, (DBData!GF7))/100</f>
        <v>0</v>
      </c>
      <c r="H95" s="163">
        <f>IF(ISBLANK(DBData!GF8),0, (DBData!GF8))/100</f>
        <v>0</v>
      </c>
      <c r="I95" s="163">
        <f>IF(ISBLANK(DBData!GF9),0, (DBData!GF9))/100</f>
        <v>0</v>
      </c>
      <c r="J95" s="163">
        <f>IF(ISBLANK(DBData!GF10),0, (DBData!GF10))/100</f>
        <v>0</v>
      </c>
      <c r="K95" s="163">
        <f>IF(ISBLANK(DBData!GF11),0, (DBData!GF11))/100</f>
        <v>0</v>
      </c>
      <c r="L95" s="163">
        <f>IF(ISBLANK(DBData!GF12),0, (DBData!GF12))/100</f>
        <v>0</v>
      </c>
      <c r="M95" s="17"/>
      <c r="N95" s="47"/>
      <c r="V95" s="157"/>
      <c r="W95" s="157"/>
      <c r="X95" s="157"/>
      <c r="Y95" s="157"/>
    </row>
    <row r="96" spans="1:25" s="156" customFormat="1" ht="15.75">
      <c r="A96" s="33" t="s">
        <v>434</v>
      </c>
      <c r="B96" s="247"/>
      <c r="C96" s="175">
        <f>IF(ISBLANK(DBData!GG3),0, (DBData!GG3))</f>
        <v>0</v>
      </c>
      <c r="D96" s="175">
        <f>IF(ISBLANK(DBData!GG4),0, (DBData!GG4))</f>
        <v>0</v>
      </c>
      <c r="E96" s="175">
        <f>IF(ISBLANK(DBData!GG5),0, (DBData!GG5))</f>
        <v>0</v>
      </c>
      <c r="F96" s="175">
        <f>IF(ISBLANK(DBData!GG6),0, (DBData!GG6))</f>
        <v>0</v>
      </c>
      <c r="G96" s="175">
        <f>IF(ISBLANK(DBData!GG7),0, (DBData!GG7))</f>
        <v>0</v>
      </c>
      <c r="H96" s="175">
        <f>IF(ISBLANK(DBData!GG8),0, (DBData!GG8))</f>
        <v>0</v>
      </c>
      <c r="I96" s="175">
        <f>IF(ISBLANK(DBData!GG9),0, (DBData!GG9))</f>
        <v>0</v>
      </c>
      <c r="J96" s="175">
        <f>IF(ISBLANK(DBData!GG10),0, (DBData!GG10))</f>
        <v>0</v>
      </c>
      <c r="K96" s="175">
        <f>IF(ISBLANK(DBData!GG11),0, (DBData!GG11))</f>
        <v>0</v>
      </c>
      <c r="L96" s="175">
        <f>IF(ISBLANK(DBData!GG12),0, (DBData!GG12))</f>
        <v>0</v>
      </c>
      <c r="M96" s="17"/>
      <c r="N96" s="47"/>
      <c r="V96" s="157"/>
      <c r="W96" s="157"/>
      <c r="X96" s="157"/>
      <c r="Y96" s="157"/>
    </row>
    <row r="97" spans="1:25" s="156" customFormat="1" ht="15.75">
      <c r="A97" s="33" t="s">
        <v>435</v>
      </c>
      <c r="B97" s="238"/>
      <c r="C97" s="163">
        <f>IF(ISBLANK(DBData!GH3),0, (DBData!GH3))/100</f>
        <v>0</v>
      </c>
      <c r="D97" s="163">
        <f>IF(ISBLANK(DBData!GH4),0, (DBData!GH4))/100</f>
        <v>0</v>
      </c>
      <c r="E97" s="163">
        <f>IF(ISBLANK(DBData!GH5),0, (DBData!GH5))/100</f>
        <v>0</v>
      </c>
      <c r="F97" s="163">
        <f>IF(ISBLANK(DBData!GH6),0, (DBData!GH6))/100</f>
        <v>0</v>
      </c>
      <c r="G97" s="163">
        <f>IF(ISBLANK(DBData!GH7),0, (DBData!GH7))/100</f>
        <v>0</v>
      </c>
      <c r="H97" s="163">
        <f>IF(ISBLANK(DBData!GH8),0, (DBData!GH8))/100</f>
        <v>0</v>
      </c>
      <c r="I97" s="163">
        <f>IF(ISBLANK(DBData!GH9),0, (DBData!GH9))/100</f>
        <v>0</v>
      </c>
      <c r="J97" s="163">
        <f>IF(ISBLANK(DBData!GH10),0, (DBData!GH10))/100</f>
        <v>0</v>
      </c>
      <c r="K97" s="163">
        <f>IF(ISBLANK(DBData!GH11),0, (DBData!GH11))/100</f>
        <v>0</v>
      </c>
      <c r="L97" s="163">
        <f>IF(ISBLANK(DBData!GH12),0, (DBData!GH12))/100</f>
        <v>0</v>
      </c>
      <c r="M97" s="17"/>
      <c r="N97" s="47"/>
      <c r="V97" s="157"/>
      <c r="W97" s="157"/>
      <c r="X97" s="157"/>
      <c r="Y97" s="157"/>
    </row>
    <row r="98" spans="1:25" s="156" customFormat="1" ht="15.75">
      <c r="A98" s="33" t="s">
        <v>436</v>
      </c>
      <c r="B98" s="247"/>
      <c r="C98" s="175">
        <f>IF(ISBLANK(DBData!GI3),0, (DBData!GI3))</f>
        <v>0</v>
      </c>
      <c r="D98" s="175">
        <f>IF(ISBLANK(DBData!GI4),0, (DBData!GI4))</f>
        <v>0</v>
      </c>
      <c r="E98" s="175">
        <f>IF(ISBLANK(DBData!GI5),0, (DBData!GI5))</f>
        <v>0</v>
      </c>
      <c r="F98" s="175">
        <f>IF(ISBLANK(DBData!GI6),0, (DBData!GI6))</f>
        <v>0</v>
      </c>
      <c r="G98" s="175">
        <f>IF(ISBLANK(DBData!GI7),0, (DBData!GI7))</f>
        <v>0</v>
      </c>
      <c r="H98" s="175">
        <f>IF(ISBLANK(DBData!GI8),0, (DBData!GI8))</f>
        <v>0</v>
      </c>
      <c r="I98" s="175">
        <f>IF(ISBLANK(DBData!GI9),0, (DBData!GI9))</f>
        <v>0</v>
      </c>
      <c r="J98" s="175">
        <f>IF(ISBLANK(DBData!GI10),0, (DBData!GI10))</f>
        <v>0</v>
      </c>
      <c r="K98" s="175">
        <f>IF(ISBLANK(DBData!GI11),0, (DBData!GI11))</f>
        <v>0</v>
      </c>
      <c r="L98" s="175">
        <f>IF(ISBLANK(DBData!GI12),0, (DBData!GI12))</f>
        <v>0</v>
      </c>
      <c r="M98" s="17"/>
      <c r="N98" s="47"/>
      <c r="V98" s="157"/>
      <c r="W98" s="157"/>
      <c r="X98" s="157"/>
      <c r="Y98" s="157"/>
    </row>
    <row r="99" spans="1:25" s="156" customFormat="1" ht="15.75">
      <c r="A99" s="33" t="s">
        <v>437</v>
      </c>
      <c r="B99" s="238"/>
      <c r="C99" s="163">
        <f>IF(ISBLANK(DBData!GJ3),0, (DBData!GJ3))/100</f>
        <v>0</v>
      </c>
      <c r="D99" s="163">
        <f>IF(ISBLANK(DBData!GJ4),0, (DBData!GJ4))/100</f>
        <v>0</v>
      </c>
      <c r="E99" s="163">
        <f>IF(ISBLANK(DBData!GJ5),0, (DBData!GJ5))/100</f>
        <v>0</v>
      </c>
      <c r="F99" s="163">
        <f>IF(ISBLANK(DBData!GJ6),0, (DBData!GJ6))/100</f>
        <v>0</v>
      </c>
      <c r="G99" s="163">
        <f>IF(ISBLANK(DBData!GJ7),0, (DBData!GJ7))/100</f>
        <v>0</v>
      </c>
      <c r="H99" s="163">
        <f>IF(ISBLANK(DBData!GJ8),0, (DBData!GJ8))/100</f>
        <v>0</v>
      </c>
      <c r="I99" s="163">
        <f>IF(ISBLANK(DBData!GJ9),0, (DBData!GJ9))/100</f>
        <v>0</v>
      </c>
      <c r="J99" s="163">
        <f>IF(ISBLANK(DBData!GJ10),0, (DBData!GJ10))/100</f>
        <v>0</v>
      </c>
      <c r="K99" s="163">
        <f>IF(ISBLANK(DBData!GJ11),0, (DBData!GJ11))/100</f>
        <v>0</v>
      </c>
      <c r="L99" s="163">
        <f>IF(ISBLANK(DBData!GJ12),0, (DBData!GJ12))/100</f>
        <v>0</v>
      </c>
      <c r="M99" s="17"/>
      <c r="N99" s="47"/>
      <c r="V99" s="157"/>
      <c r="W99" s="157"/>
      <c r="X99" s="157"/>
      <c r="Y99" s="157"/>
    </row>
    <row r="100" spans="1:25" s="156" customFormat="1" ht="15.75">
      <c r="A100" s="33" t="s">
        <v>438</v>
      </c>
      <c r="B100" s="247"/>
      <c r="C100" s="175">
        <f>IF(ISBLANK(DBData!GK3),0, (DBData!GK3))</f>
        <v>0</v>
      </c>
      <c r="D100" s="175">
        <f>IF(ISBLANK(DBData!GK4),0, (DBData!GK4))</f>
        <v>0</v>
      </c>
      <c r="E100" s="175">
        <f>IF(ISBLANK(DBData!GK5),0, (DBData!GK5))</f>
        <v>0</v>
      </c>
      <c r="F100" s="175">
        <f>IF(ISBLANK(DBData!GK6),0, (DBData!GK6))</f>
        <v>0</v>
      </c>
      <c r="G100" s="175">
        <f>IF(ISBLANK(DBData!GK7),0, (DBData!GK7))</f>
        <v>0</v>
      </c>
      <c r="H100" s="175">
        <f>IF(ISBLANK(DBData!GK8),0, (DBData!GK8))</f>
        <v>0</v>
      </c>
      <c r="I100" s="175">
        <f>IF(ISBLANK(DBData!GK9),0, (DBData!GK9))</f>
        <v>0</v>
      </c>
      <c r="J100" s="175">
        <f>IF(ISBLANK(DBData!GK10),0, (DBData!GK10))</f>
        <v>0</v>
      </c>
      <c r="K100" s="175">
        <f>IF(ISBLANK(DBData!GK11),0, (DBData!GK11))</f>
        <v>0</v>
      </c>
      <c r="L100" s="175">
        <f>IF(ISBLANK(DBData!GK12),0, (DBData!GK12))</f>
        <v>0</v>
      </c>
      <c r="M100" s="17"/>
      <c r="N100" s="47"/>
      <c r="V100" s="157"/>
      <c r="W100" s="157"/>
      <c r="X100" s="157"/>
      <c r="Y100" s="157"/>
    </row>
    <row r="101" spans="1:25" s="156" customFormat="1" ht="15.75">
      <c r="A101" s="33" t="s">
        <v>439</v>
      </c>
      <c r="B101" s="238"/>
      <c r="C101" s="163">
        <f>IF(ISBLANK(DBData!GL3),0, (DBData!GL3))/100</f>
        <v>0</v>
      </c>
      <c r="D101" s="163">
        <f>IF(ISBLANK(DBData!GL4),0, (DBData!GL4))/100</f>
        <v>0</v>
      </c>
      <c r="E101" s="163">
        <f>IF(ISBLANK(DBData!GL5),0, (DBData!GL5))/100</f>
        <v>0</v>
      </c>
      <c r="F101" s="163">
        <f>IF(ISBLANK(DBData!GL6),0, (DBData!GL6))/100</f>
        <v>0</v>
      </c>
      <c r="G101" s="163">
        <f>IF(ISBLANK(DBData!GL7),0, (DBData!GL7))/100</f>
        <v>0</v>
      </c>
      <c r="H101" s="163">
        <f>IF(ISBLANK(DBData!GL8),0, (DBData!GL8))/100</f>
        <v>0</v>
      </c>
      <c r="I101" s="163">
        <f>IF(ISBLANK(DBData!GL9),0, (DBData!GL9))/100</f>
        <v>0</v>
      </c>
      <c r="J101" s="163">
        <f>IF(ISBLANK(DBData!GL10),0, (DBData!GL10))/100</f>
        <v>0</v>
      </c>
      <c r="K101" s="163">
        <f>IF(ISBLANK(DBData!GL11),0, (DBData!GL11))/100</f>
        <v>0</v>
      </c>
      <c r="L101" s="163">
        <f>IF(ISBLANK(DBData!GL12),0, (DBData!GL12))/100</f>
        <v>0</v>
      </c>
      <c r="M101" s="17"/>
      <c r="N101" s="47"/>
      <c r="V101" s="157"/>
      <c r="W101" s="157"/>
      <c r="X101" s="157"/>
      <c r="Y101" s="157"/>
    </row>
    <row r="102" spans="1:25" s="156" customFormat="1" ht="15.75">
      <c r="A102" s="33" t="s">
        <v>440</v>
      </c>
      <c r="B102" s="247"/>
      <c r="C102" s="175">
        <f>IF(ISBLANK(DBData!GM3),0, (DBData!GM3))</f>
        <v>0</v>
      </c>
      <c r="D102" s="175">
        <f>IF(ISBLANK(DBData!GM4),0, (DBData!GM4))</f>
        <v>0</v>
      </c>
      <c r="E102" s="175">
        <f>IF(ISBLANK(DBData!GM5),0, (DBData!GM5))</f>
        <v>0</v>
      </c>
      <c r="F102" s="175">
        <f>IF(ISBLANK(DBData!GM6),0, (DBData!GM6))</f>
        <v>0</v>
      </c>
      <c r="G102" s="175">
        <f>IF(ISBLANK(DBData!GM7),0, (DBData!GM7))</f>
        <v>0</v>
      </c>
      <c r="H102" s="175">
        <f>IF(ISBLANK(DBData!GM8),0, (DBData!GM8))</f>
        <v>0</v>
      </c>
      <c r="I102" s="175">
        <f>IF(ISBLANK(DBData!GM9),0, (DBData!GM9))</f>
        <v>0</v>
      </c>
      <c r="J102" s="175">
        <f>IF(ISBLANK(DBData!GM10),0, (DBData!GM10))</f>
        <v>0</v>
      </c>
      <c r="K102" s="175">
        <f>IF(ISBLANK(DBData!GM11),0, (DBData!GM11))</f>
        <v>0</v>
      </c>
      <c r="L102" s="175">
        <f>IF(ISBLANK(DBData!GM12),0, (DBData!GM12))</f>
        <v>0</v>
      </c>
      <c r="M102" s="17"/>
      <c r="N102" s="47"/>
      <c r="V102" s="157"/>
      <c r="W102" s="157"/>
      <c r="X102" s="157"/>
      <c r="Y102" s="157"/>
    </row>
    <row r="103" spans="1:25" s="156" customFormat="1" ht="15.75">
      <c r="A103" s="30" t="s">
        <v>67</v>
      </c>
      <c r="B103" s="240"/>
      <c r="C103" s="159">
        <f>(C59*C101*C102)+(C59*C99*C100)+(C59*C97*C98)+(C59*C95*C96)+(C59*C93*C94)+(C59*C91*C92)+(C59*C89*C90)+(C59*C87*C88)+(C59*C85*C86)+(C83*C84*C59)</f>
        <v>434.75</v>
      </c>
      <c r="D103" s="159">
        <f t="shared" ref="D103:L103" si="21">(D59*D101*D102)+(D59*D99*D100)+(D59*D97*D98)+(D59*D95*D96)+(D59*D93*D94)+(D59*D91*D92)+(D59*D89*D90)+(D59*D87*D88)+(D59*D85*D86)+(D83*D84*D59)</f>
        <v>0</v>
      </c>
      <c r="E103" s="159">
        <f t="shared" si="21"/>
        <v>0</v>
      </c>
      <c r="F103" s="159">
        <f t="shared" si="21"/>
        <v>0</v>
      </c>
      <c r="G103" s="159">
        <f t="shared" si="21"/>
        <v>0</v>
      </c>
      <c r="H103" s="159">
        <f t="shared" si="21"/>
        <v>0</v>
      </c>
      <c r="I103" s="159">
        <f t="shared" si="21"/>
        <v>0</v>
      </c>
      <c r="J103" s="159">
        <f t="shared" si="21"/>
        <v>0</v>
      </c>
      <c r="K103" s="159">
        <f t="shared" si="21"/>
        <v>0</v>
      </c>
      <c r="L103" s="159">
        <f t="shared" si="21"/>
        <v>0</v>
      </c>
      <c r="M103" s="159">
        <f>SUM(C103:L103)</f>
        <v>434.75</v>
      </c>
      <c r="N103" s="47"/>
      <c r="V103" s="157"/>
      <c r="W103" s="157"/>
      <c r="X103" s="157"/>
      <c r="Y103" s="157"/>
    </row>
    <row r="104" spans="1:25" s="156" customFormat="1" ht="3.75" customHeight="1">
      <c r="A104" s="6"/>
      <c r="B104" s="239"/>
      <c r="C104" s="165"/>
      <c r="D104" s="165"/>
      <c r="E104" s="165"/>
      <c r="F104" s="165"/>
      <c r="G104" s="165"/>
      <c r="H104" s="165"/>
      <c r="I104" s="165"/>
      <c r="J104" s="165"/>
      <c r="K104" s="165"/>
      <c r="L104" s="165"/>
      <c r="M104" s="162"/>
      <c r="N104" s="47"/>
      <c r="V104" s="157"/>
      <c r="W104" s="157"/>
      <c r="X104" s="157"/>
      <c r="Y104" s="157"/>
    </row>
    <row r="105" spans="1:25" s="156" customFormat="1" ht="15.75">
      <c r="A105" s="174" t="s">
        <v>16</v>
      </c>
      <c r="B105" s="249"/>
      <c r="C105" s="166">
        <f>IF(ISBLANK(DBData!GN3),0, (DBData!GN3))/100</f>
        <v>0</v>
      </c>
      <c r="D105" s="166">
        <f>IF(ISBLANK(DBData!GN4),0, (DBData!GN4))/100</f>
        <v>0</v>
      </c>
      <c r="E105" s="166">
        <f>IF(ISBLANK(DBData!GN5),0, (DBData!GN5))/100</f>
        <v>0</v>
      </c>
      <c r="F105" s="166">
        <f>IF(ISBLANK(DBData!GN6),0, (DBData!GN6))/100</f>
        <v>0</v>
      </c>
      <c r="G105" s="166">
        <f>IF(ISBLANK(DBData!GN7),0, (DBData!GN7))/100</f>
        <v>0</v>
      </c>
      <c r="H105" s="166">
        <f>IF(ISBLANK(DBData!GN8),0, (DBData!GN8))/100</f>
        <v>0</v>
      </c>
      <c r="I105" s="166">
        <f>IF(ISBLANK(DBData!GN9),0, (DBData!GN9))/100</f>
        <v>0</v>
      </c>
      <c r="J105" s="166">
        <f>IF(ISBLANK(DBData!GN10),0, (DBData!GN10))/100</f>
        <v>0</v>
      </c>
      <c r="K105" s="166">
        <f>IF(ISBLANK(DBData!GN11),0, (DBData!GN11))/100</f>
        <v>0</v>
      </c>
      <c r="L105" s="166">
        <f>IF(ISBLANK(DBData!GN12),0, (DBData!GN12))/100</f>
        <v>0</v>
      </c>
      <c r="M105" s="17"/>
      <c r="N105" s="47"/>
      <c r="V105" s="157"/>
      <c r="W105" s="157"/>
      <c r="X105" s="157"/>
      <c r="Y105" s="157"/>
    </row>
    <row r="106" spans="1:25" s="156" customFormat="1" ht="15.75">
      <c r="A106" s="33" t="s">
        <v>39</v>
      </c>
      <c r="B106" s="247"/>
      <c r="C106" s="175">
        <f>IF(ISBLANK(DBData!GO3),0, (DBData!GO3))</f>
        <v>0</v>
      </c>
      <c r="D106" s="175">
        <f>IF(ISBLANK(DBData!GO4),0, (DBData!GO4))</f>
        <v>0</v>
      </c>
      <c r="E106" s="175">
        <f>IF(ISBLANK(DBData!GO5),0, (DBData!GO5))</f>
        <v>0</v>
      </c>
      <c r="F106" s="175">
        <f>IF(ISBLANK(DBData!GO6),0, (DBData!GO6))</f>
        <v>0</v>
      </c>
      <c r="G106" s="175">
        <f>IF(ISBLANK(DBData!GO7),0, (DBData!GO7))</f>
        <v>0</v>
      </c>
      <c r="H106" s="175">
        <f>IF(ISBLANK(DBData!GO8),0, (DBData!GO8))</f>
        <v>0</v>
      </c>
      <c r="I106" s="175">
        <f>IF(ISBLANK(DBData!GO9),0, (DBData!GO9))</f>
        <v>0</v>
      </c>
      <c r="J106" s="175">
        <f>IF(ISBLANK(DBData!GO10),0, (DBData!GO10))</f>
        <v>0</v>
      </c>
      <c r="K106" s="175">
        <f>IF(ISBLANK(DBData!GO11),0, (DBData!GO11))</f>
        <v>0</v>
      </c>
      <c r="L106" s="175">
        <f>IF(ISBLANK(DBData!GO12),0, (DBData!GO12))</f>
        <v>0</v>
      </c>
      <c r="M106" s="17"/>
      <c r="N106" s="47"/>
      <c r="V106" s="157"/>
      <c r="W106" s="157"/>
      <c r="X106" s="157"/>
      <c r="Y106" s="157"/>
    </row>
    <row r="107" spans="1:25" s="156" customFormat="1" ht="15.75">
      <c r="A107" s="174" t="s">
        <v>55</v>
      </c>
      <c r="B107" s="248"/>
      <c r="C107" s="163">
        <f>IF(ISBLANK(DBData!GP3),0, (DBData!GP3))/100</f>
        <v>0</v>
      </c>
      <c r="D107" s="166">
        <f>IF(ISBLANK(DBData!GP4),0, (DBData!GP4))/100</f>
        <v>0</v>
      </c>
      <c r="E107" s="166">
        <f>IF(ISBLANK(DBData!GP5),0, (DBData!GP5))/100</f>
        <v>0</v>
      </c>
      <c r="F107" s="166">
        <f>IF(ISBLANK(DBData!GP6),0, (DBData!GP6))/100</f>
        <v>0</v>
      </c>
      <c r="G107" s="166">
        <f>IF(ISBLANK(DBData!GP7),0, (DBData!GP7))/100</f>
        <v>0</v>
      </c>
      <c r="H107" s="166">
        <f>IF(ISBLANK(DBData!GP8),0, (DBData!GP8))/100</f>
        <v>0</v>
      </c>
      <c r="I107" s="166">
        <f>IF(ISBLANK(DBData!GP9),0, (DBData!GP9))/100</f>
        <v>0</v>
      </c>
      <c r="J107" s="166">
        <f>IF(ISBLANK(DBData!GP10),0, (DBData!GP10))/100</f>
        <v>0</v>
      </c>
      <c r="K107" s="166">
        <f>IF(ISBLANK(DBData!GP11),0, (DBData!GP11))/100</f>
        <v>0</v>
      </c>
      <c r="L107" s="166">
        <f>IF(ISBLANK(DBData!GP12),0, (DBData!GP12))/100</f>
        <v>0</v>
      </c>
      <c r="M107" s="162"/>
      <c r="N107" s="47"/>
      <c r="V107" s="157"/>
      <c r="W107" s="157"/>
      <c r="X107" s="157"/>
      <c r="Y107" s="157"/>
    </row>
    <row r="108" spans="1:25" s="156" customFormat="1" ht="15.75">
      <c r="A108" s="33" t="s">
        <v>40</v>
      </c>
      <c r="B108" s="247"/>
      <c r="C108" s="175">
        <f>IF(ISBLANK(DBData!GQ3),0, (DBData!GQ3))</f>
        <v>0</v>
      </c>
      <c r="D108" s="175">
        <f>IF(ISBLANK(DBData!GQ4),0, (DBData!GQ4))</f>
        <v>0</v>
      </c>
      <c r="E108" s="175">
        <f>IF(ISBLANK(DBData!GQ5),0, (DBData!GQ5))</f>
        <v>0</v>
      </c>
      <c r="F108" s="175">
        <f>IF(ISBLANK(DBData!GQ6),0, (DBData!GQ6))</f>
        <v>0</v>
      </c>
      <c r="G108" s="175">
        <f>IF(ISBLANK(DBData!GQ7),0, (DBData!GQ7))</f>
        <v>0</v>
      </c>
      <c r="H108" s="175">
        <f>IF(ISBLANK(DBData!GQ8),0, (DBData!GQ8))</f>
        <v>0</v>
      </c>
      <c r="I108" s="175">
        <f>IF(ISBLANK(DBData!GQ9),0, (DBData!GQ9))</f>
        <v>0</v>
      </c>
      <c r="J108" s="175">
        <f>IF(ISBLANK(DBData!GQ10),0, (DBData!GQ10))</f>
        <v>0</v>
      </c>
      <c r="K108" s="175">
        <f>IF(ISBLANK(DBData!GQ11),0, (DBData!GQ11))</f>
        <v>0</v>
      </c>
      <c r="L108" s="175">
        <f>IF(ISBLANK(DBData!GQ12),0, (DBData!GQ12))</f>
        <v>0</v>
      </c>
      <c r="M108" s="162"/>
      <c r="N108" s="47"/>
      <c r="V108" s="157"/>
      <c r="W108" s="157"/>
      <c r="X108" s="157"/>
      <c r="Y108" s="157"/>
    </row>
    <row r="109" spans="1:25" s="156" customFormat="1" ht="15.75">
      <c r="A109" s="174" t="s">
        <v>56</v>
      </c>
      <c r="B109" s="248"/>
      <c r="C109" s="163">
        <f>IF(ISBLANK(DBData!GR3),0, (DBData!GR3))/100</f>
        <v>0</v>
      </c>
      <c r="D109" s="163">
        <f>IF(ISBLANK(DBData!GR4),0, (DBData!GR4))/100</f>
        <v>0</v>
      </c>
      <c r="E109" s="163">
        <f>IF(ISBLANK(DBData!GR5),0, (DBData!GR5))/100</f>
        <v>0</v>
      </c>
      <c r="F109" s="163">
        <f>IF(ISBLANK(DBData!GR6),0, (DBData!GR6))/100</f>
        <v>0</v>
      </c>
      <c r="G109" s="163">
        <f>IF(ISBLANK(DBData!GR7),0, (DBData!GR7))/100</f>
        <v>0</v>
      </c>
      <c r="H109" s="163">
        <f>IF(ISBLANK(DBData!GR8),0, (DBData!GR8))/100</f>
        <v>0</v>
      </c>
      <c r="I109" s="163">
        <f>IF(ISBLANK(DBData!GR9),0, (DBData!GR9))/100</f>
        <v>0</v>
      </c>
      <c r="J109" s="163">
        <f>IF(ISBLANK(DBData!GR10),0, (DBData!GR10))/100</f>
        <v>0</v>
      </c>
      <c r="K109" s="163">
        <f>IF(ISBLANK(DBData!GR11),0, (DBData!GR11))/100</f>
        <v>0</v>
      </c>
      <c r="L109" s="163">
        <f>IF(ISBLANK(DBData!GR12),0, (DBData!GR12))/100</f>
        <v>0</v>
      </c>
      <c r="M109" s="162"/>
      <c r="N109" s="47"/>
      <c r="V109" s="157"/>
      <c r="W109" s="157"/>
      <c r="X109" s="157"/>
      <c r="Y109" s="157"/>
    </row>
    <row r="110" spans="1:25" s="156" customFormat="1" ht="15.75">
      <c r="A110" s="33" t="s">
        <v>41</v>
      </c>
      <c r="B110" s="250"/>
      <c r="C110" s="175">
        <f>IF(ISBLANK(DBData!GS3),0, (DBData!GS3))</f>
        <v>0</v>
      </c>
      <c r="D110" s="175">
        <f>IF(ISBLANK(DBData!B4p),0, (DBData!GS4))</f>
        <v>0</v>
      </c>
      <c r="E110" s="175">
        <f>IF(ISBLANK(DBData!GS5),0, (DBData!GS5))</f>
        <v>0</v>
      </c>
      <c r="F110" s="175">
        <f>IF(ISBLANK(DBData!GS6),0, (DBData!GS6))</f>
        <v>0</v>
      </c>
      <c r="G110" s="175">
        <f>IF(ISBLANK(DBData!GS7),0, (DBData!GS7))</f>
        <v>0</v>
      </c>
      <c r="H110" s="175">
        <f>IF(ISBLANK(DBData!GS8),0, (DBData!GS8))</f>
        <v>0</v>
      </c>
      <c r="I110" s="175">
        <f>IF(ISBLANK(DBData!GS9),0, (DBData!GS9))</f>
        <v>0</v>
      </c>
      <c r="J110" s="175">
        <f>IF(ISBLANK(DBData!GS10),0, (DBData!GS10))</f>
        <v>0</v>
      </c>
      <c r="K110" s="175">
        <f>IF(ISBLANK(DBData!GS11),0, (DBData!GS11))</f>
        <v>0</v>
      </c>
      <c r="L110" s="175">
        <f>IF(ISBLANK(DBData!GS12),0, (DBData!GS12))</f>
        <v>0</v>
      </c>
      <c r="M110" s="162"/>
      <c r="N110" s="47"/>
      <c r="V110" s="157"/>
      <c r="W110" s="157"/>
      <c r="X110" s="157"/>
      <c r="Y110" s="157"/>
    </row>
    <row r="111" spans="1:25" s="156" customFormat="1" ht="15.75">
      <c r="A111" s="174" t="s">
        <v>57</v>
      </c>
      <c r="B111" s="248"/>
      <c r="C111" s="163">
        <f>IF(ISBLANK(DBData!GT3),0, (DBData!GT3))/100</f>
        <v>0</v>
      </c>
      <c r="D111" s="163">
        <f>IF(ISBLANK(DBData!GT4),0, (DBData!GT4))/100</f>
        <v>0</v>
      </c>
      <c r="E111" s="163">
        <f>IF(ISBLANK(DBData!GT5),0, (DBData!GT5))/100</f>
        <v>0</v>
      </c>
      <c r="F111" s="163">
        <f>IF(ISBLANK(DBData!GT6),0, (DBData!GT6))/100</f>
        <v>0</v>
      </c>
      <c r="G111" s="163">
        <f>IF(ISBLANK(DBData!GT7),0, (DBData!GT7))/100</f>
        <v>0</v>
      </c>
      <c r="H111" s="163">
        <f>IF(ISBLANK(DBData!GT8),0, (DBData!GT8))/100</f>
        <v>0</v>
      </c>
      <c r="I111" s="163">
        <f>IF(ISBLANK(DBData!GT9),0, (DBData!GT9))/100</f>
        <v>0</v>
      </c>
      <c r="J111" s="163">
        <f>IF(ISBLANK(DBData!GT10),0, (DBData!GT10))/100</f>
        <v>0</v>
      </c>
      <c r="K111" s="163">
        <f>IF(ISBLANK(DBData!GT11),0, (DBData!GT11))/100</f>
        <v>0</v>
      </c>
      <c r="L111" s="163">
        <f>IF(ISBLANK(DBData!GT12),0, (DBData!GT12))/100</f>
        <v>0</v>
      </c>
      <c r="M111" s="162"/>
      <c r="N111" s="47"/>
      <c r="V111" s="157"/>
      <c r="W111" s="157"/>
      <c r="X111" s="157"/>
      <c r="Y111" s="157"/>
    </row>
    <row r="112" spans="1:25" s="156" customFormat="1" ht="15.75">
      <c r="A112" s="33" t="s">
        <v>124</v>
      </c>
      <c r="B112" s="247"/>
      <c r="C112" s="175">
        <f>IF(ISBLANK(DBData!GU3),0, (DBData!GU3))</f>
        <v>0</v>
      </c>
      <c r="D112" s="175">
        <f>IF(ISBLANK(DBData!GU4),0, (DBData!GU4))</f>
        <v>0</v>
      </c>
      <c r="E112" s="175">
        <f>IF(ISBLANK(DBData!GU5),0, (DBData!GU5))</f>
        <v>0</v>
      </c>
      <c r="F112" s="175">
        <f>IF(ISBLANK(DBData!GU6),0, (DBData!GU6))</f>
        <v>0</v>
      </c>
      <c r="G112" s="175">
        <f>IF(ISBLANK(DBData!GU7),0, (DBData!GU7))</f>
        <v>0</v>
      </c>
      <c r="H112" s="175">
        <f>IF(ISBLANK(DBData!GU8),0, (DBData!GU8))</f>
        <v>0</v>
      </c>
      <c r="I112" s="175">
        <f>IF(ISBLANK(DBData!GU9),0, (DBData!GU9))</f>
        <v>0</v>
      </c>
      <c r="J112" s="175">
        <f>IF(ISBLANK(DBData!GU10),0, (DBData!GU10))</f>
        <v>0</v>
      </c>
      <c r="K112" s="175">
        <f>IF(ISBLANK(DBData!GU11),0, (DBData!GU11))</f>
        <v>0</v>
      </c>
      <c r="L112" s="175">
        <f>IF(ISBLANK(DBData!GU12),0, (DBData!GU12))</f>
        <v>0</v>
      </c>
      <c r="M112" s="162"/>
      <c r="N112" s="47"/>
      <c r="V112" s="157"/>
      <c r="W112" s="157"/>
      <c r="X112" s="157"/>
      <c r="Y112" s="157"/>
    </row>
    <row r="113" spans="1:25" s="156" customFormat="1" ht="15.75">
      <c r="A113" s="174" t="s">
        <v>16</v>
      </c>
      <c r="B113" s="249"/>
      <c r="C113" s="166">
        <f>IF(ISBLANK(DBData!GV3),0, (DBData!GV3))/100</f>
        <v>0</v>
      </c>
      <c r="D113" s="166">
        <f>IF(ISBLANK(DBData!GV4),0, (DBData!GV4))/100</f>
        <v>0</v>
      </c>
      <c r="E113" s="166">
        <f>IF(ISBLANK(DBData!GV5),0, (DBData!GV5))/100</f>
        <v>0</v>
      </c>
      <c r="F113" s="166">
        <f>IF(ISBLANK(DBData!GV6),0, (DBData!GV6))/100</f>
        <v>0</v>
      </c>
      <c r="G113" s="166">
        <f>IF(ISBLANK(DBData!GV7),0, (DBData!GV7))/100</f>
        <v>0</v>
      </c>
      <c r="H113" s="166">
        <f>IF(ISBLANK(DBData!GV8),0, (DBData!GV8))/100</f>
        <v>0</v>
      </c>
      <c r="I113" s="166">
        <f>IF(ISBLANK(DBData!GV9),0, (DBData!GV9))/100</f>
        <v>0</v>
      </c>
      <c r="J113" s="166">
        <f>IF(ISBLANK(DBData!GV10),0, (DBData!GV10))/100</f>
        <v>0</v>
      </c>
      <c r="K113" s="166">
        <f>IF(ISBLANK(DBData!GV11),0, (DBData!GV11))/100</f>
        <v>0</v>
      </c>
      <c r="L113" s="166">
        <f>IF(ISBLANK(DBData!GV12),0, (DBData!GV12))/100</f>
        <v>0</v>
      </c>
      <c r="M113" s="17"/>
      <c r="N113" s="47"/>
      <c r="V113" s="157"/>
      <c r="W113" s="157"/>
      <c r="X113" s="157"/>
      <c r="Y113" s="157"/>
    </row>
    <row r="114" spans="1:25" s="156" customFormat="1" ht="15.75">
      <c r="A114" s="33" t="s">
        <v>441</v>
      </c>
      <c r="B114" s="247"/>
      <c r="C114" s="175">
        <f>IF(ISBLANK(DBData!GW3),0, (DBData!GW3))</f>
        <v>0</v>
      </c>
      <c r="D114" s="175">
        <f>IF(ISBLANK(DBData!GW4),0, (DBData!GW4))</f>
        <v>0</v>
      </c>
      <c r="E114" s="175">
        <f>IF(ISBLANK(DBData!GW5),0, (DBData!GW5))</f>
        <v>0</v>
      </c>
      <c r="F114" s="175">
        <f>IF(ISBLANK(DBData!GW6),0, (DBData!GW6))</f>
        <v>0</v>
      </c>
      <c r="G114" s="175">
        <f>IF(ISBLANK(DBData!GW7),0, (DBData!GW7))</f>
        <v>0</v>
      </c>
      <c r="H114" s="175">
        <f>IF(ISBLANK(DBData!GW8),0, (DBData!GW8))</f>
        <v>0</v>
      </c>
      <c r="I114" s="175">
        <f>IF(ISBLANK(DBData!GW9),0, (DBData!GW9))</f>
        <v>0</v>
      </c>
      <c r="J114" s="175">
        <f>IF(ISBLANK(DBData!GW10),0, (DBData!GW10))</f>
        <v>0</v>
      </c>
      <c r="K114" s="175">
        <f>IF(ISBLANK(DBData!GW11),0, (DBData!GW11))</f>
        <v>0</v>
      </c>
      <c r="L114" s="175">
        <f>IF(ISBLANK(DBData!GW12),0, (DBData!GW12))</f>
        <v>0</v>
      </c>
      <c r="M114" s="17"/>
      <c r="N114" s="47"/>
      <c r="V114" s="157"/>
      <c r="W114" s="157"/>
      <c r="X114" s="157"/>
      <c r="Y114" s="157"/>
    </row>
    <row r="115" spans="1:25" s="156" customFormat="1" ht="15.75">
      <c r="A115" s="174" t="s">
        <v>55</v>
      </c>
      <c r="B115" s="248"/>
      <c r="C115" s="163">
        <f>IF(ISBLANK(DBData!GX3),0, (DBData!GX3))/100</f>
        <v>0</v>
      </c>
      <c r="D115" s="166">
        <f>IF(ISBLANK(DBData!GX4),0, (DBData!GX4))/100</f>
        <v>0</v>
      </c>
      <c r="E115" s="166">
        <f>IF(ISBLANK(DBData!GX5),0, (DBData!GX5))/100</f>
        <v>0</v>
      </c>
      <c r="F115" s="166">
        <f>IF(ISBLANK(DBData!GX6),0, (DBData!GX6))/100</f>
        <v>0</v>
      </c>
      <c r="G115" s="166">
        <f>IF(ISBLANK(DBData!GX7),0, (DBData!GX7))/100</f>
        <v>0</v>
      </c>
      <c r="H115" s="166">
        <f>IF(ISBLANK(DBData!GX8),0, (DBData!GX8))/100</f>
        <v>0</v>
      </c>
      <c r="I115" s="166">
        <f>IF(ISBLANK(DBData!GX9),0, (DBData!GX9))/100</f>
        <v>0</v>
      </c>
      <c r="J115" s="166">
        <f>IF(ISBLANK(DBData!GX10),0, (DBData!GX10))/100</f>
        <v>0</v>
      </c>
      <c r="K115" s="166">
        <f>IF(ISBLANK(DBData!GX11),0, (DBData!GX11))/100</f>
        <v>0</v>
      </c>
      <c r="L115" s="166">
        <f>IF(ISBLANK(DBData!GX12),0, (DBData!GX12))/100</f>
        <v>0</v>
      </c>
      <c r="M115" s="162"/>
      <c r="N115" s="47"/>
      <c r="V115" s="157"/>
      <c r="W115" s="157"/>
      <c r="X115" s="157"/>
      <c r="Y115" s="157"/>
    </row>
    <row r="116" spans="1:25" s="156" customFormat="1" ht="15.75">
      <c r="A116" s="33" t="s">
        <v>442</v>
      </c>
      <c r="B116" s="247"/>
      <c r="C116" s="175">
        <f>IF(ISBLANK(DBData!GY3),0, (DBData!GY3))</f>
        <v>0</v>
      </c>
      <c r="D116" s="175">
        <f>IF(ISBLANK(DBData!GY4),0, (DBData!GY4))</f>
        <v>0</v>
      </c>
      <c r="E116" s="175">
        <f>IF(ISBLANK(DBData!GY5),0, (DBData!GY5))</f>
        <v>0</v>
      </c>
      <c r="F116" s="175">
        <f>IF(ISBLANK(DBData!GY6),0, (DBData!GY6))</f>
        <v>0</v>
      </c>
      <c r="G116" s="175">
        <f>IF(ISBLANK(DBData!GY7),0, (DBData!GY7))</f>
        <v>0</v>
      </c>
      <c r="H116" s="175">
        <f>IF(ISBLANK(DBData!GY8),0, (DBData!GY8))</f>
        <v>0</v>
      </c>
      <c r="I116" s="175">
        <f>IF(ISBLANK(DBData!GY9),0, (DBData!GY9))</f>
        <v>0</v>
      </c>
      <c r="J116" s="175">
        <f>IF(ISBLANK(DBData!GY10),0, (DBData!GY10))</f>
        <v>0</v>
      </c>
      <c r="K116" s="175">
        <f>IF(ISBLANK(DBData!GY11),0, (DBData!GY11))</f>
        <v>0</v>
      </c>
      <c r="L116" s="175">
        <f>IF(ISBLANK(DBData!GY12),0, (DBData!GY12))</f>
        <v>0</v>
      </c>
      <c r="M116" s="162"/>
      <c r="N116" s="47"/>
      <c r="V116" s="157"/>
      <c r="W116" s="157"/>
      <c r="X116" s="157"/>
      <c r="Y116" s="157"/>
    </row>
    <row r="117" spans="1:25" s="156" customFormat="1" ht="15.75">
      <c r="A117" s="174" t="s">
        <v>56</v>
      </c>
      <c r="B117" s="248"/>
      <c r="C117" s="163">
        <f>IF(ISBLANK(DBData!GZ3),0, (DBData!GZ3))/100</f>
        <v>0</v>
      </c>
      <c r="D117" s="163">
        <f>IF(ISBLANK(DBData!GZ4),0, (DBData!GZ4))/100</f>
        <v>0</v>
      </c>
      <c r="E117" s="163">
        <f>IF(ISBLANK(DBData!GZ5),0, (DBData!GZ5))/100</f>
        <v>0</v>
      </c>
      <c r="F117" s="163">
        <f>IF(ISBLANK(DBData!GZ6),0, (DBData!GZ6))/100</f>
        <v>0</v>
      </c>
      <c r="G117" s="163">
        <f>IF(ISBLANK(DBData!GZ7),0, (DBData!GZ7))/100</f>
        <v>0</v>
      </c>
      <c r="H117" s="163">
        <f>IF(ISBLANK(DBData!GZ8),0, (DBData!GZ8))/100</f>
        <v>0</v>
      </c>
      <c r="I117" s="163">
        <f>IF(ISBLANK(DBData!GZ9),0, (DBData!GZ9))/100</f>
        <v>0</v>
      </c>
      <c r="J117" s="163">
        <f>IF(ISBLANK(DBData!GZ10),0, (DBData!GZ10))/100</f>
        <v>0</v>
      </c>
      <c r="K117" s="163">
        <f>IF(ISBLANK(DBData!GZ11),0, (DBData!GZ11))/100</f>
        <v>0</v>
      </c>
      <c r="L117" s="163">
        <f>IF(ISBLANK(DBData!GZ12),0, (DBData!GZ12))/100</f>
        <v>0</v>
      </c>
      <c r="M117" s="162"/>
      <c r="N117" s="47"/>
      <c r="V117" s="157"/>
      <c r="W117" s="157"/>
      <c r="X117" s="157"/>
      <c r="Y117" s="157"/>
    </row>
    <row r="118" spans="1:25" s="156" customFormat="1" ht="15.75">
      <c r="A118" s="33" t="s">
        <v>443</v>
      </c>
      <c r="B118" s="250"/>
      <c r="C118" s="175">
        <f>IF(ISBLANK(DBData!HA3),0, (DBData!HA3))</f>
        <v>0</v>
      </c>
      <c r="D118" s="175">
        <f>IF(ISBLANK(DBData!HA4),0, (DBData!HA4))</f>
        <v>0</v>
      </c>
      <c r="E118" s="175">
        <f>IF(ISBLANK(DBData!HA5),0, (DBData!HA5))</f>
        <v>0</v>
      </c>
      <c r="F118" s="175">
        <f>IF(ISBLANK(DBData!HA6),0, (DBData!HA6))</f>
        <v>0</v>
      </c>
      <c r="G118" s="175">
        <f>IF(ISBLANK(DBData!HA7),0, (DBData!HA7))</f>
        <v>0</v>
      </c>
      <c r="H118" s="175">
        <f>IF(ISBLANK(DBData!HA8),0, (DBData!HA8))</f>
        <v>0</v>
      </c>
      <c r="I118" s="175">
        <f>IF(ISBLANK(DBData!HA9),0, (DBData!HA9))</f>
        <v>0</v>
      </c>
      <c r="J118" s="175">
        <f>IF(ISBLANK(DBData!HA10),0, (DBData!HA10))</f>
        <v>0</v>
      </c>
      <c r="K118" s="175">
        <f>IF(ISBLANK(DBData!HA11),0, (DBData!HA11))</f>
        <v>0</v>
      </c>
      <c r="L118" s="175">
        <f>IF(ISBLANK(DBData!HA12),0, (DBData!HA12))</f>
        <v>0</v>
      </c>
      <c r="M118" s="162"/>
      <c r="N118" s="47"/>
      <c r="V118" s="157"/>
      <c r="W118" s="157"/>
      <c r="X118" s="157"/>
      <c r="Y118" s="157"/>
    </row>
    <row r="119" spans="1:25" s="156" customFormat="1" ht="15.75">
      <c r="A119" s="174" t="s">
        <v>57</v>
      </c>
      <c r="B119" s="248"/>
      <c r="C119" s="163">
        <f>IF(ISBLANK(DBData!HB3),0, (DBData!HB3))/100</f>
        <v>0</v>
      </c>
      <c r="D119" s="163">
        <f>IF(ISBLANK(DBData!HB4),0, (DBData!HB4))/100</f>
        <v>0</v>
      </c>
      <c r="E119" s="163">
        <f>IF(ISBLANK(DBData!HB5),0, (DBData!HB5))/100</f>
        <v>0</v>
      </c>
      <c r="F119" s="163">
        <f>IF(ISBLANK(DBData!HB6),0, (DBData!HB6))/100</f>
        <v>0</v>
      </c>
      <c r="G119" s="163">
        <f>IF(ISBLANK(DBData!HB7),0, (DBData!HB7))/100</f>
        <v>0</v>
      </c>
      <c r="H119" s="163">
        <f>IF(ISBLANK(DBData!HB8),0, (DBData!HB8))/100</f>
        <v>0</v>
      </c>
      <c r="I119" s="163">
        <f>IF(ISBLANK(DBData!HB9),0, (DBData!HB9))/100</f>
        <v>0</v>
      </c>
      <c r="J119" s="163">
        <f>IF(ISBLANK(DBData!HB10),0, (DBData!HB10))/100</f>
        <v>0</v>
      </c>
      <c r="K119" s="163">
        <f>IF(ISBLANK(DBData!HB11),0, (DBData!HB11))/100</f>
        <v>0</v>
      </c>
      <c r="L119" s="163">
        <f>IF(ISBLANK(DBData!HB12),0, (DBData!HB12))/100</f>
        <v>0</v>
      </c>
      <c r="M119" s="162"/>
      <c r="N119" s="47"/>
      <c r="V119" s="157"/>
      <c r="W119" s="157"/>
      <c r="X119" s="157"/>
      <c r="Y119" s="157"/>
    </row>
    <row r="120" spans="1:25" s="156" customFormat="1" ht="15.75">
      <c r="A120" s="33" t="s">
        <v>444</v>
      </c>
      <c r="B120" s="247"/>
      <c r="C120" s="175">
        <f>IF(ISBLANK(DBData!HC3),0, (DBData!HC3))</f>
        <v>0</v>
      </c>
      <c r="D120" s="175">
        <f>IF(ISBLANK(DBData!HC4),0, (DBData!HC4))</f>
        <v>0</v>
      </c>
      <c r="E120" s="175">
        <f>IF(ISBLANK(DBData!HC5),0, (DBData!HC5))</f>
        <v>0</v>
      </c>
      <c r="F120" s="175">
        <f>IF(ISBLANK(DBData!HC6),0, (DBData!HC6))</f>
        <v>0</v>
      </c>
      <c r="G120" s="175">
        <f>IF(ISBLANK(DBData!HC7),0, (DBData!HC7))</f>
        <v>0</v>
      </c>
      <c r="H120" s="175">
        <f>IF(ISBLANK(DBData!HC8),0, (DBData!HC8))</f>
        <v>0</v>
      </c>
      <c r="I120" s="175">
        <f>IF(ISBLANK(DBData!HC9),0, (DBData!HC9))</f>
        <v>0</v>
      </c>
      <c r="J120" s="175">
        <f>IF(ISBLANK(DBData!HC10),0, (DBData!HC10))</f>
        <v>0</v>
      </c>
      <c r="K120" s="175">
        <f>IF(ISBLANK(DBData!HC11),0, (DBData!HC11))</f>
        <v>0</v>
      </c>
      <c r="L120" s="175">
        <f>IF(ISBLANK(DBData!HC12),0, (DBData!HC12))</f>
        <v>0</v>
      </c>
      <c r="M120" s="162"/>
      <c r="N120" s="47"/>
      <c r="V120" s="157"/>
      <c r="W120" s="157"/>
      <c r="X120" s="157"/>
      <c r="Y120" s="157"/>
    </row>
    <row r="121" spans="1:25" s="156" customFormat="1" ht="15.75">
      <c r="A121" s="174" t="s">
        <v>56</v>
      </c>
      <c r="B121" s="248"/>
      <c r="C121" s="163">
        <f>IF(ISBLANK(DBData!HD3),0, (DBData!HD3))/100</f>
        <v>0</v>
      </c>
      <c r="D121" s="163">
        <f>IF(ISBLANK(DBData!HD4),0, (DBData!HD4))/100</f>
        <v>0</v>
      </c>
      <c r="E121" s="163">
        <f>IF(ISBLANK(DBData!HD5),0, (DBData!HD5))/100</f>
        <v>0</v>
      </c>
      <c r="F121" s="163">
        <f>IF(ISBLANK(DBData!HD6),0, (DBData!HD6))/100</f>
        <v>0</v>
      </c>
      <c r="G121" s="163">
        <f>IF(ISBLANK(DBData!HD7),0, (DBData!HD7))/100</f>
        <v>0</v>
      </c>
      <c r="H121" s="163">
        <f>IF(ISBLANK(DBData!HD8),0, (DBData!HD8))/100</f>
        <v>0</v>
      </c>
      <c r="I121" s="163">
        <f>IF(ISBLANK(DBData!HD9),0, (DBData!HD9))/100</f>
        <v>0</v>
      </c>
      <c r="J121" s="163">
        <f>IF(ISBLANK(DBData!HD10),0, (DBData!HD10))/100</f>
        <v>0</v>
      </c>
      <c r="K121" s="163">
        <f>IF(ISBLANK(DBData!HD11),0, (DBData!HD11))/100</f>
        <v>0</v>
      </c>
      <c r="L121" s="163">
        <f>IF(ISBLANK(DBData!HD12),0, (DBData!HD12))/100</f>
        <v>0</v>
      </c>
      <c r="M121" s="162"/>
      <c r="N121" s="47"/>
      <c r="V121" s="157"/>
      <c r="W121" s="157"/>
      <c r="X121" s="157"/>
      <c r="Y121" s="157"/>
    </row>
    <row r="122" spans="1:25" s="156" customFormat="1" ht="15.75">
      <c r="A122" s="33" t="s">
        <v>445</v>
      </c>
      <c r="B122" s="250"/>
      <c r="C122" s="175">
        <f>IF(ISBLANK(DBData!HE3),0, (DBData!HE3))</f>
        <v>0</v>
      </c>
      <c r="D122" s="175">
        <f>IF(ISBLANK(DBData!HE4),0, (DBData!HE4))</f>
        <v>0</v>
      </c>
      <c r="E122" s="175">
        <f>IF(ISBLANK(DBData!HE5),0, (DBData!HE5))</f>
        <v>0</v>
      </c>
      <c r="F122" s="175">
        <f>IF(ISBLANK(DBData!HE6),0, (DBData!HE6))</f>
        <v>0</v>
      </c>
      <c r="G122" s="175">
        <f>IF(ISBLANK(DBData!HE7),0, (DBData!HE7))</f>
        <v>0</v>
      </c>
      <c r="H122" s="175">
        <f>IF(ISBLANK(DBData!HE8),0, (DBData!HE8))</f>
        <v>0</v>
      </c>
      <c r="I122" s="175">
        <f>IF(ISBLANK(DBData!HE9),0, (DBData!HE9))</f>
        <v>0</v>
      </c>
      <c r="J122" s="175">
        <f>IF(ISBLANK(DBData!HE10),0, (DBData!HE10))</f>
        <v>0</v>
      </c>
      <c r="K122" s="175">
        <f>IF(ISBLANK(DBData!HE11),0, (DBData!HE11))</f>
        <v>0</v>
      </c>
      <c r="L122" s="175">
        <f>IF(ISBLANK(DBData!HE12),0, (DBData!HE12))</f>
        <v>0</v>
      </c>
      <c r="M122" s="162"/>
      <c r="N122" s="47"/>
      <c r="V122" s="157"/>
      <c r="W122" s="157"/>
      <c r="X122" s="157"/>
      <c r="Y122" s="157"/>
    </row>
    <row r="123" spans="1:25" s="156" customFormat="1" ht="15.75">
      <c r="A123" s="174" t="s">
        <v>57</v>
      </c>
      <c r="B123" s="248"/>
      <c r="C123" s="163">
        <f>IF(ISBLANK(DBData!HF3),0, (DBData!HF3))/100</f>
        <v>0</v>
      </c>
      <c r="D123" s="163">
        <f>IF(ISBLANK(DBData!HF4),0, (DBData!HF4))/100</f>
        <v>0</v>
      </c>
      <c r="E123" s="163">
        <f>IF(ISBLANK(DBData!HF5),0, (DBData!HF5))/100</f>
        <v>0</v>
      </c>
      <c r="F123" s="163">
        <f>IF(ISBLANK(DBData!HF6),0, (DBData!HF6))/100</f>
        <v>0</v>
      </c>
      <c r="G123" s="163">
        <f>IF(ISBLANK(DBData!HF7),0, (DBData!HF7))/100</f>
        <v>0</v>
      </c>
      <c r="H123" s="163">
        <f>IF(ISBLANK(DBData!HF8),0, (DBData!HF8))/100</f>
        <v>0</v>
      </c>
      <c r="I123" s="163">
        <f>IF(ISBLANK(DBData!HF9),0, (DBData!HF9))/100</f>
        <v>0</v>
      </c>
      <c r="J123" s="163">
        <f>IF(ISBLANK(DBData!HF10),0, (DBData!HF10))/100</f>
        <v>0</v>
      </c>
      <c r="K123" s="163">
        <f>IF(ISBLANK(DBData!HF11),0, (DBData!HF11))/100</f>
        <v>0</v>
      </c>
      <c r="L123" s="163">
        <f>IF(ISBLANK(DBData!HF12),0, (DBData!HF12))/100</f>
        <v>0</v>
      </c>
      <c r="M123" s="162"/>
      <c r="N123" s="47"/>
      <c r="V123" s="157"/>
      <c r="W123" s="157"/>
      <c r="X123" s="157"/>
      <c r="Y123" s="157"/>
    </row>
    <row r="124" spans="1:25" s="156" customFormat="1" ht="15.75">
      <c r="A124" s="33" t="s">
        <v>446</v>
      </c>
      <c r="B124" s="247"/>
      <c r="C124" s="175">
        <f>IF(ISBLANK(DBData!HG3),0, (DBData!HG3))</f>
        <v>0</v>
      </c>
      <c r="D124" s="175">
        <f>IF(ISBLANK(DBData!HG4),0, (DBData!HG4))</f>
        <v>0</v>
      </c>
      <c r="E124" s="175">
        <f>IF(ISBLANK(DBData!HG5),0, (DBData!HG5))</f>
        <v>0</v>
      </c>
      <c r="F124" s="175">
        <f>IF(ISBLANK(DBData!HG6),0, (DBData!HG6))</f>
        <v>0</v>
      </c>
      <c r="G124" s="175">
        <f>IF(ISBLANK(DBData!HG7),0, (DBData!HG7))</f>
        <v>0</v>
      </c>
      <c r="H124" s="175">
        <f>IF(ISBLANK(DBData!HG8),0, (DBData!HG8))</f>
        <v>0</v>
      </c>
      <c r="I124" s="175">
        <f>IF(ISBLANK(DBData!HG9),0, (DBData!HG9))</f>
        <v>0</v>
      </c>
      <c r="J124" s="175">
        <f>IF(ISBLANK(DBData!HG10),0, (DBData!HG10))</f>
        <v>0</v>
      </c>
      <c r="K124" s="175">
        <f>IF(ISBLANK(DBData!HG11),0, (DBData!HG11))</f>
        <v>0</v>
      </c>
      <c r="L124" s="175">
        <f>IF(ISBLANK(DBData!HG12),0, (DBData!HG12))</f>
        <v>0</v>
      </c>
      <c r="M124" s="162"/>
      <c r="N124" s="47"/>
      <c r="V124" s="157"/>
      <c r="W124" s="157"/>
      <c r="X124" s="157"/>
      <c r="Y124" s="157"/>
    </row>
    <row r="125" spans="1:25" s="156" customFormat="1" ht="15.75">
      <c r="A125" s="30" t="s">
        <v>53</v>
      </c>
      <c r="B125" s="241"/>
      <c r="C125" s="159">
        <f>(C59*C123*C124)+(C59*C121*C122)+(C59*C119*C120)+(C59*C117*C118)+(C59*C115*C116)+(C59*C113*C114)+(C59*C111*C112)+(C59*C109*C110)+(C59*C107*C108)+(C105*C106*C59)</f>
        <v>0</v>
      </c>
      <c r="D125" s="159">
        <f t="shared" ref="D125:L125" si="22">(D59*D123*D124)+(D59*D121*D122)+(D59*D119*D120)+(D59*D117*D118)+(D59*D115*D116)+(D59*D113*D114)+(D59*D111*D112)+(D59*D109*D110)+(D59*D107*D108)+(D105*D106*D59)</f>
        <v>0</v>
      </c>
      <c r="E125" s="159">
        <f t="shared" si="22"/>
        <v>0</v>
      </c>
      <c r="F125" s="159">
        <f t="shared" si="22"/>
        <v>0</v>
      </c>
      <c r="G125" s="159">
        <f t="shared" si="22"/>
        <v>0</v>
      </c>
      <c r="H125" s="159">
        <f t="shared" si="22"/>
        <v>0</v>
      </c>
      <c r="I125" s="159">
        <f t="shared" si="22"/>
        <v>0</v>
      </c>
      <c r="J125" s="159">
        <f t="shared" si="22"/>
        <v>0</v>
      </c>
      <c r="K125" s="159">
        <f t="shared" si="22"/>
        <v>0</v>
      </c>
      <c r="L125" s="159">
        <f t="shared" si="22"/>
        <v>0</v>
      </c>
      <c r="M125" s="14">
        <f>SUM(C125:L125)</f>
        <v>0</v>
      </c>
      <c r="N125" s="47"/>
      <c r="V125" s="157"/>
      <c r="W125" s="157"/>
      <c r="X125" s="157"/>
      <c r="Y125" s="157"/>
    </row>
    <row r="126" spans="1:25" s="156" customFormat="1" ht="5.25" customHeight="1">
      <c r="A126" s="8"/>
      <c r="B126" s="8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3"/>
      <c r="N126" s="47"/>
      <c r="V126" s="157"/>
      <c r="W126" s="157"/>
      <c r="X126" s="157"/>
      <c r="Y126" s="157"/>
    </row>
    <row r="127" spans="1:25" s="156" customFormat="1" ht="15.75">
      <c r="A127" s="29" t="s">
        <v>68</v>
      </c>
      <c r="B127" s="10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16">
        <f>M125+M103+M81</f>
        <v>3240.88</v>
      </c>
      <c r="N127" s="47"/>
      <c r="V127" s="157"/>
      <c r="W127" s="157"/>
      <c r="X127" s="157"/>
      <c r="Y127" s="157"/>
    </row>
    <row r="128" spans="1:25" s="156" customFormat="1" ht="15.75">
      <c r="A128" s="10"/>
      <c r="B128" s="10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47"/>
      <c r="V128" s="157"/>
      <c r="W128" s="157"/>
      <c r="X128" s="157"/>
      <c r="Y128" s="157"/>
    </row>
    <row r="129" spans="1:25" s="156" customFormat="1" ht="15.75">
      <c r="A129" s="187" t="s">
        <v>139</v>
      </c>
      <c r="B129" s="188"/>
      <c r="C129" s="189">
        <f t="shared" ref="C129:L129" si="23">C8</f>
        <v>47</v>
      </c>
      <c r="D129" s="189">
        <f t="shared" si="23"/>
        <v>0</v>
      </c>
      <c r="E129" s="189">
        <f t="shared" si="23"/>
        <v>0</v>
      </c>
      <c r="F129" s="189">
        <f t="shared" si="23"/>
        <v>0</v>
      </c>
      <c r="G129" s="189">
        <f t="shared" si="23"/>
        <v>0</v>
      </c>
      <c r="H129" s="189">
        <f t="shared" si="23"/>
        <v>0</v>
      </c>
      <c r="I129" s="189">
        <f t="shared" si="23"/>
        <v>0</v>
      </c>
      <c r="J129" s="189">
        <f t="shared" si="23"/>
        <v>0</v>
      </c>
      <c r="K129" s="189">
        <f t="shared" si="23"/>
        <v>0</v>
      </c>
      <c r="L129" s="189">
        <f t="shared" si="23"/>
        <v>0</v>
      </c>
      <c r="M129" s="190"/>
      <c r="N129" s="47"/>
      <c r="V129" s="157"/>
      <c r="W129" s="157"/>
      <c r="X129" s="157"/>
      <c r="Y129" s="157"/>
    </row>
    <row r="130" spans="1:25" s="156" customFormat="1" ht="15.75">
      <c r="A130" s="191" t="s">
        <v>140</v>
      </c>
      <c r="B130" s="30"/>
      <c r="C130" s="2">
        <f t="shared" ref="C130:L130" si="24">C129*C59</f>
        <v>1688.71</v>
      </c>
      <c r="D130" s="2">
        <f t="shared" si="24"/>
        <v>0</v>
      </c>
      <c r="E130" s="2">
        <f t="shared" si="24"/>
        <v>0</v>
      </c>
      <c r="F130" s="2">
        <f t="shared" si="24"/>
        <v>0</v>
      </c>
      <c r="G130" s="2">
        <f t="shared" si="24"/>
        <v>0</v>
      </c>
      <c r="H130" s="2">
        <f t="shared" si="24"/>
        <v>0</v>
      </c>
      <c r="I130" s="2">
        <f t="shared" si="24"/>
        <v>0</v>
      </c>
      <c r="J130" s="2">
        <f t="shared" si="24"/>
        <v>0</v>
      </c>
      <c r="K130" s="2">
        <f t="shared" si="24"/>
        <v>0</v>
      </c>
      <c r="L130" s="2">
        <f t="shared" si="24"/>
        <v>0</v>
      </c>
      <c r="M130" s="192">
        <f>SUM(C130:L130)</f>
        <v>1688.71</v>
      </c>
      <c r="N130" s="47"/>
      <c r="V130" s="157"/>
      <c r="W130" s="157"/>
      <c r="X130" s="157"/>
      <c r="Y130" s="157"/>
    </row>
    <row r="131" spans="1:25" s="156" customFormat="1" ht="16.5" thickBot="1">
      <c r="A131" s="34"/>
      <c r="B131" s="34"/>
      <c r="C131" s="164"/>
      <c r="D131" s="164"/>
      <c r="E131" s="164"/>
      <c r="F131" s="164"/>
      <c r="G131" s="164"/>
      <c r="H131" s="164"/>
      <c r="I131" s="164"/>
      <c r="J131" s="164"/>
      <c r="K131" s="164"/>
      <c r="L131" s="164"/>
      <c r="M131" s="167"/>
      <c r="N131" s="47"/>
      <c r="V131" s="157"/>
      <c r="W131" s="157"/>
      <c r="X131" s="157"/>
      <c r="Y131" s="157"/>
    </row>
    <row r="132" spans="1:25" ht="15" customHeight="1" thickBot="1">
      <c r="A132" s="193" t="s">
        <v>180</v>
      </c>
      <c r="B132" s="194"/>
      <c r="C132" s="196">
        <f>DBData!HH3</f>
        <v>65.790000000000006</v>
      </c>
      <c r="D132" s="196">
        <f>DBData!HH4</f>
        <v>0</v>
      </c>
      <c r="E132" s="196">
        <f>DBData!HH5</f>
        <v>0</v>
      </c>
      <c r="F132" s="196">
        <f>DBData!HH6</f>
        <v>0</v>
      </c>
      <c r="G132" s="196">
        <f>DBData!HH7</f>
        <v>0</v>
      </c>
      <c r="H132" s="196">
        <f>DBData!HH8</f>
        <v>0</v>
      </c>
      <c r="I132" s="196">
        <f>DBData!HH9</f>
        <v>0</v>
      </c>
      <c r="J132" s="196">
        <f>DBData!HH10</f>
        <v>0</v>
      </c>
      <c r="K132" s="196">
        <f>DBData!HH11</f>
        <v>0</v>
      </c>
      <c r="L132" s="196">
        <f>DBData!HH12</f>
        <v>0</v>
      </c>
      <c r="M132" s="195">
        <f>SUM(C132:L132)</f>
        <v>65.790000000000006</v>
      </c>
      <c r="N132" s="68"/>
      <c r="V132" s="41"/>
      <c r="W132" s="41"/>
      <c r="X132" s="41"/>
      <c r="Y132" s="41"/>
    </row>
    <row r="133" spans="1:25" s="156" customFormat="1" ht="15.75">
      <c r="A133" s="30"/>
      <c r="B133" s="30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47"/>
      <c r="V133" s="157"/>
      <c r="W133" s="157"/>
      <c r="X133" s="157"/>
      <c r="Y133" s="157"/>
    </row>
    <row r="134" spans="1:25" s="156" customFormat="1" ht="15.75">
      <c r="A134" s="8" t="s">
        <v>61</v>
      </c>
      <c r="B134" s="8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47"/>
      <c r="V134" s="157"/>
      <c r="W134" s="157"/>
      <c r="X134" s="157"/>
      <c r="Y134" s="157"/>
    </row>
    <row r="135" spans="1:25" s="156" customFormat="1" ht="15.75" customHeight="1">
      <c r="A135" s="281" t="str">
        <f>IF(DBData!HK3="", "Section 1 - # of seats","Section 1 - "&amp;DBData!HK3&amp;" seats")</f>
        <v>Section 1 - 1323 seats</v>
      </c>
      <c r="B135" s="168" t="s">
        <v>62</v>
      </c>
      <c r="C135" s="228">
        <f>IF(C$2&lt;&gt;"(Day)",DBData!HJ3,0)</f>
        <v>75</v>
      </c>
      <c r="D135" s="228">
        <f>IF(D$2&lt;&gt;"(Day)",DBData!HJ4,0)</f>
        <v>0</v>
      </c>
      <c r="E135" s="228">
        <f>IF(E$2&lt;&gt;"(Day)",DBData!HJ5,0)</f>
        <v>0</v>
      </c>
      <c r="F135" s="228">
        <f>IF(F$2&lt;&gt;"(Day)",DBData!HJ6,0)</f>
        <v>0</v>
      </c>
      <c r="G135" s="228">
        <f>IF(G$2&lt;&gt;"(Day)",DBData!HJ7,0)</f>
        <v>0</v>
      </c>
      <c r="H135" s="228">
        <f>IF(H$2&lt;&gt;"(Day)",DBData!HJ8,0)</f>
        <v>0</v>
      </c>
      <c r="I135" s="228">
        <f>IF(I$2&lt;&gt;"(Day)",DBData!HJ9,0)</f>
        <v>0</v>
      </c>
      <c r="J135" s="228">
        <f>IF(J$2&lt;&gt;"(Day)",DBData!HJ10,0)</f>
        <v>0</v>
      </c>
      <c r="K135" s="229">
        <f>IF(K$2&lt;&gt;"(Day)",DBData!HJ11,0)</f>
        <v>0</v>
      </c>
      <c r="L135" s="232">
        <f>IF(L$2&lt;&gt;"(Day)",DBData!HJ12,0)</f>
        <v>0</v>
      </c>
      <c r="M135" s="169"/>
      <c r="N135" s="47"/>
      <c r="V135" s="157"/>
      <c r="W135" s="157"/>
      <c r="X135" s="157"/>
      <c r="Y135" s="157"/>
    </row>
    <row r="136" spans="1:25" ht="15.75" customHeight="1">
      <c r="A136" s="197" t="str">
        <f>IF(DBData!HM3="", "Section 2 - # of seats","Section 2 - "&amp;DBData!HM3&amp;" seats")</f>
        <v>Section 2 - 246 seats</v>
      </c>
      <c r="B136" s="168" t="s">
        <v>63</v>
      </c>
      <c r="C136" s="227">
        <f>IF(C$2&lt;&gt;"(Day)",DBData!HL3,0)</f>
        <v>55</v>
      </c>
      <c r="D136" s="227">
        <f>IF(D$2&lt;&gt;"(Day)",DBData!HL4,0)</f>
        <v>0</v>
      </c>
      <c r="E136" s="227">
        <f>IF(E$2&lt;&gt;"(Day)",DBData!HL5,0)</f>
        <v>0</v>
      </c>
      <c r="F136" s="227">
        <f>IF(F$2&lt;&gt;"(Day)",DBData!HL6,0)</f>
        <v>0</v>
      </c>
      <c r="G136" s="227">
        <f>IF(G$2&lt;&gt;"(Day)",DBData!HL7,0)</f>
        <v>0</v>
      </c>
      <c r="H136" s="227">
        <f>IF(H$2&lt;&gt;"(Day)",DBData!HL8,0)</f>
        <v>0</v>
      </c>
      <c r="I136" s="227">
        <f>IF(I$2&lt;&gt;"(Day)",DBData!HL9,0)</f>
        <v>0</v>
      </c>
      <c r="J136" s="227">
        <f>IF(J$2&lt;&gt;"(Day)",DBData!HL10,0)</f>
        <v>0</v>
      </c>
      <c r="K136" s="222">
        <f>IF(K$2&lt;&gt;"(Day)",DBData!HL11,0)</f>
        <v>0</v>
      </c>
      <c r="L136" s="233">
        <f>IF(L$2&lt;&gt;"(Day)",DBData!HL12,0)</f>
        <v>0</v>
      </c>
      <c r="M136" s="169"/>
      <c r="N136" s="68"/>
      <c r="V136" s="41"/>
      <c r="W136" s="41"/>
      <c r="X136" s="41"/>
      <c r="Y136" s="41"/>
    </row>
    <row r="137" spans="1:25" ht="15.75" customHeight="1">
      <c r="A137" s="197" t="str">
        <f>IF(DBData!HO3="", "Section 3 - # of seats","Section 3 - "&amp;DBData!HO3&amp;" seats")</f>
        <v>Section 3 - # of seats</v>
      </c>
      <c r="B137" s="168" t="s">
        <v>69</v>
      </c>
      <c r="C137" s="227">
        <f>IF(C$2&lt;&gt;"(Day)",DBData!HN3,0)</f>
        <v>0</v>
      </c>
      <c r="D137" s="227">
        <f>IF(D$2&lt;&gt;"(Day)",DBData!HN4,0)</f>
        <v>0</v>
      </c>
      <c r="E137" s="227">
        <f>IF(E$2&lt;&gt;"(Day)",DBData!HN5,0)</f>
        <v>0</v>
      </c>
      <c r="F137" s="227">
        <f>IF(F$2&lt;&gt;"(Day)",DBData!HN6,0)</f>
        <v>0</v>
      </c>
      <c r="G137" s="227">
        <f>IF(G$2&lt;&gt;"(Day)",DBData!HN7,0)</f>
        <v>0</v>
      </c>
      <c r="H137" s="227">
        <f>IF(H$2&lt;&gt;"(Day)",DBData!HN8,0)</f>
        <v>0</v>
      </c>
      <c r="I137" s="227">
        <f>IF(I$2&lt;&gt;"(Day)",DBData!HN9,0)</f>
        <v>0</v>
      </c>
      <c r="J137" s="227">
        <f>IF(J$2&lt;&gt;"(Day)",DBData!HN10,0)</f>
        <v>0</v>
      </c>
      <c r="K137" s="222">
        <f>IF(K$2&lt;&gt;"(Day)",DBData!HN11,0)</f>
        <v>0</v>
      </c>
      <c r="L137" s="233">
        <f>IF(L$2&lt;&gt;"(Day)",DBData!HN12,0)</f>
        <v>0</v>
      </c>
      <c r="M137" s="169"/>
      <c r="N137" s="68"/>
      <c r="V137" s="41"/>
      <c r="W137" s="41"/>
      <c r="X137" s="41"/>
      <c r="Y137" s="41"/>
    </row>
    <row r="138" spans="1:25" ht="15.75" customHeight="1">
      <c r="A138" s="197" t="str">
        <f>IF(DBData!HQ3="", "Section 4 - # of seats","Section 4 - "&amp;DBData!HQ3&amp;" seats")</f>
        <v>Section 4 - # of seats</v>
      </c>
      <c r="B138" s="168" t="s">
        <v>70</v>
      </c>
      <c r="C138" s="227">
        <f>IF(C$2&lt;&gt;"(Day)",DBData!HP3,0)</f>
        <v>0</v>
      </c>
      <c r="D138" s="227">
        <f>IF(D$2&lt;&gt;"(Day)",DBData!HP4,0)</f>
        <v>0</v>
      </c>
      <c r="E138" s="227">
        <f>IF(E$2&lt;&gt;"(Day)",DBData!HP5,0)</f>
        <v>0</v>
      </c>
      <c r="F138" s="227">
        <f>IF(F$2&lt;&gt;"(Day)",DBData!HP6,0)</f>
        <v>0</v>
      </c>
      <c r="G138" s="227">
        <f>IF(G$2&lt;&gt;"(Day)",DBData!HP7,0)</f>
        <v>0</v>
      </c>
      <c r="H138" s="227">
        <f>IF(H$2&lt;&gt;"(Day)",DBData!HP8,0)</f>
        <v>0</v>
      </c>
      <c r="I138" s="227">
        <f>IF(I$2&lt;&gt;"(Day)",DBData!HP9,0)</f>
        <v>0</v>
      </c>
      <c r="J138" s="227">
        <f>IF(J$2&lt;&gt;"(Day)",DBData!HP10,0)</f>
        <v>0</v>
      </c>
      <c r="K138" s="222">
        <f>IF(K$2&lt;&gt;"(Day)",DBData!HP11,0)</f>
        <v>0</v>
      </c>
      <c r="L138" s="233">
        <f>IF(L$2&lt;&gt;"(Day)",DBData!HP12,0)</f>
        <v>0</v>
      </c>
      <c r="M138" s="169"/>
      <c r="N138" s="68"/>
      <c r="V138" s="41"/>
      <c r="W138" s="41"/>
      <c r="X138" s="41"/>
      <c r="Y138" s="41"/>
    </row>
    <row r="139" spans="1:25" ht="15.75" customHeight="1">
      <c r="A139" s="197" t="str">
        <f>IF(DBData!HS3="", "Section 5 - # of seats","Section 5 - "&amp;DBData!HS3&amp;" seats")</f>
        <v>Section 5 - # of seats</v>
      </c>
      <c r="B139" s="168" t="s">
        <v>71</v>
      </c>
      <c r="C139" s="227">
        <f>IF(C$2&lt;&gt;"(Day)",DBData!HR3,0)</f>
        <v>0</v>
      </c>
      <c r="D139" s="227">
        <f>IF(D$2&lt;&gt;"(Day)",DBData!HR4,0)</f>
        <v>0</v>
      </c>
      <c r="E139" s="227">
        <f>IF(E$2&lt;&gt;"(Day)",DBData!HR5,0)</f>
        <v>0</v>
      </c>
      <c r="F139" s="227">
        <f>IF(F$2&lt;&gt;"(Day)",DBData!HR6,0)</f>
        <v>0</v>
      </c>
      <c r="G139" s="227">
        <f>IF(G$2&lt;&gt;"(Day)",DBData!HR7,0)</f>
        <v>0</v>
      </c>
      <c r="H139" s="227">
        <f>IF(H$2&lt;&gt;"(Day)",DBData!HR8,0)</f>
        <v>0</v>
      </c>
      <c r="I139" s="227">
        <f>IF(I$2&lt;&gt;"(Day)",DBData!HR9,0)</f>
        <v>0</v>
      </c>
      <c r="J139" s="227">
        <f>IF(J$2&lt;&gt;"(Day)",DBData!HR10,0)</f>
        <v>0</v>
      </c>
      <c r="K139" s="222">
        <f>IF(K$2&lt;&gt;"(Day)",DBData!HR11,0)</f>
        <v>0</v>
      </c>
      <c r="L139" s="233">
        <f>IF(L$2&lt;&gt;"(Day)",DBData!HR12,0)</f>
        <v>0</v>
      </c>
      <c r="M139" s="169"/>
      <c r="N139" s="68"/>
      <c r="V139" s="41"/>
      <c r="W139" s="41"/>
      <c r="X139" s="41"/>
      <c r="Y139" s="41"/>
    </row>
    <row r="140" spans="1:25" ht="15.75" customHeight="1">
      <c r="A140" s="197" t="str">
        <f>IF(DBData!HU3="", "Section 6 - # of seats","Section 6 - "&amp;DBData!HU3&amp;" seats")</f>
        <v>Section 6 - # of seats</v>
      </c>
      <c r="B140" s="168" t="s">
        <v>72</v>
      </c>
      <c r="C140" s="227">
        <f>IF(C$2&lt;&gt;"(Day)",DBData!HT3,0)</f>
        <v>0</v>
      </c>
      <c r="D140" s="227">
        <f>IF(D$2&lt;&gt;"(Day)",DBData!HT4,0)</f>
        <v>0</v>
      </c>
      <c r="E140" s="227">
        <f>IF(E$2&lt;&gt;"(Day)",DBData!HT5,0)</f>
        <v>0</v>
      </c>
      <c r="F140" s="227">
        <f>IF(F$2&lt;&gt;"(Day)",DBData!HT6,0)</f>
        <v>0</v>
      </c>
      <c r="G140" s="227">
        <f>IF(G$2&lt;&gt;"(Day)",DBData!HT7,0)</f>
        <v>0</v>
      </c>
      <c r="H140" s="227">
        <f>IF(H$2&lt;&gt;"(Day)",DBData!HT8,0)</f>
        <v>0</v>
      </c>
      <c r="I140" s="227">
        <f>IF(I$2&lt;&gt;"(Day)",DBData!HT9,0)</f>
        <v>0</v>
      </c>
      <c r="J140" s="227">
        <f>IF(J$2&lt;&gt;"(Day)",DBData!HT10,0)</f>
        <v>0</v>
      </c>
      <c r="K140" s="222">
        <f>IF(K$2&lt;&gt;"(Day)",DBData!HT11,0)</f>
        <v>0</v>
      </c>
      <c r="L140" s="233">
        <f>IF(L$2&lt;&gt;"(Day)",DBData!HT12,0)</f>
        <v>0</v>
      </c>
      <c r="M140" s="169"/>
      <c r="N140" s="68"/>
      <c r="V140" s="41"/>
      <c r="W140" s="41"/>
      <c r="X140" s="41"/>
      <c r="Y140" s="41"/>
    </row>
    <row r="141" spans="1:25" ht="15.75" customHeight="1">
      <c r="A141" s="197" t="str">
        <f>IF(DBData!HW3="", "Section 7 - # of seats","Section 7 - "&amp;DBData!HW3&amp;" seats")</f>
        <v>Section 7 - # of seats</v>
      </c>
      <c r="B141" s="168" t="s">
        <v>73</v>
      </c>
      <c r="C141" s="227">
        <f>IF(C$2&lt;&gt;"(Day)",DBData!HV3,0)</f>
        <v>0</v>
      </c>
      <c r="D141" s="227">
        <f>IF(D$2&lt;&gt;"(Day)",DBData!HV4,0)</f>
        <v>0</v>
      </c>
      <c r="E141" s="227">
        <f>IF(E$2&lt;&gt;"(Day)",DBData!HV5,0)</f>
        <v>0</v>
      </c>
      <c r="F141" s="227">
        <f>IF(F$2&lt;&gt;"(Day)",DBData!HV6,0)</f>
        <v>0</v>
      </c>
      <c r="G141" s="227">
        <f>IF(G$2&lt;&gt;"(Day)",DBData!HV7,0)</f>
        <v>0</v>
      </c>
      <c r="H141" s="227">
        <f>IF(H$2&lt;&gt;"(Day)",DBData!HV8,0)</f>
        <v>0</v>
      </c>
      <c r="I141" s="227">
        <f>IF(I$2&lt;&gt;"(Day)",DBData!HV9,0)</f>
        <v>0</v>
      </c>
      <c r="J141" s="227">
        <f>IF(J$2&lt;&gt;"(Day)",DBData!HV10,0)</f>
        <v>0</v>
      </c>
      <c r="K141" s="222">
        <f>IF(K$2&lt;&gt;"(Day)",DBData!HV11,0)</f>
        <v>0</v>
      </c>
      <c r="L141" s="233">
        <f>IF(L$2&lt;&gt;"(Day)",DBData!HV12,0)</f>
        <v>0</v>
      </c>
      <c r="M141" s="169"/>
      <c r="N141" s="68"/>
      <c r="V141" s="41"/>
      <c r="W141" s="41"/>
      <c r="X141" s="41"/>
      <c r="Y141" s="41"/>
    </row>
    <row r="142" spans="1:25" ht="15.75" customHeight="1">
      <c r="A142" s="197" t="str">
        <f>IF(DBData!HY3="", "Section 8 - # of seats","Section 8 - "&amp;DBData!HY3&amp;" seats")</f>
        <v>Section 8 - # of seats</v>
      </c>
      <c r="B142" s="168" t="s">
        <v>74</v>
      </c>
      <c r="C142" s="227">
        <f>IF(C$2&lt;&gt;"(Day)",DBData!HX3,0)</f>
        <v>0</v>
      </c>
      <c r="D142" s="227">
        <f>IF(D$2&lt;&gt;"(Day)",DBData!HX4,0)</f>
        <v>0</v>
      </c>
      <c r="E142" s="227">
        <f>IF(E$2&lt;&gt;"(Day)",DBData!HX5,0)</f>
        <v>0</v>
      </c>
      <c r="F142" s="227">
        <f>IF(F$2&lt;&gt;"(Day)",DBData!HX6,0)</f>
        <v>0</v>
      </c>
      <c r="G142" s="227">
        <f>IF(G$2&lt;&gt;"(Day)",DBData!HX7,0)</f>
        <v>0</v>
      </c>
      <c r="H142" s="227">
        <f>IF(H$2&lt;&gt;"(Day)",DBData!HX8,0)</f>
        <v>0</v>
      </c>
      <c r="I142" s="227">
        <f>IF(I$2&lt;&gt;"(Day)",DBData!HX9,0)</f>
        <v>0</v>
      </c>
      <c r="J142" s="227">
        <f>IF(J$2&lt;&gt;"(Day)",DBData!HX10,0)</f>
        <v>0</v>
      </c>
      <c r="K142" s="222">
        <f>IF(K$2&lt;&gt;"(Day)",DBData!HX11,0)</f>
        <v>0</v>
      </c>
      <c r="L142" s="233">
        <f>IF(L$2&lt;&gt;"(Day)",DBData!HX12,0)</f>
        <v>0</v>
      </c>
      <c r="M142" s="169"/>
      <c r="N142" s="68"/>
      <c r="V142" s="41"/>
      <c r="W142" s="41"/>
      <c r="X142" s="41"/>
      <c r="Y142" s="41"/>
    </row>
    <row r="143" spans="1:25" ht="15.75" customHeight="1">
      <c r="A143" s="197" t="str">
        <f>IF(DBData!IA3="", "Section 9 - # of seats","Section 9 - "&amp;DBData!IA3&amp;" seats")</f>
        <v>Section 9 - # of seats</v>
      </c>
      <c r="B143" s="168" t="s">
        <v>75</v>
      </c>
      <c r="C143" s="227">
        <f>IF(C$2&lt;&gt;"(Day)",DBData!HZ3,0)</f>
        <v>0</v>
      </c>
      <c r="D143" s="227">
        <f>IF(D$2&lt;&gt;"(Day)",DBData!HZ4,0)</f>
        <v>0</v>
      </c>
      <c r="E143" s="227">
        <f>IF(E$2&lt;&gt;"(Day)",DBData!HZ5,0)</f>
        <v>0</v>
      </c>
      <c r="F143" s="227">
        <f>IF(F$2&lt;&gt;"(Day)",DBData!HZ6,0)</f>
        <v>0</v>
      </c>
      <c r="G143" s="227">
        <f>IF(G$2&lt;&gt;"(Day)",DBData!HZ7,0)</f>
        <v>0</v>
      </c>
      <c r="H143" s="227">
        <f>IF(H$2&lt;&gt;"(Day)",DBData!HZ8,0)</f>
        <v>0</v>
      </c>
      <c r="I143" s="227">
        <f>IF(I$2&lt;&gt;"(Day)",DBData!HZ9,0)</f>
        <v>0</v>
      </c>
      <c r="J143" s="227">
        <f>IF(J$2&lt;&gt;"(Day)",DBData!HZ10,0)</f>
        <v>0</v>
      </c>
      <c r="K143" s="222">
        <f>IF(K$2&lt;&gt;"(Day)",DBData!HZ11,0)</f>
        <v>0</v>
      </c>
      <c r="L143" s="233">
        <f>IF(L$2&lt;&gt;"(Day)",DBData!HZ12,0)</f>
        <v>0</v>
      </c>
      <c r="M143" s="169"/>
      <c r="N143" s="68"/>
      <c r="V143" s="41"/>
      <c r="W143" s="41"/>
      <c r="X143" s="41"/>
      <c r="Y143" s="41"/>
    </row>
    <row r="144" spans="1:25" ht="15.75" customHeight="1">
      <c r="A144" s="225" t="str">
        <f>IF(DBData!IC3="", "Section 10 - # of seats","Section 10 - "&amp;DBData!IC3&amp;" seats")</f>
        <v>Section 10 - # of seats</v>
      </c>
      <c r="B144" s="226" t="s">
        <v>76</v>
      </c>
      <c r="C144" s="230">
        <f>IF(C$2&lt;&gt;"(Day)",DBData!IB3,0)</f>
        <v>0</v>
      </c>
      <c r="D144" s="230">
        <f>IF(D$2&lt;&gt;"(Day)",DBData!IB4,0)</f>
        <v>0</v>
      </c>
      <c r="E144" s="230">
        <f>IF(E$2&lt;&gt;"(Day)",DBData!IB5,0)</f>
        <v>0</v>
      </c>
      <c r="F144" s="230">
        <f>IF(F$2&lt;&gt;"(Day)",DBData!IB6,0)</f>
        <v>0</v>
      </c>
      <c r="G144" s="230">
        <f>IF(G$2&lt;&gt;"(Day)",DBData!IB7,0)</f>
        <v>0</v>
      </c>
      <c r="H144" s="230">
        <f>IF(H$2&lt;&gt;"(Day)",DBData!IB8,0)</f>
        <v>0</v>
      </c>
      <c r="I144" s="230">
        <f>IF(I$2&lt;&gt;"(Day)",DBData!IB9,0)</f>
        <v>0</v>
      </c>
      <c r="J144" s="230">
        <f>IF(J$2&lt;&gt;"(Day)",DBData!IB10,0)</f>
        <v>0</v>
      </c>
      <c r="K144" s="231">
        <f>IF(K$2&lt;&gt;"(Day)",DBData!IB11,0)</f>
        <v>0</v>
      </c>
      <c r="L144" s="234">
        <f>IF(L$2&lt;&gt;"(Day)",DBData!IB12,0)</f>
        <v>0</v>
      </c>
      <c r="M144" s="169"/>
      <c r="N144" s="68"/>
      <c r="V144" s="41"/>
      <c r="W144" s="41"/>
      <c r="X144" s="41"/>
      <c r="Y144" s="41"/>
    </row>
    <row r="145" spans="1:2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169"/>
      <c r="N145" s="68"/>
      <c r="V145" s="41"/>
      <c r="W145" s="41"/>
      <c r="X145" s="41"/>
      <c r="Y145" s="41"/>
    </row>
    <row r="146" spans="1:25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V146" s="41"/>
      <c r="W146" s="41"/>
      <c r="X146" s="41"/>
      <c r="Y146" s="41"/>
    </row>
    <row r="147" spans="1:25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V147" s="41"/>
      <c r="W147" s="41"/>
      <c r="X147" s="41"/>
      <c r="Y147" s="41"/>
    </row>
    <row r="148" spans="1:25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V148" s="41"/>
      <c r="W148" s="41"/>
      <c r="X148" s="41"/>
      <c r="Y148" s="41"/>
    </row>
    <row r="149" spans="1:25" ht="15.75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157"/>
      <c r="O149" s="157"/>
      <c r="P149" s="157"/>
      <c r="Q149" s="157"/>
      <c r="R149" s="157"/>
      <c r="S149" s="157"/>
      <c r="T149" s="157"/>
      <c r="U149" s="157"/>
      <c r="V149" s="41"/>
      <c r="W149" s="41"/>
      <c r="X149" s="41"/>
      <c r="Y149" s="41"/>
    </row>
    <row r="150" spans="1:25">
      <c r="A150" s="40"/>
      <c r="B150" s="41"/>
      <c r="C150" s="170"/>
      <c r="D150" s="170"/>
      <c r="E150" s="170"/>
      <c r="F150" s="170"/>
      <c r="G150" s="170"/>
      <c r="H150" s="170"/>
      <c r="I150" s="170"/>
      <c r="J150" s="170"/>
      <c r="K150" s="170"/>
      <c r="L150" s="170"/>
      <c r="M150" s="40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</row>
    <row r="151" spans="1:25">
      <c r="A151" s="41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170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</row>
    <row r="152" spans="1:25" ht="15.75">
      <c r="A152" s="40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0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</row>
    <row r="153" spans="1:25" ht="15.7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</row>
    <row r="154" spans="1:25" ht="15.7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</row>
    <row r="155" spans="1:25" ht="15.7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</row>
    <row r="156" spans="1:25" ht="15.7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25" ht="15.7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</row>
    <row r="158" spans="1:25" ht="15.7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</row>
    <row r="159" spans="1:25" ht="15.75">
      <c r="A159" s="42"/>
      <c r="M159" s="42"/>
    </row>
  </sheetData>
  <sheetProtection formatCells="0"/>
  <phoneticPr fontId="0" type="noConversion"/>
  <printOptions horizontalCentered="1"/>
  <pageMargins left="0" right="0" top="0.5" bottom="0" header="0" footer="0"/>
  <pageSetup paperSize="5" scale="51" fitToHeight="0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J130"/>
  <sheetViews>
    <sheetView zoomScale="78" zoomScaleNormal="78" zoomScaleSheetLayoutView="75" workbookViewId="0">
      <selection activeCell="E1" sqref="E1"/>
    </sheetView>
  </sheetViews>
  <sheetFormatPr defaultColWidth="22.28515625" defaultRowHeight="15.75"/>
  <cols>
    <col min="1" max="1" width="49.7109375" style="43" customWidth="1"/>
    <col min="2" max="2" width="25.28515625" style="43" customWidth="1"/>
    <col min="3" max="3" width="36.5703125" style="43" customWidth="1"/>
    <col min="4" max="4" width="26.42578125" style="43" customWidth="1"/>
    <col min="5" max="5" width="26" style="43" customWidth="1"/>
    <col min="6" max="6" width="2.42578125" style="43" customWidth="1"/>
    <col min="7" max="7" width="22.28515625" style="129" customWidth="1"/>
    <col min="8" max="8" width="20.28515625" style="43" bestFit="1" customWidth="1"/>
    <col min="9" max="16384" width="22.28515625" style="43"/>
  </cols>
  <sheetData>
    <row r="1" spans="1:10" ht="43.5" customHeight="1">
      <c r="A1" s="76" t="str">
        <f>IF(ISTEXT(DBData!B3), UPPER(DBData!B3), "(SHOW NAME)")</f>
        <v>BEAUTY &amp; THE BEAST</v>
      </c>
      <c r="B1" s="54"/>
      <c r="C1" s="77"/>
      <c r="D1" s="77"/>
      <c r="E1" s="78"/>
      <c r="F1" s="48"/>
      <c r="G1" s="79" t="s">
        <v>175</v>
      </c>
      <c r="H1" s="68"/>
      <c r="J1" s="198" t="s">
        <v>181</v>
      </c>
    </row>
    <row r="2" spans="1:10" ht="16.5" thickBot="1">
      <c r="A2" s="80" t="str">
        <f>IF(ISTEXT(DBData!C3), (DBData!C3), "(City name)")</f>
        <v>Pensacola</v>
      </c>
      <c r="B2" s="55"/>
      <c r="C2" s="56" t="s">
        <v>35</v>
      </c>
      <c r="D2" s="57">
        <f>DBData!DR13</f>
        <v>1</v>
      </c>
      <c r="E2" s="81"/>
      <c r="F2" s="82"/>
      <c r="G2" s="79" t="s">
        <v>108</v>
      </c>
      <c r="H2" s="68"/>
    </row>
    <row r="3" spans="1:10" ht="20.25" thickBot="1">
      <c r="A3" s="80" t="str">
        <f>IF(ISTEXT(DBData!D3), (DBData!D3), "(Venue Name)")</f>
        <v>Saenger Theatre</v>
      </c>
      <c r="B3" s="57"/>
      <c r="C3" s="83" t="s">
        <v>26</v>
      </c>
      <c r="D3" s="57">
        <f>'box office'!M9</f>
        <v>1586</v>
      </c>
      <c r="E3" s="84"/>
      <c r="F3" s="85"/>
      <c r="G3" s="211">
        <f>DBData!E3</f>
        <v>0</v>
      </c>
      <c r="H3" s="68"/>
    </row>
    <row r="4" spans="1:10">
      <c r="A4" s="86">
        <f>MIN(DBData!DQ3:DQ12)</f>
        <v>41712</v>
      </c>
      <c r="B4" s="57"/>
      <c r="C4" s="83" t="s">
        <v>27</v>
      </c>
      <c r="D4" s="57">
        <f>'box office'!M10</f>
        <v>1569</v>
      </c>
      <c r="E4" s="71"/>
      <c r="F4" s="48"/>
      <c r="G4" s="45"/>
      <c r="H4" s="68"/>
    </row>
    <row r="5" spans="1:10">
      <c r="A5" s="86">
        <f>MAX(DBData!DQ3:DQ12)</f>
        <v>41712</v>
      </c>
      <c r="B5" s="57"/>
      <c r="C5" s="83" t="s">
        <v>34</v>
      </c>
      <c r="D5" s="87">
        <f>'box office'!M11</f>
        <v>1.01</v>
      </c>
      <c r="E5" s="71"/>
      <c r="F5" s="48"/>
      <c r="G5" s="79" t="s">
        <v>109</v>
      </c>
      <c r="H5" s="68"/>
    </row>
    <row r="6" spans="1:10">
      <c r="A6" s="58"/>
      <c r="B6" s="57"/>
      <c r="C6" s="83" t="s">
        <v>37</v>
      </c>
      <c r="D6" s="130">
        <f>MAX(DBData!HJ13)</f>
        <v>75</v>
      </c>
      <c r="E6" s="71"/>
      <c r="F6" s="88"/>
      <c r="G6" s="79" t="s">
        <v>110</v>
      </c>
      <c r="H6" s="68"/>
    </row>
    <row r="7" spans="1:10">
      <c r="A7" s="80"/>
      <c r="B7" s="59"/>
      <c r="C7" s="48"/>
      <c r="D7" s="48"/>
      <c r="E7" s="71"/>
      <c r="F7" s="88"/>
      <c r="G7" s="45"/>
      <c r="H7" s="68"/>
    </row>
    <row r="8" spans="1:10">
      <c r="A8" s="80" t="s">
        <v>36</v>
      </c>
      <c r="B8" s="48"/>
      <c r="C8" s="48"/>
      <c r="D8" s="48"/>
      <c r="E8" s="220">
        <f>DBData!B17</f>
        <v>56377.5</v>
      </c>
      <c r="F8" s="89"/>
      <c r="G8" s="44" t="e">
        <f>E8/$G$3</f>
        <v>#DIV/0!</v>
      </c>
      <c r="H8" s="68"/>
    </row>
    <row r="9" spans="1:10">
      <c r="A9" s="90"/>
      <c r="B9" s="91"/>
      <c r="C9" s="91"/>
      <c r="D9" s="91"/>
      <c r="E9" s="92"/>
      <c r="F9" s="93"/>
      <c r="G9" s="44"/>
      <c r="H9" s="68"/>
    </row>
    <row r="10" spans="1:10">
      <c r="A10" s="94" t="s">
        <v>170</v>
      </c>
      <c r="B10" s="47"/>
      <c r="C10" s="47"/>
      <c r="D10" s="47"/>
      <c r="E10" s="70">
        <f>'box office'!M13</f>
        <v>103838</v>
      </c>
      <c r="F10" s="46"/>
      <c r="G10" s="39" t="e">
        <f>E10/$G$3</f>
        <v>#DIV/0!</v>
      </c>
      <c r="H10" s="68"/>
    </row>
    <row r="11" spans="1:10">
      <c r="A11" s="47" t="s">
        <v>178</v>
      </c>
      <c r="B11" s="47"/>
      <c r="C11" s="47"/>
      <c r="D11" s="95">
        <f>E10/E8</f>
        <v>1.8418000000000001</v>
      </c>
      <c r="E11" s="71"/>
      <c r="F11" s="47"/>
      <c r="G11" s="44"/>
      <c r="H11" s="68"/>
    </row>
    <row r="12" spans="1:10" s="98" customFormat="1">
      <c r="A12" s="27" t="s">
        <v>171</v>
      </c>
      <c r="B12" s="60"/>
      <c r="C12" s="60"/>
      <c r="D12" s="60"/>
      <c r="E12" s="96"/>
      <c r="F12" s="60"/>
      <c r="G12" s="214"/>
      <c r="H12" s="97"/>
    </row>
    <row r="13" spans="1:10">
      <c r="A13" s="47" t="str">
        <f>'box office'!A14</f>
        <v>Tax 1 deduction</v>
      </c>
      <c r="B13" s="205">
        <f>'box office'!B14</f>
        <v>7.4999999999999997E-2</v>
      </c>
      <c r="C13" s="62">
        <f>'box office'!M14</f>
        <v>7244.52</v>
      </c>
      <c r="D13" s="51"/>
      <c r="E13" s="71"/>
      <c r="F13" s="47"/>
      <c r="G13" s="44" t="e">
        <f>C13/$G$3</f>
        <v>#DIV/0!</v>
      </c>
      <c r="H13" s="68"/>
    </row>
    <row r="14" spans="1:10">
      <c r="A14" s="47" t="str">
        <f>'box office'!A15</f>
        <v>Tax 2 and/or Percent deduction</v>
      </c>
      <c r="B14" s="205">
        <f>'box office'!B15</f>
        <v>0</v>
      </c>
      <c r="C14" s="62">
        <f>'box office'!M15</f>
        <v>0</v>
      </c>
      <c r="D14" s="51"/>
      <c r="E14" s="71"/>
      <c r="F14" s="47"/>
      <c r="G14" s="44" t="e">
        <f t="shared" ref="G14:G24" si="0">C14/$G$3</f>
        <v>#DIV/0!</v>
      </c>
      <c r="H14" s="68"/>
    </row>
    <row r="15" spans="1:10">
      <c r="A15" s="47" t="str">
        <f>'box office'!A16</f>
        <v>Subscription Sales Comm</v>
      </c>
      <c r="B15" s="205">
        <f>'box office'!B16</f>
        <v>0.12</v>
      </c>
      <c r="C15" s="62">
        <f>'box office'!M16</f>
        <v>5759.44</v>
      </c>
      <c r="D15" s="51"/>
      <c r="E15" s="71"/>
      <c r="F15" s="47"/>
      <c r="G15" s="44" t="e">
        <f t="shared" si="0"/>
        <v>#DIV/0!</v>
      </c>
      <c r="H15" s="68"/>
    </row>
    <row r="16" spans="1:10">
      <c r="A16" s="47" t="str">
        <f>'box office'!A17</f>
        <v>Phone Sales Commission</v>
      </c>
      <c r="B16" s="205">
        <f>'box office'!B17</f>
        <v>0.04</v>
      </c>
      <c r="C16" s="62">
        <f>'box office'!M17</f>
        <v>162.96</v>
      </c>
      <c r="D16" s="51"/>
      <c r="E16" s="71"/>
      <c r="F16" s="47"/>
      <c r="G16" s="44" t="e">
        <f t="shared" si="0"/>
        <v>#DIV/0!</v>
      </c>
      <c r="H16" s="68"/>
    </row>
    <row r="17" spans="1:8">
      <c r="A17" s="47" t="s">
        <v>82</v>
      </c>
      <c r="B17" s="205">
        <f>'box office'!B18</f>
        <v>0.04</v>
      </c>
      <c r="C17" s="62">
        <f>'box office'!M18</f>
        <v>1106.8499999999999</v>
      </c>
      <c r="D17" s="51"/>
      <c r="E17" s="71"/>
      <c r="F17" s="47"/>
      <c r="G17" s="44" t="e">
        <f t="shared" si="0"/>
        <v>#DIV/0!</v>
      </c>
      <c r="H17" s="68"/>
    </row>
    <row r="18" spans="1:8">
      <c r="A18" s="47" t="str">
        <f>'box office'!A19</f>
        <v>Credit Card Sales Comm</v>
      </c>
      <c r="B18" s="205">
        <f>'box office'!B19</f>
        <v>0.04</v>
      </c>
      <c r="C18" s="62">
        <f>'box office'!M19</f>
        <v>327.04000000000002</v>
      </c>
      <c r="D18" s="51"/>
      <c r="E18" s="71"/>
      <c r="F18" s="47"/>
      <c r="G18" s="44" t="e">
        <f t="shared" si="0"/>
        <v>#DIV/0!</v>
      </c>
      <c r="H18" s="68"/>
    </row>
    <row r="19" spans="1:8">
      <c r="A19" s="47" t="str">
        <f>'box office'!A20</f>
        <v>Remote Sales Commission</v>
      </c>
      <c r="B19" s="205">
        <f>'box office'!B20</f>
        <v>0.04</v>
      </c>
      <c r="C19" s="62">
        <f>'box office'!M20</f>
        <v>12.41</v>
      </c>
      <c r="D19" s="51"/>
      <c r="E19" s="71"/>
      <c r="F19" s="47"/>
      <c r="G19" s="44" t="e">
        <f t="shared" si="0"/>
        <v>#DIV/0!</v>
      </c>
      <c r="H19" s="68"/>
    </row>
    <row r="20" spans="1:8">
      <c r="A20" s="47" t="str">
        <f>'box office'!A21</f>
        <v>Single Tix (if applicable)</v>
      </c>
      <c r="B20" s="205">
        <f>'box office'!B21</f>
        <v>0</v>
      </c>
      <c r="C20" s="62">
        <f>'box office'!M21</f>
        <v>0</v>
      </c>
      <c r="D20" s="51"/>
      <c r="E20" s="71"/>
      <c r="F20" s="47"/>
      <c r="G20" s="44" t="e">
        <f t="shared" si="0"/>
        <v>#DIV/0!</v>
      </c>
      <c r="H20" s="68"/>
    </row>
    <row r="21" spans="1:8">
      <c r="A21" s="47" t="str">
        <f>'box office'!A22</f>
        <v>Group Sales Commission 1</v>
      </c>
      <c r="B21" s="205">
        <f>'box office'!B22</f>
        <v>0.1</v>
      </c>
      <c r="C21" s="62">
        <f>'box office'!M22</f>
        <v>756.3</v>
      </c>
      <c r="D21" s="51"/>
      <c r="E21" s="71"/>
      <c r="F21" s="47"/>
      <c r="G21" s="44" t="e">
        <f t="shared" si="0"/>
        <v>#DIV/0!</v>
      </c>
      <c r="H21" s="68"/>
    </row>
    <row r="22" spans="1:8">
      <c r="A22" s="47" t="str">
        <f>'box office'!A23</f>
        <v>Group Sales Commission 2</v>
      </c>
      <c r="B22" s="205">
        <f>'box office'!B23</f>
        <v>0</v>
      </c>
      <c r="C22" s="62">
        <f>'box office'!M23</f>
        <v>0</v>
      </c>
      <c r="D22" s="51"/>
      <c r="E22" s="71"/>
      <c r="F22" s="47"/>
      <c r="G22" s="44" t="e">
        <f t="shared" si="0"/>
        <v>#DIV/0!</v>
      </c>
      <c r="H22" s="68"/>
    </row>
    <row r="23" spans="1:8">
      <c r="A23" s="47" t="str">
        <f>'box office'!A24</f>
        <v>Facility Fee Commission</v>
      </c>
      <c r="B23" s="205">
        <f>'box office'!B24</f>
        <v>0</v>
      </c>
      <c r="C23" s="62">
        <f>'box office'!M24</f>
        <v>0</v>
      </c>
      <c r="D23" s="51"/>
      <c r="E23" s="71"/>
      <c r="F23" s="47"/>
      <c r="G23" s="44"/>
      <c r="H23" s="68"/>
    </row>
    <row r="24" spans="1:8">
      <c r="A24" s="207" t="str">
        <f>+'box office'!A25</f>
        <v xml:space="preserve">Facility Fee </v>
      </c>
      <c r="B24" s="208" t="str">
        <f>'box office'!B25</f>
        <v>$0</v>
      </c>
      <c r="C24" s="209">
        <f>'box office'!M25</f>
        <v>0</v>
      </c>
      <c r="D24" s="51"/>
      <c r="E24" s="71"/>
      <c r="F24" s="47"/>
      <c r="G24" s="212" t="e">
        <f t="shared" si="0"/>
        <v>#DIV/0!</v>
      </c>
      <c r="H24" s="68"/>
    </row>
    <row r="25" spans="1:8">
      <c r="A25" s="207" t="str">
        <f>+'box office'!A26</f>
        <v>Other BO 1</v>
      </c>
      <c r="B25" s="210" t="str">
        <f>'box office'!B26</f>
        <v>$0</v>
      </c>
      <c r="C25" s="209">
        <f>'box office'!M26</f>
        <v>0</v>
      </c>
      <c r="D25" s="51"/>
      <c r="E25" s="71"/>
      <c r="F25" s="47"/>
      <c r="G25" s="212" t="e">
        <f>C26/$G$3</f>
        <v>#DIV/0!</v>
      </c>
      <c r="H25" s="68"/>
    </row>
    <row r="26" spans="1:8">
      <c r="A26" s="207" t="str">
        <f>+'box office'!A27</f>
        <v>Other BO 2</v>
      </c>
      <c r="B26" s="210" t="str">
        <f>'box office'!B27</f>
        <v>$0</v>
      </c>
      <c r="C26" s="209">
        <f>'box office'!M27</f>
        <v>0</v>
      </c>
      <c r="D26" s="51"/>
      <c r="E26" s="71"/>
      <c r="F26" s="47"/>
      <c r="G26" s="44"/>
      <c r="H26" s="53" t="s">
        <v>111</v>
      </c>
    </row>
    <row r="27" spans="1:8">
      <c r="A27" s="47"/>
      <c r="B27" s="206"/>
      <c r="C27" s="63"/>
      <c r="D27" s="64"/>
      <c r="E27" s="53" t="s">
        <v>111</v>
      </c>
      <c r="F27" s="47"/>
      <c r="G27" s="212" t="e">
        <f>D28/$G$3</f>
        <v>#DIV/0!</v>
      </c>
      <c r="H27" s="69" t="e">
        <f>+G27/G10</f>
        <v>#DIV/0!</v>
      </c>
    </row>
    <row r="28" spans="1:8" ht="16.5" thickBot="1">
      <c r="A28" s="94" t="s">
        <v>172</v>
      </c>
      <c r="B28" s="47"/>
      <c r="C28" s="65"/>
      <c r="D28" s="49">
        <f>'box office'!M28</f>
        <v>15369.52</v>
      </c>
      <c r="E28" s="99">
        <f>D28/E10</f>
        <v>0.148014407057147</v>
      </c>
      <c r="F28" s="48"/>
      <c r="G28" s="213"/>
      <c r="H28" s="68"/>
    </row>
    <row r="29" spans="1:8" ht="16.5" thickBot="1">
      <c r="A29" s="47"/>
      <c r="B29" s="47"/>
      <c r="C29" s="47"/>
      <c r="D29" s="66"/>
      <c r="E29" s="72"/>
      <c r="F29" s="49"/>
      <c r="G29" s="73" t="e">
        <f>E30/$G$3</f>
        <v>#DIV/0!</v>
      </c>
      <c r="H29" s="68"/>
    </row>
    <row r="30" spans="1:8" ht="15.75" customHeight="1">
      <c r="A30" s="94" t="s">
        <v>135</v>
      </c>
      <c r="B30" s="47"/>
      <c r="C30" s="47"/>
      <c r="D30" s="66"/>
      <c r="E30" s="73">
        <f>E10-D28</f>
        <v>88468.479999999996</v>
      </c>
      <c r="F30" s="49"/>
      <c r="G30" s="44"/>
      <c r="H30" s="68"/>
    </row>
    <row r="31" spans="1:8">
      <c r="A31" s="94"/>
      <c r="B31" s="47"/>
      <c r="C31" s="47"/>
      <c r="D31" s="66"/>
      <c r="E31" s="73"/>
      <c r="F31" s="50"/>
      <c r="G31" s="44"/>
      <c r="H31" s="68"/>
    </row>
    <row r="32" spans="1:8">
      <c r="A32" s="94" t="s">
        <v>136</v>
      </c>
      <c r="B32" s="47"/>
      <c r="C32" s="47"/>
      <c r="D32" s="66"/>
      <c r="E32" s="74" t="s">
        <v>58</v>
      </c>
      <c r="F32" s="51"/>
      <c r="G32" s="44"/>
      <c r="H32" s="68"/>
    </row>
    <row r="33" spans="1:9">
      <c r="A33" s="47" t="s">
        <v>48</v>
      </c>
      <c r="B33" s="199">
        <f>DBData!J3/100</f>
        <v>0.1</v>
      </c>
      <c r="C33" s="67">
        <f>IF(B33&gt;0,B33*E30,0)-C34</f>
        <v>8846.85</v>
      </c>
      <c r="D33" s="51"/>
      <c r="E33" s="252"/>
      <c r="F33" s="47"/>
      <c r="G33" s="44"/>
      <c r="H33" s="68"/>
    </row>
    <row r="34" spans="1:9">
      <c r="A34" s="255" t="s">
        <v>43</v>
      </c>
      <c r="B34" s="185">
        <f>IF(DBData!L3="%", (DBData!M3)/100,0)</f>
        <v>0</v>
      </c>
      <c r="C34" s="51">
        <f>IF(B34&gt;0,(E30*B33)*B34,DBData!M3)</f>
        <v>0</v>
      </c>
      <c r="D34" s="51"/>
      <c r="E34" s="71"/>
      <c r="F34" s="47"/>
      <c r="G34" s="49" t="e">
        <f>D35/$G$3</f>
        <v>#DIV/0!</v>
      </c>
      <c r="H34" s="68"/>
    </row>
    <row r="35" spans="1:9">
      <c r="A35" s="100" t="s">
        <v>44</v>
      </c>
      <c r="B35" s="61"/>
      <c r="C35" s="51"/>
      <c r="D35" s="49">
        <f>SUM(C33:C34)</f>
        <v>8846.85</v>
      </c>
      <c r="E35" s="71"/>
      <c r="F35" s="51"/>
      <c r="G35" s="39"/>
      <c r="H35" s="68"/>
    </row>
    <row r="36" spans="1:9">
      <c r="A36" s="47" t="s">
        <v>25</v>
      </c>
      <c r="B36" s="132">
        <f>DBData!K3</f>
        <v>0</v>
      </c>
      <c r="C36" s="51">
        <f>IF(G3&gt;0,(B36*G3)-C37,B36-C37)</f>
        <v>0</v>
      </c>
      <c r="D36" s="51"/>
      <c r="E36" s="51"/>
      <c r="F36" s="47"/>
      <c r="G36" s="39"/>
      <c r="H36" s="68"/>
    </row>
    <row r="37" spans="1:9">
      <c r="A37" s="255" t="s">
        <v>43</v>
      </c>
      <c r="B37" s="185">
        <f>IF(DBData!L3="%", (DBData!M3)/100,0)</f>
        <v>0</v>
      </c>
      <c r="C37" s="101">
        <f>IF(B37&gt;0,(IF(G3&gt;0,(B37*(B36/G3)),B37*B36)),DBData!M3)</f>
        <v>0</v>
      </c>
      <c r="D37" s="51"/>
      <c r="E37" s="71"/>
      <c r="F37" s="47"/>
      <c r="G37" s="49" t="e">
        <f>D38/$G$3</f>
        <v>#DIV/0!</v>
      </c>
      <c r="H37" s="102" t="e">
        <f>G37*G3</f>
        <v>#DIV/0!</v>
      </c>
      <c r="I37" s="103"/>
    </row>
    <row r="38" spans="1:9">
      <c r="A38" s="100" t="s">
        <v>45</v>
      </c>
      <c r="B38" s="61"/>
      <c r="C38" s="101"/>
      <c r="D38" s="49">
        <f>SUM(C36:C37)</f>
        <v>0</v>
      </c>
      <c r="E38" s="71"/>
      <c r="F38" s="107"/>
      <c r="G38" s="44"/>
      <c r="H38" s="68" t="s">
        <v>8</v>
      </c>
    </row>
    <row r="39" spans="1:9" s="110" customFormat="1">
      <c r="A39" s="104" t="s">
        <v>137</v>
      </c>
      <c r="B39" s="105" t="s">
        <v>177</v>
      </c>
      <c r="C39" s="101"/>
      <c r="D39" s="133">
        <v>0</v>
      </c>
      <c r="E39" s="106"/>
      <c r="F39" s="94"/>
      <c r="G39" s="49" t="e">
        <f>D40/$G$3</f>
        <v>#DIV/0!</v>
      </c>
      <c r="H39" s="109"/>
    </row>
    <row r="40" spans="1:9">
      <c r="A40" s="94" t="s">
        <v>138</v>
      </c>
      <c r="B40" s="94"/>
      <c r="C40" s="94"/>
      <c r="D40" s="46">
        <f>D35+D38+D39</f>
        <v>8846.85</v>
      </c>
      <c r="E40" s="108"/>
      <c r="F40" s="66"/>
      <c r="G40" s="44"/>
      <c r="H40" s="68"/>
    </row>
    <row r="41" spans="1:9">
      <c r="A41" s="94"/>
      <c r="B41" s="47"/>
      <c r="C41" s="47"/>
      <c r="D41" s="66"/>
      <c r="E41" s="111"/>
      <c r="F41" s="66"/>
      <c r="G41" s="44"/>
      <c r="H41" s="68"/>
    </row>
    <row r="42" spans="1:9">
      <c r="A42" s="94" t="s">
        <v>54</v>
      </c>
      <c r="B42" s="47"/>
      <c r="C42" s="47"/>
      <c r="D42" s="66"/>
      <c r="E42" s="111"/>
      <c r="F42" s="47"/>
      <c r="G42" s="44"/>
      <c r="H42" s="68"/>
    </row>
    <row r="43" spans="1:9">
      <c r="A43" s="94" t="s">
        <v>149</v>
      </c>
      <c r="B43" s="47"/>
      <c r="C43" s="112" t="s">
        <v>150</v>
      </c>
      <c r="D43" s="112" t="s">
        <v>151</v>
      </c>
      <c r="E43" s="71"/>
      <c r="F43" s="47"/>
      <c r="G43" s="44" t="e">
        <f>D44/$G$3</f>
        <v>#DIV/0!</v>
      </c>
      <c r="H43" s="68"/>
    </row>
    <row r="44" spans="1:9">
      <c r="A44" s="47" t="s">
        <v>152</v>
      </c>
      <c r="B44" s="47"/>
      <c r="C44" s="221">
        <f>DBData!AL3</f>
        <v>4250</v>
      </c>
      <c r="D44" s="221">
        <f>DBData!AM3</f>
        <v>487.88</v>
      </c>
      <c r="E44" s="71"/>
      <c r="F44" s="47"/>
      <c r="G44" s="44" t="e">
        <f>D45/$G$3</f>
        <v>#DIV/0!</v>
      </c>
      <c r="H44" s="68"/>
    </row>
    <row r="45" spans="1:9">
      <c r="A45" s="47" t="s">
        <v>144</v>
      </c>
      <c r="B45" s="47"/>
      <c r="C45" s="221">
        <f>DBData!AN3</f>
        <v>0</v>
      </c>
      <c r="D45" s="221">
        <f>DBData!AO3</f>
        <v>0</v>
      </c>
      <c r="E45" s="71"/>
      <c r="F45" s="47"/>
      <c r="G45" s="44" t="e">
        <f>D46/$G$3</f>
        <v>#DIV/0!</v>
      </c>
      <c r="H45" s="68"/>
    </row>
    <row r="46" spans="1:9">
      <c r="A46" s="47" t="s">
        <v>143</v>
      </c>
      <c r="B46" s="47"/>
      <c r="C46" s="221">
        <f>DBData!AP3</f>
        <v>0</v>
      </c>
      <c r="D46" s="221">
        <f>DBData!AQ3</f>
        <v>0</v>
      </c>
      <c r="E46" s="71"/>
      <c r="F46" s="47"/>
      <c r="G46" s="44" t="e">
        <f>D47/$G$3</f>
        <v>#DIV/0!</v>
      </c>
      <c r="H46" s="68"/>
    </row>
    <row r="47" spans="1:9">
      <c r="A47" s="47" t="s">
        <v>125</v>
      </c>
      <c r="B47" s="47"/>
      <c r="C47" s="221">
        <f>DBData!AR3</f>
        <v>12500</v>
      </c>
      <c r="D47" s="221">
        <f>DBData!AS3</f>
        <v>10256</v>
      </c>
      <c r="E47" s="71"/>
      <c r="F47" s="47"/>
      <c r="G47" s="44" t="e">
        <f t="shared" ref="G47:G52" si="1">D48/$G$3</f>
        <v>#DIV/0!</v>
      </c>
      <c r="H47" s="68"/>
    </row>
    <row r="48" spans="1:9">
      <c r="A48" s="47" t="s">
        <v>145</v>
      </c>
      <c r="B48" s="47"/>
      <c r="C48" s="221">
        <f>DBData!AT3</f>
        <v>0</v>
      </c>
      <c r="D48" s="221">
        <f>DBData!AU3</f>
        <v>0</v>
      </c>
      <c r="E48" s="71"/>
      <c r="F48" s="47"/>
      <c r="G48" s="44" t="e">
        <f t="shared" si="1"/>
        <v>#DIV/0!</v>
      </c>
      <c r="H48" s="68"/>
    </row>
    <row r="49" spans="1:8">
      <c r="A49" s="47" t="s">
        <v>146</v>
      </c>
      <c r="B49" s="47"/>
      <c r="C49" s="221">
        <f>DBData!AV3</f>
        <v>0</v>
      </c>
      <c r="D49" s="221">
        <f>DBData!AW3</f>
        <v>0</v>
      </c>
      <c r="E49" s="71"/>
      <c r="F49" s="47"/>
      <c r="G49" s="44" t="e">
        <f t="shared" si="1"/>
        <v>#DIV/0!</v>
      </c>
      <c r="H49" s="68"/>
    </row>
    <row r="50" spans="1:8">
      <c r="A50" s="47" t="s">
        <v>126</v>
      </c>
      <c r="B50" s="47"/>
      <c r="C50" s="221">
        <f>DBData!AX3</f>
        <v>0</v>
      </c>
      <c r="D50" s="221">
        <f>DBData!AY3</f>
        <v>0</v>
      </c>
      <c r="E50" s="71"/>
      <c r="F50" s="47"/>
      <c r="G50" s="44" t="e">
        <f t="shared" si="1"/>
        <v>#DIV/0!</v>
      </c>
      <c r="H50" s="68"/>
    </row>
    <row r="51" spans="1:8">
      <c r="A51" s="47" t="s">
        <v>31</v>
      </c>
      <c r="B51" s="47"/>
      <c r="C51" s="221">
        <f>DBData!AZ3</f>
        <v>250</v>
      </c>
      <c r="D51" s="221">
        <f>DBData!BA3</f>
        <v>75</v>
      </c>
      <c r="E51" s="71"/>
      <c r="F51" s="47"/>
      <c r="G51" s="44" t="e">
        <f t="shared" si="1"/>
        <v>#DIV/0!</v>
      </c>
      <c r="H51" s="68"/>
    </row>
    <row r="52" spans="1:8">
      <c r="A52" s="47" t="s">
        <v>153</v>
      </c>
      <c r="B52" s="47"/>
      <c r="C52" s="221">
        <f>DBData!BB3</f>
        <v>0</v>
      </c>
      <c r="D52" s="221">
        <f>DBData!BC3</f>
        <v>0</v>
      </c>
      <c r="E52" s="71"/>
      <c r="F52" s="47"/>
      <c r="G52" s="44" t="e">
        <f t="shared" si="1"/>
        <v>#DIV/0!</v>
      </c>
      <c r="H52" s="68"/>
    </row>
    <row r="53" spans="1:8">
      <c r="A53" s="47" t="s">
        <v>179</v>
      </c>
      <c r="B53" s="135">
        <f>DBData!BD3</f>
        <v>0.35</v>
      </c>
      <c r="C53" s="235">
        <f>DBData!BE3</f>
        <v>287.18</v>
      </c>
      <c r="D53" s="235">
        <f>DBData!BF3</f>
        <v>251.83</v>
      </c>
      <c r="E53" s="71"/>
      <c r="F53" s="47"/>
      <c r="G53" s="44" t="e">
        <f>D54/$G$3</f>
        <v>#DIV/0!</v>
      </c>
      <c r="H53" s="68"/>
    </row>
    <row r="54" spans="1:8">
      <c r="A54" s="48" t="s">
        <v>154</v>
      </c>
      <c r="B54" s="135">
        <f>DBData!BG3</f>
        <v>0</v>
      </c>
      <c r="C54" s="235">
        <f>DBData!BH3</f>
        <v>0</v>
      </c>
      <c r="D54" s="235">
        <f>DBData!BI3</f>
        <v>0</v>
      </c>
      <c r="E54" s="71"/>
      <c r="F54" s="47"/>
      <c r="G54" s="44" t="e">
        <f>D55/$G$3</f>
        <v>#DIV/0!</v>
      </c>
      <c r="H54" s="68"/>
    </row>
    <row r="55" spans="1:8" ht="16.5" thickBot="1">
      <c r="A55" s="48" t="s">
        <v>272</v>
      </c>
      <c r="B55" s="257" t="str">
        <f>IF(ISTEXT(DBData!BJ3), DBData!BJ3, "")</f>
        <v/>
      </c>
      <c r="C55" s="235">
        <f>DBData!BK3</f>
        <v>0</v>
      </c>
      <c r="D55" s="235">
        <f>DBData!BL3</f>
        <v>0</v>
      </c>
      <c r="E55" s="71"/>
      <c r="F55" s="48"/>
      <c r="G55" s="213" t="e">
        <f>D56/$G$3</f>
        <v>#DIV/0!</v>
      </c>
      <c r="H55" s="68"/>
    </row>
    <row r="56" spans="1:8" ht="16.5" thickBot="1">
      <c r="A56" s="48" t="s">
        <v>273</v>
      </c>
      <c r="B56" s="257" t="str">
        <f>IF(ISTEXT(DBData!BM3), DBData!BM3, "")</f>
        <v/>
      </c>
      <c r="C56" s="134">
        <f>DBData!BN3</f>
        <v>0</v>
      </c>
      <c r="D56" s="134">
        <f>DBData!BO3</f>
        <v>0</v>
      </c>
      <c r="E56" s="72"/>
      <c r="F56" s="47"/>
      <c r="G56" s="115" t="e">
        <f>D57/$G$3</f>
        <v>#DIV/0!</v>
      </c>
      <c r="H56" s="68"/>
    </row>
    <row r="57" spans="1:8">
      <c r="A57" s="113" t="s">
        <v>155</v>
      </c>
      <c r="B57" s="114"/>
      <c r="C57" s="115">
        <f>SUM(C44:C56)</f>
        <v>17287.18</v>
      </c>
      <c r="D57" s="115">
        <f>SUM(D44:D56)</f>
        <v>11070.71</v>
      </c>
      <c r="E57" s="71"/>
      <c r="F57" s="47"/>
      <c r="G57" s="44"/>
      <c r="H57" s="68"/>
    </row>
    <row r="58" spans="1:8">
      <c r="A58" s="47"/>
      <c r="B58" s="47"/>
      <c r="C58" s="51"/>
      <c r="D58" s="51"/>
      <c r="E58" s="71"/>
      <c r="F58" s="47"/>
      <c r="G58" s="44" t="e">
        <f t="shared" ref="G58:G83" si="2">D59/$G$3</f>
        <v>#DIV/0!</v>
      </c>
      <c r="H58" s="68"/>
    </row>
    <row r="59" spans="1:8">
      <c r="A59" s="47" t="s">
        <v>46</v>
      </c>
      <c r="B59" s="47"/>
      <c r="C59" s="221">
        <f>DBData!BP3</f>
        <v>0</v>
      </c>
      <c r="D59" s="221">
        <f>DBData!BQ3</f>
        <v>0</v>
      </c>
      <c r="E59" s="71"/>
      <c r="F59" s="47"/>
      <c r="G59" s="44" t="e">
        <f t="shared" si="2"/>
        <v>#DIV/0!</v>
      </c>
      <c r="H59" s="68"/>
    </row>
    <row r="60" spans="1:8">
      <c r="A60" s="47" t="s">
        <v>78</v>
      </c>
      <c r="B60" s="47"/>
      <c r="C60" s="221">
        <f>DBData!BR3</f>
        <v>0</v>
      </c>
      <c r="D60" s="221">
        <f>DBData!BS3</f>
        <v>0</v>
      </c>
      <c r="E60" s="71"/>
      <c r="F60" s="47"/>
      <c r="G60" s="44" t="e">
        <f t="shared" si="2"/>
        <v>#DIV/0!</v>
      </c>
      <c r="H60" s="68"/>
    </row>
    <row r="61" spans="1:8">
      <c r="A61" s="47" t="s">
        <v>79</v>
      </c>
      <c r="B61" s="47"/>
      <c r="C61" s="221">
        <f>DBData!BT3</f>
        <v>0</v>
      </c>
      <c r="D61" s="221">
        <f>DBData!BU3</f>
        <v>13.98</v>
      </c>
      <c r="E61" s="71"/>
      <c r="F61" s="47"/>
      <c r="G61" s="44" t="e">
        <f t="shared" si="2"/>
        <v>#DIV/0!</v>
      </c>
      <c r="H61" s="68"/>
    </row>
    <row r="62" spans="1:8">
      <c r="A62" s="47" t="s">
        <v>80</v>
      </c>
      <c r="B62" s="47"/>
      <c r="C62" s="221">
        <f>DBData!BV3</f>
        <v>0</v>
      </c>
      <c r="D62" s="221">
        <f>DBData!BW3</f>
        <v>275</v>
      </c>
      <c r="E62" s="71"/>
      <c r="F62" s="47"/>
      <c r="G62" s="44" t="e">
        <f t="shared" si="2"/>
        <v>#DIV/0!</v>
      </c>
      <c r="H62" s="68"/>
    </row>
    <row r="63" spans="1:8">
      <c r="A63" s="47" t="s">
        <v>81</v>
      </c>
      <c r="B63" s="47"/>
      <c r="C63" s="221">
        <f>DBData!BX3</f>
        <v>0</v>
      </c>
      <c r="D63" s="221">
        <f>DBData!BY3</f>
        <v>0</v>
      </c>
      <c r="E63" s="71"/>
      <c r="F63" s="47"/>
      <c r="G63" s="44" t="e">
        <f t="shared" si="2"/>
        <v>#DIV/0!</v>
      </c>
      <c r="H63" s="68"/>
    </row>
    <row r="64" spans="1:8">
      <c r="A64" s="47" t="s">
        <v>131</v>
      </c>
      <c r="B64" s="47"/>
      <c r="C64" s="221">
        <f>DBData!BZ3</f>
        <v>0</v>
      </c>
      <c r="D64" s="221">
        <f>DBData!CA3</f>
        <v>0</v>
      </c>
      <c r="E64" s="71"/>
      <c r="F64" s="47"/>
      <c r="G64" s="44" t="e">
        <f t="shared" si="2"/>
        <v>#DIV/0!</v>
      </c>
      <c r="H64" s="68"/>
    </row>
    <row r="65" spans="1:8">
      <c r="A65" s="47" t="s">
        <v>132</v>
      </c>
      <c r="B65" s="47"/>
      <c r="C65" s="221">
        <f>DBData!CB3</f>
        <v>0</v>
      </c>
      <c r="D65" s="221">
        <f>DBData!CC3</f>
        <v>0</v>
      </c>
      <c r="E65" s="71"/>
      <c r="F65" s="47"/>
      <c r="G65" s="44" t="e">
        <f t="shared" si="2"/>
        <v>#DIV/0!</v>
      </c>
      <c r="H65" s="68"/>
    </row>
    <row r="66" spans="1:8">
      <c r="A66" s="47" t="s">
        <v>133</v>
      </c>
      <c r="B66" s="47"/>
      <c r="C66" s="221">
        <f>DBData!CD3</f>
        <v>0</v>
      </c>
      <c r="D66" s="221">
        <f>DBData!CE3</f>
        <v>0</v>
      </c>
      <c r="E66" s="71"/>
      <c r="F66" s="47"/>
      <c r="G66" s="44" t="e">
        <f t="shared" si="2"/>
        <v>#DIV/0!</v>
      </c>
      <c r="H66" s="68"/>
    </row>
    <row r="67" spans="1:8">
      <c r="A67" s="47" t="s">
        <v>134</v>
      </c>
      <c r="B67" s="47"/>
      <c r="C67" s="221">
        <f>DBData!CF3</f>
        <v>0</v>
      </c>
      <c r="D67" s="221">
        <f>DBData!CG3</f>
        <v>0</v>
      </c>
      <c r="E67" s="71"/>
      <c r="F67" s="47"/>
      <c r="G67" s="44" t="e">
        <f t="shared" si="2"/>
        <v>#DIV/0!</v>
      </c>
      <c r="H67" s="68"/>
    </row>
    <row r="68" spans="1:8">
      <c r="A68" s="47" t="s">
        <v>64</v>
      </c>
      <c r="B68" s="47"/>
      <c r="C68" s="221">
        <f>DBData!CH3</f>
        <v>0</v>
      </c>
      <c r="D68" s="221">
        <f>DBData!CI3</f>
        <v>0</v>
      </c>
      <c r="E68" s="71"/>
      <c r="F68" s="47"/>
      <c r="G68" s="44" t="e">
        <f t="shared" si="2"/>
        <v>#DIV/0!</v>
      </c>
      <c r="H68" s="68"/>
    </row>
    <row r="69" spans="1:8">
      <c r="A69" s="47" t="s">
        <v>24</v>
      </c>
      <c r="B69" s="47"/>
      <c r="C69" s="221">
        <f>DBData!CJ3</f>
        <v>0</v>
      </c>
      <c r="D69" s="221">
        <f>DBData!CK3</f>
        <v>625</v>
      </c>
      <c r="E69" s="71"/>
      <c r="F69" s="47"/>
      <c r="G69" s="44" t="e">
        <f t="shared" si="2"/>
        <v>#DIV/0!</v>
      </c>
      <c r="H69" s="68"/>
    </row>
    <row r="70" spans="1:8">
      <c r="A70" s="47" t="s">
        <v>148</v>
      </c>
      <c r="B70" s="47"/>
      <c r="C70" s="221">
        <f>DBData!CL3</f>
        <v>0</v>
      </c>
      <c r="D70" s="221">
        <f>DBData!CM3</f>
        <v>0</v>
      </c>
      <c r="E70" s="71"/>
      <c r="F70" s="47"/>
      <c r="G70" s="44" t="e">
        <f t="shared" si="2"/>
        <v>#DIV/0!</v>
      </c>
      <c r="H70" s="68"/>
    </row>
    <row r="71" spans="1:8">
      <c r="A71" s="47" t="s">
        <v>88</v>
      </c>
      <c r="B71" s="47"/>
      <c r="C71" s="221">
        <f>DBData!CN3</f>
        <v>0</v>
      </c>
      <c r="D71" s="221">
        <f>DBData!CO3</f>
        <v>0</v>
      </c>
      <c r="E71" s="71"/>
      <c r="F71" s="47"/>
      <c r="G71" s="44" t="e">
        <f t="shared" si="2"/>
        <v>#DIV/0!</v>
      </c>
      <c r="H71" s="68"/>
    </row>
    <row r="72" spans="1:8">
      <c r="A72" s="47" t="s">
        <v>89</v>
      </c>
      <c r="B72" s="47"/>
      <c r="C72" s="221">
        <f>DBData!CP3</f>
        <v>0</v>
      </c>
      <c r="D72" s="221">
        <f>DBData!CQ3</f>
        <v>0</v>
      </c>
      <c r="E72" s="71"/>
      <c r="F72" s="47"/>
      <c r="G72" s="44" t="e">
        <f t="shared" si="2"/>
        <v>#DIV/0!</v>
      </c>
      <c r="H72" s="68"/>
    </row>
    <row r="73" spans="1:8">
      <c r="A73" s="47" t="s">
        <v>98</v>
      </c>
      <c r="B73" s="47"/>
      <c r="C73" s="221">
        <f>DBData!CR3</f>
        <v>0</v>
      </c>
      <c r="D73" s="221">
        <f>DBData!CS3</f>
        <v>0</v>
      </c>
      <c r="E73" s="71"/>
      <c r="F73" s="47"/>
      <c r="G73" s="44" t="e">
        <f t="shared" si="2"/>
        <v>#DIV/0!</v>
      </c>
      <c r="H73" s="68"/>
    </row>
    <row r="74" spans="1:8">
      <c r="A74" s="47" t="s">
        <v>154</v>
      </c>
      <c r="B74" s="47"/>
      <c r="C74" s="221">
        <f>DBData!CT3</f>
        <v>0</v>
      </c>
      <c r="D74" s="221">
        <f>DBData!CU3</f>
        <v>0</v>
      </c>
      <c r="E74" s="71"/>
      <c r="F74" s="47"/>
      <c r="G74" s="44" t="e">
        <f t="shared" si="2"/>
        <v>#DIV/0!</v>
      </c>
      <c r="H74" s="68"/>
    </row>
    <row r="75" spans="1:8">
      <c r="A75" s="47" t="s">
        <v>47</v>
      </c>
      <c r="B75" s="116"/>
      <c r="C75" s="221">
        <f>DBData!CV3</f>
        <v>0</v>
      </c>
      <c r="D75" s="221">
        <f>DBData!CW3</f>
        <v>0</v>
      </c>
      <c r="E75" s="71"/>
      <c r="F75" s="47"/>
      <c r="G75" s="44" t="e">
        <f t="shared" si="2"/>
        <v>#DIV/0!</v>
      </c>
      <c r="H75" s="68"/>
    </row>
    <row r="76" spans="1:8">
      <c r="A76" s="47" t="s">
        <v>147</v>
      </c>
      <c r="B76" s="116"/>
      <c r="C76" s="221">
        <f>DBData!CX3</f>
        <v>0</v>
      </c>
      <c r="D76" s="221">
        <f>DBData!CY3</f>
        <v>274.64</v>
      </c>
      <c r="E76" s="71"/>
      <c r="F76" s="47"/>
      <c r="G76" s="44" t="e">
        <f t="shared" si="2"/>
        <v>#DIV/0!</v>
      </c>
      <c r="H76" s="68"/>
    </row>
    <row r="77" spans="1:8">
      <c r="A77" s="131" t="s">
        <v>272</v>
      </c>
      <c r="B77" s="131" t="str">
        <f>IF(ISTEXT(DBData!CZ3),DBData!CZ3,"")</f>
        <v/>
      </c>
      <c r="C77" s="221">
        <f>DBData!DA3</f>
        <v>0</v>
      </c>
      <c r="D77" s="221">
        <f>DBData!DB3</f>
        <v>0</v>
      </c>
      <c r="E77" s="71"/>
      <c r="F77" s="47"/>
      <c r="G77" s="44" t="e">
        <f>D78/$G$3</f>
        <v>#DIV/0!</v>
      </c>
      <c r="H77" s="68"/>
    </row>
    <row r="78" spans="1:8">
      <c r="A78" s="131" t="s">
        <v>273</v>
      </c>
      <c r="B78" s="131" t="str">
        <f>IF(ISTEXT(DBData!DC3),DBData!DC3,"")</f>
        <v/>
      </c>
      <c r="C78" s="221">
        <f>DBData!DD3</f>
        <v>0</v>
      </c>
      <c r="D78" s="221">
        <f>DBData!DE3</f>
        <v>0</v>
      </c>
      <c r="E78" s="71"/>
      <c r="F78" s="47"/>
      <c r="G78" s="44" t="e">
        <f>D79/$G$3</f>
        <v>#DIV/0!</v>
      </c>
      <c r="H78" s="68"/>
    </row>
    <row r="79" spans="1:8">
      <c r="A79" s="131" t="s">
        <v>274</v>
      </c>
      <c r="B79" s="131" t="str">
        <f>IF(ISTEXT(DBData!DF3),DBData!DF3,"")</f>
        <v/>
      </c>
      <c r="C79" s="221">
        <f>DBData!DG3</f>
        <v>0</v>
      </c>
      <c r="D79" s="221">
        <f>DBData!DH3</f>
        <v>0</v>
      </c>
      <c r="E79" s="71"/>
      <c r="F79" s="47"/>
      <c r="G79" s="44" t="e">
        <f>D80/$G$3</f>
        <v>#DIV/0!</v>
      </c>
      <c r="H79" s="68"/>
    </row>
    <row r="80" spans="1:8">
      <c r="A80" s="131" t="s">
        <v>275</v>
      </c>
      <c r="B80" s="131" t="str">
        <f>IF(ISTEXT(DBData!DI3),DBData!DI3,"")</f>
        <v/>
      </c>
      <c r="C80" s="221">
        <f>DBData!DJ3</f>
        <v>0</v>
      </c>
      <c r="D80" s="221">
        <f>DBData!DK3</f>
        <v>0</v>
      </c>
      <c r="E80" s="71"/>
      <c r="F80" s="47"/>
      <c r="G80" s="44" t="e">
        <f t="shared" si="2"/>
        <v>#DIV/0!</v>
      </c>
      <c r="H80" s="68"/>
    </row>
    <row r="81" spans="1:8" ht="16.5" thickBot="1">
      <c r="A81" s="131" t="s">
        <v>276</v>
      </c>
      <c r="B81" s="131" t="str">
        <f>IF(ISTEXT(DBData!DL3),DBData!DL3,"")</f>
        <v/>
      </c>
      <c r="C81" s="221">
        <f>DBData!DM3</f>
        <v>0</v>
      </c>
      <c r="D81" s="221">
        <f>DBData!DN3</f>
        <v>0</v>
      </c>
      <c r="E81" s="71"/>
      <c r="F81" s="48"/>
      <c r="G81" s="213" t="e">
        <f t="shared" si="2"/>
        <v>#DIV/0!</v>
      </c>
      <c r="H81" s="68"/>
    </row>
    <row r="82" spans="1:8" ht="16.5" thickBot="1">
      <c r="A82" s="117" t="s">
        <v>99</v>
      </c>
      <c r="B82" s="116"/>
      <c r="C82" s="236">
        <f>DBData!DO3</f>
        <v>6250</v>
      </c>
      <c r="D82" s="236">
        <f>DBData!DP3</f>
        <v>6250</v>
      </c>
      <c r="E82" s="72"/>
      <c r="F82" s="48"/>
      <c r="G82" s="44" t="e">
        <f t="shared" si="2"/>
        <v>#DIV/0!</v>
      </c>
      <c r="H82" s="68"/>
    </row>
    <row r="83" spans="1:8">
      <c r="A83" s="94" t="s">
        <v>100</v>
      </c>
      <c r="B83" s="114"/>
      <c r="C83" s="52">
        <f>SUM(C59:C82)</f>
        <v>6250</v>
      </c>
      <c r="D83" s="52">
        <f>SUM(D59:D82)</f>
        <v>7438.62</v>
      </c>
      <c r="E83" s="71"/>
      <c r="F83" s="48"/>
      <c r="G83" s="44" t="e">
        <f t="shared" si="2"/>
        <v>#DIV/0!</v>
      </c>
      <c r="H83" s="118"/>
    </row>
    <row r="84" spans="1:8" ht="16.5" thickBot="1">
      <c r="A84" s="100" t="s">
        <v>19</v>
      </c>
      <c r="B84" s="47"/>
      <c r="C84" s="52">
        <f>+C83+C57</f>
        <v>23537.18</v>
      </c>
      <c r="D84" s="52">
        <f>+D83+D57</f>
        <v>18509.330000000002</v>
      </c>
      <c r="E84" s="71"/>
      <c r="F84" s="52"/>
      <c r="G84" s="215" t="e">
        <f>E85/$G$3</f>
        <v>#DIV/0!</v>
      </c>
      <c r="H84" s="118"/>
    </row>
    <row r="85" spans="1:8" ht="16.5" thickBot="1">
      <c r="A85" s="83" t="s">
        <v>90</v>
      </c>
      <c r="B85" s="48"/>
      <c r="C85" s="63"/>
      <c r="D85" s="47"/>
      <c r="E85" s="75">
        <f>D83+D57+D40</f>
        <v>27356.18</v>
      </c>
      <c r="F85" s="48"/>
      <c r="G85" s="44"/>
      <c r="H85" s="118"/>
    </row>
    <row r="86" spans="1:8">
      <c r="A86" s="48"/>
      <c r="B86" s="48"/>
      <c r="C86" s="63"/>
      <c r="D86" s="119"/>
      <c r="E86" s="71"/>
      <c r="F86" s="46"/>
      <c r="G86" s="39" t="e">
        <f>E87/$G$3</f>
        <v>#DIV/0!</v>
      </c>
      <c r="H86" s="118"/>
    </row>
    <row r="87" spans="1:8">
      <c r="A87" s="83" t="s">
        <v>97</v>
      </c>
      <c r="B87" s="48"/>
      <c r="C87" s="47"/>
      <c r="D87" s="63"/>
      <c r="E87" s="73">
        <f>E30-E85</f>
        <v>61112.3</v>
      </c>
      <c r="F87" s="47"/>
      <c r="G87" s="44"/>
      <c r="H87" s="68"/>
    </row>
    <row r="88" spans="1:8">
      <c r="A88" s="256"/>
      <c r="B88" s="116" t="s">
        <v>92</v>
      </c>
      <c r="C88" s="120" t="s">
        <v>185</v>
      </c>
      <c r="D88" s="120" t="s">
        <v>93</v>
      </c>
      <c r="E88" s="71"/>
      <c r="F88" s="66"/>
      <c r="G88" s="44"/>
      <c r="H88" s="68"/>
    </row>
    <row r="89" spans="1:8">
      <c r="A89" s="258" t="s">
        <v>49</v>
      </c>
      <c r="B89" s="134">
        <f>E87*(DBData!N3/100)</f>
        <v>0</v>
      </c>
      <c r="C89" s="176">
        <f>B89-C90</f>
        <v>0</v>
      </c>
      <c r="D89" s="136">
        <f>E87*(DBData!O3/100)</f>
        <v>0</v>
      </c>
      <c r="E89" s="111"/>
      <c r="F89" s="51"/>
      <c r="G89" s="44"/>
      <c r="H89" s="68"/>
    </row>
    <row r="90" spans="1:8">
      <c r="A90" s="258" t="s">
        <v>96</v>
      </c>
      <c r="B90" s="186">
        <f>IF(DBData!L3="%", (DBData!M3)/100,0)</f>
        <v>0</v>
      </c>
      <c r="C90" s="63">
        <f>IF(B90&gt;0,(B89)*B90,DBData!M3)</f>
        <v>0</v>
      </c>
      <c r="D90" s="176"/>
      <c r="E90" s="111"/>
      <c r="F90" s="66"/>
      <c r="G90" s="44" t="e">
        <f>E91/$G$3</f>
        <v>#DIV/0!</v>
      </c>
      <c r="H90" s="68"/>
    </row>
    <row r="91" spans="1:8">
      <c r="A91" s="259" t="s">
        <v>50</v>
      </c>
      <c r="B91" s="48"/>
      <c r="C91" s="49">
        <f>SUM(C89:C90)</f>
        <v>0</v>
      </c>
      <c r="D91" s="49">
        <f>SUM(D89:D89)</f>
        <v>0</v>
      </c>
      <c r="E91" s="73">
        <f>SUM(C91:D91)</f>
        <v>0</v>
      </c>
      <c r="F91" s="47"/>
      <c r="G91" s="44"/>
      <c r="H91" s="68"/>
    </row>
    <row r="92" spans="1:8">
      <c r="A92" s="258"/>
      <c r="B92" s="48"/>
      <c r="C92" s="48"/>
      <c r="D92" s="48"/>
      <c r="E92" s="71"/>
      <c r="F92" s="66"/>
      <c r="G92" s="44" t="e">
        <f>E93/$G$3</f>
        <v>#DIV/0!</v>
      </c>
      <c r="H92" s="68"/>
    </row>
    <row r="93" spans="1:8">
      <c r="A93" s="259" t="s">
        <v>91</v>
      </c>
      <c r="B93" s="48"/>
      <c r="C93" s="48"/>
      <c r="D93" s="48"/>
      <c r="E93" s="111">
        <f>+E87-E91</f>
        <v>61112.3</v>
      </c>
      <c r="F93" s="47"/>
      <c r="G93" s="44"/>
      <c r="H93" s="68"/>
    </row>
    <row r="94" spans="1:8">
      <c r="A94" s="258"/>
      <c r="B94" s="48"/>
      <c r="C94" s="48"/>
      <c r="D94" s="48"/>
      <c r="E94" s="71"/>
      <c r="F94" s="66"/>
      <c r="G94" s="44"/>
      <c r="H94" s="68"/>
    </row>
    <row r="95" spans="1:8">
      <c r="A95" s="259" t="s">
        <v>51</v>
      </c>
      <c r="B95" s="48"/>
      <c r="C95" s="48"/>
      <c r="D95" s="48"/>
      <c r="E95" s="111">
        <f>+IF(E93&gt;0,E93,0)</f>
        <v>61112.3</v>
      </c>
      <c r="F95" s="47"/>
      <c r="G95" s="44"/>
      <c r="H95" s="66"/>
    </row>
    <row r="96" spans="1:8">
      <c r="A96" s="258" t="s">
        <v>77</v>
      </c>
      <c r="B96" s="177">
        <f>DBData!P3/100</f>
        <v>0.7</v>
      </c>
      <c r="C96" s="63">
        <f>E95*B96-C97</f>
        <v>42778.61</v>
      </c>
      <c r="D96" s="47"/>
      <c r="E96" s="71"/>
      <c r="F96" s="47"/>
      <c r="G96" s="44"/>
      <c r="H96" s="66"/>
    </row>
    <row r="97" spans="1:8">
      <c r="A97" s="258" t="s">
        <v>18</v>
      </c>
      <c r="B97" s="186">
        <f>IF(DBData!L3="%", (DBData!M3)/100,0)</f>
        <v>0</v>
      </c>
      <c r="C97" s="63">
        <f>IF(B97&gt;0,(E95*B96)*B97,DBData!M3)</f>
        <v>0</v>
      </c>
      <c r="D97" s="47"/>
      <c r="E97" s="71"/>
      <c r="F97" s="51"/>
      <c r="G97" s="44" t="e">
        <f>D98/$G$3</f>
        <v>#DIV/0!</v>
      </c>
      <c r="H97" s="66"/>
    </row>
    <row r="98" spans="1:8">
      <c r="A98" s="260" t="s">
        <v>59</v>
      </c>
      <c r="B98" s="178"/>
      <c r="C98" s="63"/>
      <c r="D98" s="46">
        <f>SUM(C96:C97)</f>
        <v>42778.61</v>
      </c>
      <c r="E98" s="252"/>
      <c r="F98" s="47"/>
      <c r="G98" s="44"/>
      <c r="H98" s="66"/>
    </row>
    <row r="99" spans="1:8">
      <c r="A99" s="258" t="s">
        <v>17</v>
      </c>
      <c r="B99" s="177">
        <f>DBData!R3/100</f>
        <v>0</v>
      </c>
      <c r="C99" s="63">
        <f>E95*B99-C100</f>
        <v>0</v>
      </c>
      <c r="D99" s="47"/>
      <c r="E99" s="261"/>
      <c r="F99" s="47"/>
      <c r="G99" s="44"/>
      <c r="H99" s="66"/>
    </row>
    <row r="100" spans="1:8">
      <c r="A100" s="258" t="s">
        <v>94</v>
      </c>
      <c r="B100" s="186">
        <f>IF(DBData!L3="%", (DBData!M3)/100,0)</f>
        <v>0</v>
      </c>
      <c r="C100" s="63">
        <f>IF(B100&gt;0,(E95*B99)*B100,DBData!M3)</f>
        <v>0</v>
      </c>
      <c r="D100" s="47"/>
      <c r="E100" s="261"/>
      <c r="F100" s="51"/>
      <c r="G100" s="44" t="e">
        <f>D101/$G$3</f>
        <v>#DIV/0!</v>
      </c>
      <c r="H100" s="66"/>
    </row>
    <row r="101" spans="1:8">
      <c r="A101" s="260" t="s">
        <v>95</v>
      </c>
      <c r="B101" s="184"/>
      <c r="C101" s="63"/>
      <c r="D101" s="46">
        <f>SUM(C99:C100)</f>
        <v>0</v>
      </c>
      <c r="E101" s="252"/>
      <c r="F101" s="47"/>
      <c r="G101" s="44"/>
      <c r="H101" s="68"/>
    </row>
    <row r="102" spans="1:8">
      <c r="A102" s="260" t="s">
        <v>12</v>
      </c>
      <c r="B102" s="177">
        <f>DBData!Q3/100</f>
        <v>0.3</v>
      </c>
      <c r="C102" s="121"/>
      <c r="D102" s="52">
        <f>E95*B102</f>
        <v>18333.689999999999</v>
      </c>
      <c r="E102" s="71"/>
      <c r="F102" s="47"/>
      <c r="G102" s="44"/>
      <c r="H102" s="68"/>
    </row>
    <row r="103" spans="1:8" s="110" customFormat="1">
      <c r="A103" s="258"/>
      <c r="B103" s="48"/>
      <c r="C103" s="48"/>
      <c r="D103" s="48"/>
      <c r="E103" s="71"/>
      <c r="F103" s="46"/>
      <c r="G103" s="39" t="e">
        <f>E104/$G$3</f>
        <v>#DIV/0!</v>
      </c>
      <c r="H103" s="109"/>
    </row>
    <row r="104" spans="1:8" s="110" customFormat="1">
      <c r="A104" s="83" t="s">
        <v>13</v>
      </c>
      <c r="B104" s="83"/>
      <c r="C104" s="83"/>
      <c r="D104" s="83"/>
      <c r="E104" s="73">
        <f>D98+C91+D40</f>
        <v>51625.46</v>
      </c>
      <c r="F104" s="46"/>
      <c r="G104" s="39"/>
      <c r="H104" s="109"/>
    </row>
    <row r="105" spans="1:8" s="110" customFormat="1">
      <c r="A105" s="83" t="s">
        <v>184</v>
      </c>
      <c r="B105" s="83"/>
      <c r="C105" s="83"/>
      <c r="D105" s="83"/>
      <c r="E105" s="122">
        <f>DBData!HI3</f>
        <v>374.25</v>
      </c>
      <c r="F105" s="46"/>
      <c r="G105" s="39"/>
      <c r="H105" s="109"/>
    </row>
    <row r="106" spans="1:8" s="110" customFormat="1">
      <c r="A106" s="83" t="s">
        <v>185</v>
      </c>
      <c r="B106" s="83"/>
      <c r="C106" s="83"/>
      <c r="D106" s="83"/>
      <c r="E106" s="73">
        <f>E104-E105</f>
        <v>51251.21</v>
      </c>
      <c r="F106" s="46"/>
      <c r="G106" s="39"/>
      <c r="H106" s="109"/>
    </row>
    <row r="107" spans="1:8" s="110" customFormat="1">
      <c r="A107" s="83"/>
      <c r="B107" s="83"/>
      <c r="C107" s="83"/>
      <c r="D107" s="83"/>
      <c r="E107" s="73"/>
      <c r="F107" s="46"/>
      <c r="G107" s="39" t="e">
        <f>E108/$G$3</f>
        <v>#DIV/0!</v>
      </c>
      <c r="H107" s="109"/>
    </row>
    <row r="108" spans="1:8" s="110" customFormat="1">
      <c r="A108" s="83" t="s">
        <v>60</v>
      </c>
      <c r="B108" s="83"/>
      <c r="C108" s="83"/>
      <c r="D108" s="83"/>
      <c r="E108" s="73">
        <f>+(D102+D91+D83+D57)+IF(E87&lt;0,E87,0)</f>
        <v>36843.019999999997</v>
      </c>
      <c r="F108" s="94"/>
      <c r="G108" s="39" t="e">
        <f>E109/$G$3</f>
        <v>#DIV/0!</v>
      </c>
      <c r="H108" s="109"/>
    </row>
    <row r="109" spans="1:8" s="110" customFormat="1">
      <c r="A109" s="83" t="s">
        <v>127</v>
      </c>
      <c r="B109" s="83"/>
      <c r="C109" s="83"/>
      <c r="D109" s="83"/>
      <c r="E109" s="123">
        <f>'box office'!M25</f>
        <v>0</v>
      </c>
      <c r="F109" s="94"/>
      <c r="G109" s="39" t="e">
        <f>E110/$G$3</f>
        <v>#DIV/0!</v>
      </c>
      <c r="H109" s="109"/>
    </row>
    <row r="110" spans="1:8">
      <c r="A110" s="83" t="s">
        <v>186</v>
      </c>
      <c r="B110" s="83"/>
      <c r="C110" s="83"/>
      <c r="D110" s="83"/>
      <c r="E110" s="73">
        <f>E108+E109</f>
        <v>36843.019999999997</v>
      </c>
      <c r="F110" s="47"/>
      <c r="G110" s="44"/>
      <c r="H110" s="68"/>
    </row>
    <row r="111" spans="1:8">
      <c r="A111" s="48"/>
      <c r="B111" s="48"/>
      <c r="C111" s="48"/>
      <c r="D111" s="48"/>
      <c r="E111" s="71"/>
      <c r="F111" s="66"/>
      <c r="G111" s="44" t="e">
        <f>E112/$G$3</f>
        <v>#DIV/0!</v>
      </c>
      <c r="H111" s="68"/>
    </row>
    <row r="112" spans="1:8">
      <c r="A112" s="83" t="s">
        <v>14</v>
      </c>
      <c r="B112" s="48"/>
      <c r="C112" s="48"/>
      <c r="D112" s="48"/>
      <c r="E112" s="111">
        <f>SUM(E106:E109)</f>
        <v>88094.23</v>
      </c>
      <c r="F112" s="126"/>
      <c r="G112" s="44" t="e">
        <f>E113/$G$3</f>
        <v>#DIV/0!</v>
      </c>
      <c r="H112" s="68"/>
    </row>
    <row r="113" spans="1:8">
      <c r="A113" s="124" t="s">
        <v>121</v>
      </c>
      <c r="B113" s="48"/>
      <c r="C113" s="48"/>
      <c r="D113" s="48"/>
      <c r="E113" s="125">
        <f>'box office'!M30</f>
        <v>88468.479999999996</v>
      </c>
      <c r="F113" s="126"/>
      <c r="G113" s="44" t="e">
        <f>E114/$G$3</f>
        <v>#DIV/0!</v>
      </c>
      <c r="H113" s="68"/>
    </row>
    <row r="114" spans="1:8">
      <c r="A114" s="127" t="s">
        <v>122</v>
      </c>
      <c r="B114" s="48"/>
      <c r="C114" s="48"/>
      <c r="D114" s="48"/>
      <c r="E114" s="125">
        <f>E113-E112</f>
        <v>374.25</v>
      </c>
      <c r="F114" s="47"/>
      <c r="G114" s="44"/>
      <c r="H114" s="68"/>
    </row>
    <row r="115" spans="1:8">
      <c r="A115" s="83" t="s">
        <v>123</v>
      </c>
      <c r="B115" s="48"/>
      <c r="C115" s="48"/>
      <c r="D115" s="48"/>
      <c r="E115" s="71"/>
      <c r="F115" s="47"/>
      <c r="G115" s="44"/>
      <c r="H115" s="68"/>
    </row>
    <row r="116" spans="1:8">
      <c r="A116" s="391"/>
      <c r="B116" s="392"/>
      <c r="C116" s="391"/>
      <c r="D116" s="397"/>
      <c r="E116" s="392"/>
      <c r="F116" s="47"/>
      <c r="G116" s="44"/>
      <c r="H116" s="68"/>
    </row>
    <row r="117" spans="1:8">
      <c r="A117" s="393"/>
      <c r="B117" s="394"/>
      <c r="C117" s="393"/>
      <c r="D117" s="398"/>
      <c r="E117" s="394"/>
      <c r="F117" s="48"/>
      <c r="G117" s="44"/>
      <c r="H117" s="68"/>
    </row>
    <row r="118" spans="1:8">
      <c r="A118" s="395"/>
      <c r="B118" s="396"/>
      <c r="C118" s="395"/>
      <c r="D118" s="399"/>
      <c r="E118" s="396"/>
      <c r="F118" s="47"/>
      <c r="G118" s="44"/>
      <c r="H118" s="68"/>
    </row>
    <row r="119" spans="1:8">
      <c r="A119" s="389" t="str">
        <f>IF(ISTEXT(DBData!I3),(DBData!I3),"(Show Manager)")</f>
        <v>(Show Manager)</v>
      </c>
      <c r="B119" s="390"/>
      <c r="C119" s="400" t="str">
        <f>IF(ISTEXT(DBData!H3),(DBData!H3),"(Contact Person)")</f>
        <v>(Contact Person)</v>
      </c>
      <c r="D119" s="401"/>
      <c r="E119" s="402"/>
      <c r="F119" s="60"/>
      <c r="G119" s="44"/>
      <c r="H119" s="68"/>
    </row>
    <row r="120" spans="1:8">
      <c r="A120" s="389" t="str">
        <f>IF(ISTEXT(DBData!F3),(DBData!F3),"(Corporate)")</f>
        <v>(Corporate)</v>
      </c>
      <c r="B120" s="390"/>
      <c r="C120" s="400" t="str">
        <f>IF(ISTEXT(DBData!G3),(DBData!G3),"(Presenter)")</f>
        <v>JAM Theatricals</v>
      </c>
      <c r="D120" s="401"/>
      <c r="E120" s="402"/>
    </row>
    <row r="121" spans="1:8">
      <c r="A121" s="387" t="s">
        <v>183</v>
      </c>
      <c r="B121" s="387"/>
    </row>
    <row r="122" spans="1:8">
      <c r="A122" s="388"/>
      <c r="B122" s="388"/>
      <c r="F122" s="128"/>
    </row>
    <row r="123" spans="1:8">
      <c r="A123" s="388"/>
      <c r="B123" s="388"/>
      <c r="D123" s="128"/>
      <c r="E123" s="128"/>
    </row>
    <row r="124" spans="1:8">
      <c r="A124" s="388"/>
      <c r="B124" s="388"/>
    </row>
    <row r="125" spans="1:8">
      <c r="A125" s="388"/>
      <c r="B125" s="388"/>
    </row>
    <row r="126" spans="1:8">
      <c r="A126" s="388"/>
      <c r="B126" s="388"/>
    </row>
    <row r="127" spans="1:8">
      <c r="A127" s="388"/>
      <c r="B127" s="388"/>
    </row>
    <row r="128" spans="1:8">
      <c r="A128" s="388"/>
      <c r="B128" s="388"/>
    </row>
    <row r="129" spans="1:2">
      <c r="A129" s="388"/>
      <c r="B129" s="388"/>
    </row>
    <row r="130" spans="1:2">
      <c r="A130" s="388"/>
      <c r="B130" s="388"/>
    </row>
  </sheetData>
  <mergeCells count="7">
    <mergeCell ref="A121:B130"/>
    <mergeCell ref="A119:B119"/>
    <mergeCell ref="A120:B120"/>
    <mergeCell ref="A116:B118"/>
    <mergeCell ref="C116:E118"/>
    <mergeCell ref="C119:E119"/>
    <mergeCell ref="C120:E120"/>
  </mergeCells>
  <phoneticPr fontId="0" type="noConversion"/>
  <printOptions horizontalCentered="1"/>
  <pageMargins left="0" right="0" top="0.5" bottom="0" header="0" footer="0"/>
  <pageSetup scale="49" orientation="portrait" horizontalDpi="300" verticalDpi="300"/>
  <headerFooter alignWithMargins="0"/>
  <rowBreaks count="1" manualBreakCount="1">
    <brk id="84" max="16383" man="1"/>
  </rowBreaks>
  <ignoredErrors>
    <ignoredError sqref="C89" unlockedFormula="1"/>
  </ignoredErrors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2"/>
  <sheetViews>
    <sheetView zoomScale="93" zoomScaleNormal="93" workbookViewId="0">
      <selection activeCell="B14" sqref="B14"/>
    </sheetView>
  </sheetViews>
  <sheetFormatPr defaultRowHeight="12.75"/>
  <cols>
    <col min="1" max="1" width="39.42578125" style="43" customWidth="1"/>
    <col min="2" max="2" width="37.5703125" style="43" customWidth="1"/>
    <col min="3" max="16384" width="9.140625" style="43"/>
  </cols>
  <sheetData>
    <row r="1" spans="1:2">
      <c r="A1" s="263" t="s">
        <v>543</v>
      </c>
      <c r="B1" s="5" t="s">
        <v>486</v>
      </c>
    </row>
    <row r="2" spans="1:2">
      <c r="A2" s="263" t="s">
        <v>83</v>
      </c>
      <c r="B2" s="5" t="str">
        <f>IF(ISTEXT(DBData!B3), UPPER(DBData!B3), "(SHOW NAME)")</f>
        <v>BEAUTY &amp; THE BEAST</v>
      </c>
    </row>
    <row r="3" spans="1:2">
      <c r="A3" s="263" t="s">
        <v>32</v>
      </c>
      <c r="B3" s="264" t="str">
        <f>summary!A2</f>
        <v>Pensacola</v>
      </c>
    </row>
    <row r="4" spans="1:2">
      <c r="A4" s="263" t="s">
        <v>33</v>
      </c>
      <c r="B4" s="264" t="str">
        <f>summary!A3</f>
        <v>Saenger Theatre</v>
      </c>
    </row>
    <row r="5" spans="1:2">
      <c r="A5" s="263" t="s">
        <v>2</v>
      </c>
      <c r="B5" s="265">
        <f>summary!E10</f>
        <v>103838</v>
      </c>
    </row>
    <row r="6" spans="1:2">
      <c r="A6" s="263" t="s">
        <v>156</v>
      </c>
      <c r="B6" s="265">
        <f>-summary!D28</f>
        <v>-15369.52</v>
      </c>
    </row>
    <row r="7" spans="1:2">
      <c r="A7" s="263" t="s">
        <v>157</v>
      </c>
      <c r="B7" s="265">
        <f>summary!E30</f>
        <v>88468.479999999996</v>
      </c>
    </row>
    <row r="8" spans="1:2">
      <c r="A8" s="263" t="s">
        <v>158</v>
      </c>
      <c r="B8" s="265">
        <f>summary!D35</f>
        <v>8846.85</v>
      </c>
    </row>
    <row r="9" spans="1:2">
      <c r="A9" s="263" t="s">
        <v>159</v>
      </c>
      <c r="B9" s="265">
        <f>summary!D38+summary!B89</f>
        <v>0</v>
      </c>
    </row>
    <row r="10" spans="1:2">
      <c r="A10" s="263" t="s">
        <v>160</v>
      </c>
      <c r="B10" s="265">
        <f>-summary!D84</f>
        <v>-18509.330000000002</v>
      </c>
    </row>
    <row r="11" spans="1:2">
      <c r="A11" s="263" t="s">
        <v>161</v>
      </c>
      <c r="B11" s="265">
        <f>SUM(summary!E93)</f>
        <v>61112.3</v>
      </c>
    </row>
    <row r="12" spans="1:2">
      <c r="A12" s="263" t="s">
        <v>162</v>
      </c>
      <c r="B12" s="265">
        <f>summary!D101+summary!D98</f>
        <v>42778.61</v>
      </c>
    </row>
    <row r="13" spans="1:2">
      <c r="A13" s="263" t="s">
        <v>112</v>
      </c>
      <c r="B13" s="265">
        <f>summary!D102</f>
        <v>18333.689999999999</v>
      </c>
    </row>
    <row r="14" spans="1:2">
      <c r="A14" s="263"/>
      <c r="B14" s="265"/>
    </row>
    <row r="15" spans="1:2">
      <c r="A15" s="263" t="s">
        <v>182</v>
      </c>
      <c r="B15" s="265">
        <f>SUM('box office'!M132)</f>
        <v>65.790000000000006</v>
      </c>
    </row>
    <row r="16" spans="1:2">
      <c r="A16" s="263"/>
      <c r="B16" s="266"/>
    </row>
    <row r="17" spans="1:2">
      <c r="A17" s="263" t="s">
        <v>52</v>
      </c>
      <c r="B17" s="268">
        <f>'box office'!M127</f>
        <v>3240.88</v>
      </c>
    </row>
    <row r="18" spans="1:2">
      <c r="A18" s="263" t="s">
        <v>141</v>
      </c>
      <c r="B18" s="268">
        <f>'box office'!M130</f>
        <v>1688.71</v>
      </c>
    </row>
    <row r="19" spans="1:2">
      <c r="A19" s="263" t="s">
        <v>142</v>
      </c>
      <c r="B19" s="267">
        <f>B5+B17+B18</f>
        <v>108767.59</v>
      </c>
    </row>
    <row r="20" spans="1:2">
      <c r="A20" s="263" t="s">
        <v>176</v>
      </c>
      <c r="B20" s="269">
        <f>B19/summary!E8</f>
        <v>1.93</v>
      </c>
    </row>
    <row r="21" spans="1:2">
      <c r="A21" s="263" t="s">
        <v>3</v>
      </c>
      <c r="B21" s="269">
        <f>summary!D5</f>
        <v>1.01</v>
      </c>
    </row>
    <row r="22" spans="1:2">
      <c r="A22" s="263" t="s">
        <v>360</v>
      </c>
      <c r="B22" s="269">
        <f>B20-B21</f>
        <v>0.92</v>
      </c>
    </row>
  </sheetData>
  <pageMargins left="0.7" right="0.7" top="0.75" bottom="0.75" header="0.3" footer="0.3"/>
  <pageSetup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7"/>
  <sheetViews>
    <sheetView topLeftCell="HY1" zoomScaleNormal="100" workbookViewId="0">
      <selection activeCell="IH8" sqref="IH8"/>
    </sheetView>
  </sheetViews>
  <sheetFormatPr defaultRowHeight="12.75"/>
  <cols>
    <col min="1" max="1" width="5.42578125" customWidth="1"/>
    <col min="6" max="6" width="15.140625" bestFit="1" customWidth="1"/>
    <col min="7" max="7" width="13.5703125" customWidth="1"/>
    <col min="8" max="8" width="11" customWidth="1"/>
    <col min="9" max="9" width="15.85546875" customWidth="1"/>
    <col min="21" max="21" width="12.5703125" bestFit="1" customWidth="1"/>
    <col min="24" max="24" width="11.5703125" style="223" bestFit="1" customWidth="1"/>
    <col min="124" max="124" width="9.140625" style="271"/>
    <col min="218" max="236" width="9.140625" style="242"/>
    <col min="237" max="237" width="13.5703125" customWidth="1"/>
  </cols>
  <sheetData>
    <row r="1" spans="1:292" s="5" customFormat="1">
      <c r="A1" s="5" t="s">
        <v>227</v>
      </c>
      <c r="G1" s="5" t="s">
        <v>261</v>
      </c>
      <c r="H1" s="5" t="s">
        <v>362</v>
      </c>
      <c r="I1" s="5" t="s">
        <v>361</v>
      </c>
      <c r="L1" s="5" t="s">
        <v>266</v>
      </c>
      <c r="AF1" s="284" t="s">
        <v>266</v>
      </c>
      <c r="AG1" s="284"/>
      <c r="AH1" s="5" t="s">
        <v>254</v>
      </c>
      <c r="AJ1" s="5" t="s">
        <v>254</v>
      </c>
      <c r="DT1" s="282"/>
      <c r="DY1" s="5" t="s">
        <v>548</v>
      </c>
      <c r="EM1" s="5" t="s">
        <v>379</v>
      </c>
      <c r="EN1" s="5" t="s">
        <v>395</v>
      </c>
      <c r="EW1" s="5" t="s">
        <v>391</v>
      </c>
      <c r="EX1" s="5" t="s">
        <v>400</v>
      </c>
      <c r="HI1" s="5" t="s">
        <v>263</v>
      </c>
      <c r="HJ1" s="283" t="s">
        <v>0</v>
      </c>
      <c r="HK1" s="283" t="s">
        <v>401</v>
      </c>
      <c r="HL1" s="283" t="s">
        <v>1</v>
      </c>
      <c r="HM1" s="283" t="s">
        <v>402</v>
      </c>
      <c r="HN1" s="283" t="s">
        <v>363</v>
      </c>
      <c r="HO1" s="283" t="s">
        <v>403</v>
      </c>
      <c r="HP1" s="283" t="s">
        <v>364</v>
      </c>
      <c r="HQ1" s="283" t="s">
        <v>404</v>
      </c>
      <c r="HR1" s="283" t="s">
        <v>365</v>
      </c>
      <c r="HS1" s="283" t="s">
        <v>405</v>
      </c>
      <c r="HT1" s="283" t="s">
        <v>366</v>
      </c>
      <c r="HU1" s="283" t="s">
        <v>406</v>
      </c>
      <c r="HV1" s="283" t="s">
        <v>367</v>
      </c>
      <c r="HW1" s="283" t="s">
        <v>407</v>
      </c>
      <c r="HX1" s="283" t="s">
        <v>368</v>
      </c>
      <c r="HY1" s="283" t="s">
        <v>408</v>
      </c>
      <c r="HZ1" s="283" t="s">
        <v>369</v>
      </c>
      <c r="IA1" s="283" t="s">
        <v>409</v>
      </c>
      <c r="IB1" s="283" t="s">
        <v>370</v>
      </c>
      <c r="IC1" s="283" t="s">
        <v>410</v>
      </c>
      <c r="ID1" s="283"/>
    </row>
    <row r="2" spans="1:292" s="5" customFormat="1">
      <c r="A2" s="5" t="s">
        <v>187</v>
      </c>
      <c r="B2" s="5" t="s">
        <v>189</v>
      </c>
      <c r="C2" s="5" t="s">
        <v>190</v>
      </c>
      <c r="D2" s="5" t="s">
        <v>253</v>
      </c>
      <c r="E2" s="5" t="s">
        <v>256</v>
      </c>
      <c r="F2" s="5" t="s">
        <v>259</v>
      </c>
      <c r="G2" s="5" t="s">
        <v>260</v>
      </c>
      <c r="H2" s="5" t="s">
        <v>262</v>
      </c>
      <c r="I2" s="5" t="s">
        <v>381</v>
      </c>
      <c r="J2" s="5" t="s">
        <v>264</v>
      </c>
      <c r="K2" s="5" t="s">
        <v>265</v>
      </c>
      <c r="L2" s="5" t="s">
        <v>373</v>
      </c>
      <c r="M2" s="5" t="s">
        <v>374</v>
      </c>
      <c r="N2" s="5" t="s">
        <v>267</v>
      </c>
      <c r="O2" s="5" t="s">
        <v>268</v>
      </c>
      <c r="P2" s="5" t="s">
        <v>269</v>
      </c>
      <c r="Q2" s="5" t="s">
        <v>270</v>
      </c>
      <c r="R2" s="5" t="s">
        <v>271</v>
      </c>
      <c r="S2" s="5" t="s">
        <v>544</v>
      </c>
      <c r="T2" s="5" t="s">
        <v>192</v>
      </c>
      <c r="U2" s="5" t="s">
        <v>392</v>
      </c>
      <c r="V2" s="5" t="s">
        <v>193</v>
      </c>
      <c r="W2" s="5" t="s">
        <v>194</v>
      </c>
      <c r="X2" s="5" t="s">
        <v>195</v>
      </c>
      <c r="Y2" s="5" t="s">
        <v>196</v>
      </c>
      <c r="Z2" s="5" t="s">
        <v>197</v>
      </c>
      <c r="AA2" s="5" t="s">
        <v>198</v>
      </c>
      <c r="AB2" s="5" t="s">
        <v>199</v>
      </c>
      <c r="AC2" s="5" t="s">
        <v>200</v>
      </c>
      <c r="AD2" s="5" t="s">
        <v>484</v>
      </c>
      <c r="AE2" s="5" t="s">
        <v>545</v>
      </c>
      <c r="AF2" s="5" t="s">
        <v>396</v>
      </c>
      <c r="AG2" s="5" t="s">
        <v>397</v>
      </c>
      <c r="AH2" s="5" t="s">
        <v>377</v>
      </c>
      <c r="AI2" s="5" t="s">
        <v>376</v>
      </c>
      <c r="AJ2" s="5" t="s">
        <v>378</v>
      </c>
      <c r="AK2" s="5" t="s">
        <v>375</v>
      </c>
      <c r="AL2" s="5" t="s">
        <v>277</v>
      </c>
      <c r="AM2" s="5" t="s">
        <v>278</v>
      </c>
      <c r="AN2" s="5" t="s">
        <v>279</v>
      </c>
      <c r="AO2" s="5" t="s">
        <v>280</v>
      </c>
      <c r="AP2" s="5" t="s">
        <v>281</v>
      </c>
      <c r="AQ2" s="5" t="s">
        <v>282</v>
      </c>
      <c r="AR2" s="5" t="s">
        <v>283</v>
      </c>
      <c r="AS2" s="5" t="s">
        <v>284</v>
      </c>
      <c r="AT2" s="5" t="s">
        <v>285</v>
      </c>
      <c r="AU2" s="5" t="s">
        <v>286</v>
      </c>
      <c r="AV2" s="5" t="s">
        <v>287</v>
      </c>
      <c r="AW2" s="5" t="s">
        <v>288</v>
      </c>
      <c r="AX2" s="5" t="s">
        <v>289</v>
      </c>
      <c r="AY2" s="5" t="s">
        <v>290</v>
      </c>
      <c r="AZ2" s="5" t="s">
        <v>291</v>
      </c>
      <c r="BA2" s="5" t="s">
        <v>292</v>
      </c>
      <c r="BB2" s="5" t="s">
        <v>293</v>
      </c>
      <c r="BC2" s="5" t="s">
        <v>294</v>
      </c>
      <c r="BD2" s="5" t="s">
        <v>295</v>
      </c>
      <c r="BE2" s="5" t="s">
        <v>296</v>
      </c>
      <c r="BF2" s="5" t="s">
        <v>297</v>
      </c>
      <c r="BG2" s="5" t="s">
        <v>298</v>
      </c>
      <c r="BH2" s="5" t="s">
        <v>299</v>
      </c>
      <c r="BI2" s="5" t="s">
        <v>300</v>
      </c>
      <c r="BJ2" s="5" t="s">
        <v>301</v>
      </c>
      <c r="BK2" s="5" t="s">
        <v>302</v>
      </c>
      <c r="BL2" s="5" t="s">
        <v>303</v>
      </c>
      <c r="BM2" s="5" t="s">
        <v>304</v>
      </c>
      <c r="BN2" s="5" t="s">
        <v>305</v>
      </c>
      <c r="BO2" s="5" t="s">
        <v>306</v>
      </c>
      <c r="BP2" s="5" t="s">
        <v>307</v>
      </c>
      <c r="BQ2" s="5" t="s">
        <v>308</v>
      </c>
      <c r="BR2" s="5" t="s">
        <v>309</v>
      </c>
      <c r="BS2" s="5" t="s">
        <v>310</v>
      </c>
      <c r="BT2" s="5" t="s">
        <v>311</v>
      </c>
      <c r="BU2" s="5" t="s">
        <v>312</v>
      </c>
      <c r="BV2" s="5" t="s">
        <v>313</v>
      </c>
      <c r="BW2" s="5" t="s">
        <v>314</v>
      </c>
      <c r="BX2" s="5" t="s">
        <v>315</v>
      </c>
      <c r="BY2" s="5" t="s">
        <v>316</v>
      </c>
      <c r="BZ2" s="5" t="s">
        <v>317</v>
      </c>
      <c r="CA2" s="5" t="s">
        <v>318</v>
      </c>
      <c r="CB2" s="5" t="s">
        <v>319</v>
      </c>
      <c r="CC2" s="5" t="s">
        <v>320</v>
      </c>
      <c r="CD2" s="5" t="s">
        <v>321</v>
      </c>
      <c r="CE2" s="5" t="s">
        <v>322</v>
      </c>
      <c r="CF2" s="5" t="s">
        <v>323</v>
      </c>
      <c r="CG2" s="5" t="s">
        <v>324</v>
      </c>
      <c r="CH2" s="5" t="s">
        <v>325</v>
      </c>
      <c r="CI2" s="5" t="s">
        <v>326</v>
      </c>
      <c r="CJ2" s="5" t="s">
        <v>327</v>
      </c>
      <c r="CK2" s="5" t="s">
        <v>328</v>
      </c>
      <c r="CL2" s="5" t="s">
        <v>329</v>
      </c>
      <c r="CM2" s="5" t="s">
        <v>330</v>
      </c>
      <c r="CN2" s="5" t="s">
        <v>331</v>
      </c>
      <c r="CO2" s="5" t="s">
        <v>332</v>
      </c>
      <c r="CP2" s="5" t="s">
        <v>333</v>
      </c>
      <c r="CQ2" s="5" t="s">
        <v>334</v>
      </c>
      <c r="CR2" s="5" t="s">
        <v>335</v>
      </c>
      <c r="CS2" s="5" t="s">
        <v>336</v>
      </c>
      <c r="CT2" s="5" t="s">
        <v>337</v>
      </c>
      <c r="CU2" s="5" t="s">
        <v>338</v>
      </c>
      <c r="CV2" s="5" t="s">
        <v>339</v>
      </c>
      <c r="CW2" s="5" t="s">
        <v>340</v>
      </c>
      <c r="CX2" s="5" t="s">
        <v>341</v>
      </c>
      <c r="CY2" s="5" t="s">
        <v>342</v>
      </c>
      <c r="CZ2" s="5" t="s">
        <v>343</v>
      </c>
      <c r="DA2" s="5" t="s">
        <v>344</v>
      </c>
      <c r="DB2" s="5" t="s">
        <v>345</v>
      </c>
      <c r="DC2" s="5" t="s">
        <v>346</v>
      </c>
      <c r="DD2" s="5" t="s">
        <v>347</v>
      </c>
      <c r="DE2" s="5" t="s">
        <v>348</v>
      </c>
      <c r="DF2" s="5" t="s">
        <v>349</v>
      </c>
      <c r="DG2" s="5" t="s">
        <v>350</v>
      </c>
      <c r="DH2" s="5" t="s">
        <v>351</v>
      </c>
      <c r="DI2" s="5" t="s">
        <v>352</v>
      </c>
      <c r="DJ2" s="5" t="s">
        <v>353</v>
      </c>
      <c r="DK2" s="5" t="s">
        <v>354</v>
      </c>
      <c r="DL2" s="5" t="s">
        <v>355</v>
      </c>
      <c r="DM2" s="5" t="s">
        <v>356</v>
      </c>
      <c r="DN2" s="5" t="s">
        <v>357</v>
      </c>
      <c r="DO2" s="5" t="s">
        <v>358</v>
      </c>
      <c r="DP2" s="5" t="s">
        <v>359</v>
      </c>
      <c r="DQ2" s="5" t="s">
        <v>204</v>
      </c>
      <c r="DR2" s="5" t="s">
        <v>205</v>
      </c>
      <c r="DS2" s="5" t="s">
        <v>206</v>
      </c>
      <c r="DT2" s="282" t="s">
        <v>207</v>
      </c>
      <c r="DU2" s="5" t="s">
        <v>208</v>
      </c>
      <c r="DV2" s="5" t="s">
        <v>209</v>
      </c>
      <c r="DW2" s="5" t="s">
        <v>210</v>
      </c>
      <c r="DX2" s="5" t="s">
        <v>211</v>
      </c>
      <c r="DY2" s="5" t="s">
        <v>201</v>
      </c>
      <c r="DZ2" s="5" t="s">
        <v>202</v>
      </c>
      <c r="EA2" s="5" t="s">
        <v>203</v>
      </c>
      <c r="EB2" s="5" t="s">
        <v>212</v>
      </c>
      <c r="EC2" s="5" t="s">
        <v>213</v>
      </c>
      <c r="ED2" s="5" t="s">
        <v>214</v>
      </c>
      <c r="EE2" s="5" t="s">
        <v>215</v>
      </c>
      <c r="EF2" s="5" t="s">
        <v>216</v>
      </c>
      <c r="EG2" s="5" t="s">
        <v>217</v>
      </c>
      <c r="EH2" s="5" t="s">
        <v>218</v>
      </c>
      <c r="EI2" s="5" t="s">
        <v>549</v>
      </c>
      <c r="EJ2" s="5" t="s">
        <v>217</v>
      </c>
      <c r="EK2" s="5" t="s">
        <v>550</v>
      </c>
      <c r="EL2" s="5" t="s">
        <v>218</v>
      </c>
      <c r="EM2" s="5" t="s">
        <v>380</v>
      </c>
      <c r="EN2" s="5" t="s">
        <v>393</v>
      </c>
      <c r="EO2" s="5" t="s">
        <v>219</v>
      </c>
      <c r="EP2" s="5" t="s">
        <v>220</v>
      </c>
      <c r="EQ2" s="5" t="s">
        <v>221</v>
      </c>
      <c r="ER2" s="5" t="s">
        <v>222</v>
      </c>
      <c r="ES2" s="5" t="s">
        <v>223</v>
      </c>
      <c r="ET2" s="5" t="s">
        <v>224</v>
      </c>
      <c r="EU2" s="5" t="s">
        <v>225</v>
      </c>
      <c r="EV2" s="5" t="s">
        <v>226</v>
      </c>
      <c r="EW2" s="5" t="s">
        <v>390</v>
      </c>
      <c r="EX2" s="5" t="s">
        <v>398</v>
      </c>
      <c r="EY2" s="5" t="s">
        <v>399</v>
      </c>
      <c r="EZ2" s="5" t="s">
        <v>228</v>
      </c>
      <c r="FA2" s="5" t="s">
        <v>229</v>
      </c>
      <c r="FB2" s="5" t="s">
        <v>230</v>
      </c>
      <c r="FC2" s="5" t="s">
        <v>231</v>
      </c>
      <c r="FD2" s="5" t="s">
        <v>232</v>
      </c>
      <c r="FE2" s="5" t="s">
        <v>233</v>
      </c>
      <c r="FF2" s="5" t="s">
        <v>234</v>
      </c>
      <c r="FG2" s="5" t="s">
        <v>235</v>
      </c>
      <c r="FH2" s="5" t="s">
        <v>236</v>
      </c>
      <c r="FI2" s="5" t="s">
        <v>237</v>
      </c>
      <c r="FJ2" s="5" t="s">
        <v>238</v>
      </c>
      <c r="FK2" s="5" t="s">
        <v>239</v>
      </c>
      <c r="FL2" s="5" t="s">
        <v>447</v>
      </c>
      <c r="FM2" s="5" t="s">
        <v>448</v>
      </c>
      <c r="FN2" s="5" t="s">
        <v>449</v>
      </c>
      <c r="FO2" s="5" t="s">
        <v>450</v>
      </c>
      <c r="FP2" s="5" t="s">
        <v>451</v>
      </c>
      <c r="FQ2" s="5" t="s">
        <v>452</v>
      </c>
      <c r="FR2" s="5" t="s">
        <v>453</v>
      </c>
      <c r="FS2" s="5" t="s">
        <v>454</v>
      </c>
      <c r="FT2" s="5" t="s">
        <v>240</v>
      </c>
      <c r="FU2" s="5" t="s">
        <v>241</v>
      </c>
      <c r="FV2" s="5" t="s">
        <v>242</v>
      </c>
      <c r="FW2" s="5" t="s">
        <v>243</v>
      </c>
      <c r="FX2" s="5" t="s">
        <v>455</v>
      </c>
      <c r="FY2" s="5" t="s">
        <v>456</v>
      </c>
      <c r="FZ2" s="5" t="s">
        <v>457</v>
      </c>
      <c r="GA2" s="5" t="s">
        <v>458</v>
      </c>
      <c r="GB2" s="5" t="s">
        <v>459</v>
      </c>
      <c r="GC2" s="5" t="s">
        <v>460</v>
      </c>
      <c r="GD2" s="5" t="s">
        <v>461</v>
      </c>
      <c r="GE2" s="5" t="s">
        <v>462</v>
      </c>
      <c r="GF2" s="5" t="s">
        <v>463</v>
      </c>
      <c r="GG2" s="5" t="s">
        <v>464</v>
      </c>
      <c r="GH2" s="5" t="s">
        <v>465</v>
      </c>
      <c r="GI2" s="5" t="s">
        <v>466</v>
      </c>
      <c r="GJ2" s="5" t="s">
        <v>467</v>
      </c>
      <c r="GK2" s="5" t="s">
        <v>468</v>
      </c>
      <c r="GL2" s="5" t="s">
        <v>469</v>
      </c>
      <c r="GM2" s="5" t="s">
        <v>470</v>
      </c>
      <c r="GN2" s="5" t="s">
        <v>244</v>
      </c>
      <c r="GO2" s="5" t="s">
        <v>245</v>
      </c>
      <c r="GP2" s="5" t="s">
        <v>246</v>
      </c>
      <c r="GQ2" s="5" t="s">
        <v>247</v>
      </c>
      <c r="GR2" s="5" t="s">
        <v>248</v>
      </c>
      <c r="GS2" s="5" t="s">
        <v>249</v>
      </c>
      <c r="GT2" s="5" t="s">
        <v>250</v>
      </c>
      <c r="GU2" s="5" t="s">
        <v>251</v>
      </c>
      <c r="GV2" s="5" t="s">
        <v>471</v>
      </c>
      <c r="GW2" s="5" t="s">
        <v>472</v>
      </c>
      <c r="GX2" s="5" t="s">
        <v>473</v>
      </c>
      <c r="GY2" s="5" t="s">
        <v>474</v>
      </c>
      <c r="GZ2" s="5" t="s">
        <v>475</v>
      </c>
      <c r="HA2" s="5" t="s">
        <v>476</v>
      </c>
      <c r="HB2" s="5" t="s">
        <v>477</v>
      </c>
      <c r="HC2" s="5" t="s">
        <v>478</v>
      </c>
      <c r="HD2" s="5" t="s">
        <v>479</v>
      </c>
      <c r="HE2" s="5" t="s">
        <v>480</v>
      </c>
      <c r="HF2" s="5" t="s">
        <v>481</v>
      </c>
      <c r="HG2" s="5" t="s">
        <v>482</v>
      </c>
      <c r="HH2" s="5" t="s">
        <v>252</v>
      </c>
      <c r="HI2" s="5" t="s">
        <v>255</v>
      </c>
      <c r="HJ2" s="283" t="s">
        <v>257</v>
      </c>
      <c r="HK2" s="283" t="s">
        <v>191</v>
      </c>
      <c r="HL2" s="283" t="s">
        <v>257</v>
      </c>
      <c r="HM2" s="283" t="s">
        <v>191</v>
      </c>
      <c r="HN2" s="283" t="s">
        <v>257</v>
      </c>
      <c r="HO2" s="283" t="s">
        <v>191</v>
      </c>
      <c r="HP2" s="283" t="s">
        <v>257</v>
      </c>
      <c r="HQ2" s="283" t="s">
        <v>191</v>
      </c>
      <c r="HR2" s="283" t="s">
        <v>257</v>
      </c>
      <c r="HS2" s="283" t="s">
        <v>191</v>
      </c>
      <c r="HT2" s="283" t="s">
        <v>257</v>
      </c>
      <c r="HU2" s="283" t="s">
        <v>191</v>
      </c>
      <c r="HV2" s="283" t="s">
        <v>257</v>
      </c>
      <c r="HW2" s="283" t="s">
        <v>191</v>
      </c>
      <c r="HX2" s="283" t="s">
        <v>257</v>
      </c>
      <c r="HY2" s="283" t="s">
        <v>191</v>
      </c>
      <c r="HZ2" s="283" t="s">
        <v>257</v>
      </c>
      <c r="IA2" s="283" t="s">
        <v>191</v>
      </c>
      <c r="IB2" s="283" t="s">
        <v>257</v>
      </c>
      <c r="IC2" s="283" t="s">
        <v>191</v>
      </c>
      <c r="ID2" t="s">
        <v>551</v>
      </c>
      <c r="IE2" t="s">
        <v>552</v>
      </c>
      <c r="IF2" t="s">
        <v>553</v>
      </c>
      <c r="IG2" t="s">
        <v>554</v>
      </c>
      <c r="IH2" t="s">
        <v>555</v>
      </c>
      <c r="II2" t="s">
        <v>556</v>
      </c>
      <c r="IJ2" t="s">
        <v>557</v>
      </c>
      <c r="IK2" t="s">
        <v>558</v>
      </c>
      <c r="IL2" t="s">
        <v>559</v>
      </c>
      <c r="IM2" t="s">
        <v>560</v>
      </c>
      <c r="IN2" t="s">
        <v>561</v>
      </c>
      <c r="IO2" t="s">
        <v>562</v>
      </c>
      <c r="IP2" t="s">
        <v>563</v>
      </c>
      <c r="IQ2" t="s">
        <v>564</v>
      </c>
      <c r="IR2" t="s">
        <v>565</v>
      </c>
      <c r="IS2" t="s">
        <v>566</v>
      </c>
      <c r="IT2" t="s">
        <v>567</v>
      </c>
      <c r="IU2" t="s">
        <v>568</v>
      </c>
      <c r="IV2" t="s">
        <v>569</v>
      </c>
      <c r="IW2" t="s">
        <v>570</v>
      </c>
      <c r="IX2" t="s">
        <v>571</v>
      </c>
      <c r="IY2" t="s">
        <v>572</v>
      </c>
      <c r="IZ2" t="s">
        <v>573</v>
      </c>
      <c r="JA2" t="s">
        <v>574</v>
      </c>
      <c r="JB2" t="s">
        <v>575</v>
      </c>
      <c r="JC2" t="s">
        <v>576</v>
      </c>
      <c r="JD2" t="s">
        <v>577</v>
      </c>
      <c r="JE2" t="s">
        <v>578</v>
      </c>
      <c r="JF2" t="s">
        <v>579</v>
      </c>
      <c r="JG2" t="s">
        <v>580</v>
      </c>
      <c r="JH2" t="s">
        <v>581</v>
      </c>
      <c r="JI2" t="s">
        <v>582</v>
      </c>
      <c r="JJ2" t="s">
        <v>583</v>
      </c>
      <c r="JK2" t="s">
        <v>584</v>
      </c>
      <c r="JL2" t="s">
        <v>585</v>
      </c>
      <c r="JM2" t="s">
        <v>586</v>
      </c>
      <c r="JN2" t="s">
        <v>587</v>
      </c>
      <c r="JO2" t="s">
        <v>588</v>
      </c>
      <c r="JP2" t="s">
        <v>589</v>
      </c>
      <c r="JQ2" t="s">
        <v>590</v>
      </c>
      <c r="JR2" t="s">
        <v>591</v>
      </c>
      <c r="JS2" t="s">
        <v>592</v>
      </c>
      <c r="JT2" t="s">
        <v>593</v>
      </c>
      <c r="JU2" t="s">
        <v>594</v>
      </c>
      <c r="JV2" t="s">
        <v>595</v>
      </c>
      <c r="JW2" t="s">
        <v>596</v>
      </c>
      <c r="JX2" t="s">
        <v>597</v>
      </c>
      <c r="JY2" t="s">
        <v>598</v>
      </c>
      <c r="JZ2" t="s">
        <v>599</v>
      </c>
      <c r="KA2" t="s">
        <v>600</v>
      </c>
      <c r="KB2" t="s">
        <v>601</v>
      </c>
      <c r="KC2" t="s">
        <v>602</v>
      </c>
      <c r="KD2" t="s">
        <v>603</v>
      </c>
      <c r="KE2" t="s">
        <v>604</v>
      </c>
      <c r="KF2" t="s">
        <v>605</v>
      </c>
    </row>
    <row r="3" spans="1:292">
      <c r="A3">
        <v>1</v>
      </c>
      <c r="B3" t="s">
        <v>606</v>
      </c>
      <c r="C3" t="s">
        <v>607</v>
      </c>
      <c r="D3" t="s">
        <v>608</v>
      </c>
      <c r="G3" t="s">
        <v>609</v>
      </c>
      <c r="J3">
        <v>10</v>
      </c>
      <c r="L3" t="s">
        <v>610</v>
      </c>
      <c r="P3">
        <v>70</v>
      </c>
      <c r="Q3">
        <v>30</v>
      </c>
      <c r="S3" t="s">
        <v>611</v>
      </c>
      <c r="T3">
        <v>7.5</v>
      </c>
      <c r="U3">
        <v>0</v>
      </c>
      <c r="V3">
        <v>12</v>
      </c>
      <c r="W3">
        <v>4</v>
      </c>
      <c r="X3">
        <v>4</v>
      </c>
      <c r="Y3">
        <v>4</v>
      </c>
      <c r="Z3">
        <v>4</v>
      </c>
      <c r="AB3">
        <v>10</v>
      </c>
      <c r="AD3">
        <v>0</v>
      </c>
      <c r="AE3" t="s">
        <v>369</v>
      </c>
      <c r="AF3" t="s">
        <v>610</v>
      </c>
      <c r="AG3">
        <v>0</v>
      </c>
      <c r="AH3" t="s">
        <v>610</v>
      </c>
      <c r="AI3">
        <v>0</v>
      </c>
      <c r="AJ3" t="s">
        <v>610</v>
      </c>
      <c r="AK3">
        <v>0</v>
      </c>
      <c r="AL3">
        <v>4250</v>
      </c>
      <c r="AM3">
        <v>487.875</v>
      </c>
      <c r="AR3">
        <v>12500</v>
      </c>
      <c r="AS3">
        <v>10256</v>
      </c>
      <c r="AZ3">
        <v>250</v>
      </c>
      <c r="BA3">
        <v>75</v>
      </c>
      <c r="BD3">
        <v>0.35</v>
      </c>
      <c r="BE3">
        <v>287.17500000000001</v>
      </c>
      <c r="BF3">
        <v>251.82499999999999</v>
      </c>
      <c r="BU3">
        <v>13.975</v>
      </c>
      <c r="BW3">
        <v>275</v>
      </c>
      <c r="CK3">
        <v>625</v>
      </c>
      <c r="CY3">
        <v>274.64</v>
      </c>
      <c r="DO3">
        <v>6250</v>
      </c>
      <c r="DP3">
        <v>6250</v>
      </c>
      <c r="DQ3" s="276">
        <v>41712</v>
      </c>
      <c r="DR3" t="s">
        <v>612</v>
      </c>
      <c r="DS3" t="s">
        <v>613</v>
      </c>
      <c r="DT3" s="271">
        <v>0.8125</v>
      </c>
      <c r="DU3">
        <v>1439</v>
      </c>
      <c r="DV3">
        <v>1539</v>
      </c>
      <c r="DW3">
        <v>47</v>
      </c>
      <c r="DX3">
        <v>103838</v>
      </c>
      <c r="DY3">
        <v>47995.37</v>
      </c>
      <c r="DZ3" s="224">
        <v>4074.07</v>
      </c>
      <c r="EA3" s="224">
        <v>27671.3</v>
      </c>
      <c r="EB3" s="224">
        <v>8175.93</v>
      </c>
      <c r="EC3" s="224">
        <v>310.19</v>
      </c>
      <c r="ED3" s="224">
        <v>356.48</v>
      </c>
      <c r="EE3" s="224">
        <v>7562.96</v>
      </c>
      <c r="EF3" s="224">
        <v>0</v>
      </c>
      <c r="EG3" s="224">
        <v>0</v>
      </c>
      <c r="EH3" s="224">
        <v>0</v>
      </c>
      <c r="EI3" s="224"/>
      <c r="EJ3" s="224"/>
      <c r="EK3" s="224"/>
      <c r="EL3" s="224"/>
      <c r="EM3" s="224">
        <v>0</v>
      </c>
      <c r="EN3" s="224">
        <v>7244.52</v>
      </c>
      <c r="EO3" s="224">
        <v>781</v>
      </c>
      <c r="EP3" s="224">
        <v>68</v>
      </c>
      <c r="EQ3" s="224">
        <v>427</v>
      </c>
      <c r="ER3" s="224">
        <v>130</v>
      </c>
      <c r="ES3" s="224">
        <v>5</v>
      </c>
      <c r="ET3" s="224">
        <v>7</v>
      </c>
      <c r="EU3" s="224">
        <v>121</v>
      </c>
      <c r="EV3" s="224"/>
      <c r="EW3">
        <v>0</v>
      </c>
      <c r="EX3">
        <v>0</v>
      </c>
      <c r="EY3">
        <v>0</v>
      </c>
      <c r="EZ3" s="224">
        <v>10</v>
      </c>
      <c r="FA3" s="224">
        <v>781</v>
      </c>
      <c r="FB3" s="224"/>
      <c r="FC3" s="224"/>
      <c r="FD3" s="224"/>
      <c r="FE3" s="224"/>
      <c r="FF3" s="224"/>
      <c r="FG3" s="224"/>
      <c r="FH3" s="224"/>
      <c r="FI3" s="224"/>
      <c r="FJ3" s="224"/>
      <c r="FK3" s="224"/>
      <c r="FL3" s="224"/>
      <c r="FM3" s="224"/>
      <c r="FN3" s="224"/>
      <c r="FO3" s="224"/>
      <c r="FP3" s="224"/>
      <c r="FQ3" s="224"/>
      <c r="FR3" s="224"/>
      <c r="FS3" s="224"/>
      <c r="FT3" s="224">
        <v>10</v>
      </c>
      <c r="FU3" s="224">
        <v>121</v>
      </c>
      <c r="FV3" s="224"/>
      <c r="FW3" s="224"/>
      <c r="FX3" s="224"/>
      <c r="FY3" s="224"/>
      <c r="FZ3" s="224"/>
      <c r="GA3" s="224"/>
      <c r="GB3" s="224"/>
      <c r="GC3" s="224"/>
      <c r="GD3" s="224"/>
      <c r="GE3" s="224"/>
      <c r="GF3" s="224"/>
      <c r="GG3" s="224"/>
      <c r="GH3" s="224"/>
      <c r="GI3" s="224"/>
      <c r="GJ3" s="224"/>
      <c r="GK3" s="224"/>
      <c r="GL3" s="224"/>
      <c r="GM3" s="224"/>
      <c r="GN3" s="224"/>
      <c r="GO3" s="224"/>
      <c r="GP3" s="224"/>
      <c r="GQ3" s="224"/>
      <c r="GR3" s="224"/>
      <c r="GS3" s="224"/>
      <c r="GU3" s="224"/>
      <c r="GV3" s="224"/>
      <c r="GW3" s="224"/>
      <c r="GX3" s="224"/>
      <c r="GY3" s="224"/>
      <c r="GZ3" s="224"/>
      <c r="HA3" s="224"/>
      <c r="HB3" s="224"/>
      <c r="HC3" s="224"/>
      <c r="HD3" s="224"/>
      <c r="HE3" s="224"/>
      <c r="HF3" s="224"/>
      <c r="HG3" s="224"/>
      <c r="HH3">
        <v>65.790000000000006</v>
      </c>
      <c r="HI3" s="224">
        <v>374.25</v>
      </c>
      <c r="HJ3" s="242">
        <v>75</v>
      </c>
      <c r="HK3" s="242">
        <v>1323</v>
      </c>
      <c r="HL3" s="242">
        <v>55</v>
      </c>
      <c r="HM3" s="242">
        <v>246</v>
      </c>
    </row>
    <row r="4" spans="1:292">
      <c r="A4">
        <v>2</v>
      </c>
      <c r="X4"/>
      <c r="DQ4" s="276"/>
      <c r="DZ4" s="224"/>
      <c r="EA4" s="224"/>
      <c r="EB4" s="224"/>
      <c r="EC4" s="224"/>
      <c r="ED4" s="224"/>
      <c r="EE4" s="224"/>
      <c r="EF4" s="224"/>
      <c r="EG4" s="224"/>
      <c r="EH4" s="224"/>
      <c r="EI4" s="224"/>
      <c r="EJ4" s="224"/>
      <c r="EK4" s="224"/>
      <c r="EL4" s="224"/>
      <c r="EM4" s="224"/>
      <c r="EN4" s="224"/>
      <c r="EO4" s="224"/>
      <c r="EP4" s="224"/>
      <c r="EQ4" s="224"/>
      <c r="ER4" s="224"/>
      <c r="ES4" s="224"/>
      <c r="ET4" s="224"/>
      <c r="EU4" s="224"/>
      <c r="EV4" s="224"/>
      <c r="EZ4" s="224"/>
      <c r="FA4" s="224"/>
      <c r="FB4" s="224"/>
      <c r="FC4" s="224"/>
      <c r="FD4" s="224"/>
      <c r="FE4" s="224"/>
      <c r="FF4" s="224"/>
      <c r="FG4" s="224"/>
      <c r="FH4" s="224"/>
      <c r="FI4" s="224"/>
      <c r="FJ4" s="224"/>
      <c r="FK4" s="224"/>
      <c r="FL4" s="224"/>
      <c r="FM4" s="224"/>
      <c r="FN4" s="224"/>
      <c r="FO4" s="224"/>
      <c r="FP4" s="224"/>
      <c r="FQ4" s="224"/>
      <c r="FR4" s="224"/>
      <c r="FS4" s="224"/>
      <c r="FT4" s="224"/>
      <c r="FU4" s="224"/>
      <c r="FV4" s="224"/>
      <c r="FW4" s="224"/>
      <c r="FX4" s="224"/>
      <c r="FY4" s="224"/>
      <c r="FZ4" s="224"/>
      <c r="GA4" s="224"/>
      <c r="GB4" s="224"/>
      <c r="GC4" s="224"/>
      <c r="GD4" s="224"/>
      <c r="GE4" s="224"/>
      <c r="GF4" s="224"/>
      <c r="GG4" s="224"/>
      <c r="GH4" s="224"/>
      <c r="GI4" s="224"/>
      <c r="GJ4" s="224"/>
      <c r="GK4" s="224"/>
      <c r="GL4" s="224"/>
      <c r="GM4" s="224"/>
      <c r="GN4" s="224"/>
      <c r="GO4" s="224"/>
      <c r="GP4" s="224"/>
      <c r="GQ4" s="224"/>
      <c r="GR4" s="224"/>
      <c r="GS4" s="224"/>
      <c r="GU4" s="224"/>
      <c r="GV4" s="224"/>
      <c r="GW4" s="224"/>
      <c r="GX4" s="224"/>
      <c r="GY4" s="224"/>
      <c r="GZ4" s="224"/>
      <c r="HA4" s="224"/>
      <c r="HB4" s="224"/>
      <c r="HC4" s="224"/>
      <c r="HD4" s="224"/>
      <c r="HE4" s="224"/>
      <c r="HF4" s="224"/>
      <c r="HG4" s="224"/>
    </row>
    <row r="5" spans="1:292">
      <c r="A5">
        <v>3</v>
      </c>
      <c r="X5"/>
      <c r="DQ5" s="276"/>
    </row>
    <row r="6" spans="1:292">
      <c r="A6">
        <v>4</v>
      </c>
      <c r="X6"/>
      <c r="DQ6" s="276"/>
    </row>
    <row r="7" spans="1:292">
      <c r="A7">
        <v>5</v>
      </c>
      <c r="X7"/>
      <c r="DQ7" s="276"/>
    </row>
    <row r="8" spans="1:292">
      <c r="A8">
        <v>6</v>
      </c>
      <c r="X8"/>
      <c r="DQ8" s="276"/>
    </row>
    <row r="9" spans="1:292">
      <c r="A9">
        <v>7</v>
      </c>
      <c r="X9"/>
      <c r="DQ9" s="276"/>
    </row>
    <row r="10" spans="1:292">
      <c r="A10">
        <v>8</v>
      </c>
      <c r="X10"/>
      <c r="DQ10" s="276"/>
    </row>
    <row r="11" spans="1:292">
      <c r="A11">
        <v>9</v>
      </c>
      <c r="X11"/>
      <c r="DQ11" s="276"/>
    </row>
    <row r="12" spans="1:292">
      <c r="A12">
        <v>10</v>
      </c>
      <c r="X12"/>
      <c r="DQ12" s="276"/>
    </row>
    <row r="13" spans="1:292" s="243" customFormat="1">
      <c r="A13" s="243" t="s">
        <v>188</v>
      </c>
      <c r="DR13" s="243">
        <f>COUNTA(DR3:DR12)</f>
        <v>1</v>
      </c>
      <c r="DT13" s="272"/>
      <c r="HJ13" s="244">
        <f>MAX(HJ3:HJ12,HL3:HL12,HN3:HN12,HP3:HP12,HR3:HR12,HT3:HT12,HV3:HV12,HX3:HX12,HZ3:HZ12,IB3:IB12)</f>
        <v>75</v>
      </c>
      <c r="HK13" s="244"/>
      <c r="HL13" s="244"/>
      <c r="HM13" s="244"/>
      <c r="HN13" s="244"/>
      <c r="HO13" s="244"/>
      <c r="HP13" s="244"/>
      <c r="HQ13" s="244"/>
      <c r="HR13" s="244"/>
      <c r="HS13" s="244"/>
      <c r="HT13" s="244"/>
      <c r="HU13" s="244"/>
      <c r="HV13" s="244"/>
      <c r="HW13" s="244"/>
      <c r="HX13" s="244"/>
      <c r="HY13" s="244"/>
      <c r="HZ13" s="244"/>
      <c r="IA13" s="244"/>
      <c r="IB13" s="244"/>
    </row>
    <row r="15" spans="1:292">
      <c r="A15" t="s">
        <v>371</v>
      </c>
      <c r="C15" t="s">
        <v>258</v>
      </c>
      <c r="Q15" s="223"/>
      <c r="X15"/>
      <c r="GR15" s="242"/>
      <c r="GS15" s="242"/>
      <c r="GT15" s="242"/>
      <c r="GU15" s="242"/>
      <c r="GV15" s="242"/>
      <c r="GW15" s="242"/>
      <c r="GX15" s="242"/>
      <c r="GY15" s="242"/>
      <c r="GZ15" s="242"/>
      <c r="HA15" s="242"/>
      <c r="HB15" s="242"/>
      <c r="HC15" s="242"/>
      <c r="HD15" s="242"/>
      <c r="HE15" s="242"/>
      <c r="HF15" s="242"/>
      <c r="HG15" s="242"/>
      <c r="HH15" s="242"/>
      <c r="HI15" s="242"/>
      <c r="HR15"/>
      <c r="HS15"/>
      <c r="HT15"/>
      <c r="HU15"/>
      <c r="HV15"/>
      <c r="HW15"/>
      <c r="HX15"/>
      <c r="HY15"/>
      <c r="HZ15"/>
      <c r="IA15"/>
      <c r="IB15"/>
    </row>
    <row r="16" spans="1:292">
      <c r="A16" t="s">
        <v>187</v>
      </c>
      <c r="B16" s="5" t="s">
        <v>372</v>
      </c>
      <c r="C16" s="5" t="s">
        <v>191</v>
      </c>
      <c r="V16" s="223"/>
      <c r="X16"/>
      <c r="GR16" s="242"/>
      <c r="GS16" s="242"/>
      <c r="GT16" s="242"/>
      <c r="GU16" s="242"/>
      <c r="GV16" s="242"/>
      <c r="GW16" s="242"/>
      <c r="GX16" s="242"/>
      <c r="GY16" s="242"/>
      <c r="GZ16" s="242"/>
      <c r="HA16" s="242"/>
      <c r="HB16" s="242"/>
      <c r="HC16" s="242"/>
      <c r="HD16" s="242"/>
      <c r="HE16" s="242"/>
      <c r="HF16" s="242"/>
      <c r="HG16" s="242"/>
      <c r="HH16" s="242"/>
      <c r="HI16" s="242"/>
      <c r="HR16"/>
      <c r="HS16"/>
      <c r="HT16"/>
      <c r="HU16"/>
      <c r="HV16"/>
      <c r="HW16"/>
      <c r="HX16"/>
      <c r="HY16"/>
      <c r="HZ16"/>
      <c r="IA16"/>
      <c r="IB16"/>
    </row>
    <row r="17" spans="1:236">
      <c r="A17">
        <v>1</v>
      </c>
      <c r="B17">
        <v>56377.5</v>
      </c>
      <c r="C17">
        <v>1569</v>
      </c>
      <c r="V17" s="223"/>
      <c r="X17"/>
      <c r="GR17" s="242"/>
      <c r="GS17" s="242"/>
      <c r="GT17" s="242"/>
      <c r="GU17" s="242"/>
      <c r="GV17" s="242"/>
      <c r="GW17" s="242"/>
      <c r="GX17" s="242"/>
      <c r="GY17" s="242"/>
      <c r="GZ17" s="242"/>
      <c r="HA17" s="242"/>
      <c r="HB17" s="242"/>
      <c r="HC17" s="242"/>
      <c r="HD17" s="242"/>
      <c r="HE17" s="242"/>
      <c r="HF17" s="242"/>
      <c r="HG17" s="242"/>
      <c r="HH17" s="242"/>
      <c r="HI17" s="242"/>
      <c r="HR17"/>
      <c r="HS17"/>
      <c r="HT17"/>
      <c r="HU17"/>
      <c r="HV17"/>
      <c r="HW17"/>
      <c r="HX17"/>
      <c r="HY17"/>
      <c r="HZ17"/>
      <c r="IA17"/>
      <c r="IB17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cover sheet</vt:lpstr>
      <vt:lpstr>box office</vt:lpstr>
      <vt:lpstr>summary</vt:lpstr>
      <vt:lpstr>emailinfo</vt:lpstr>
      <vt:lpstr>DBData</vt:lpstr>
      <vt:lpstr>capacity</vt:lpstr>
      <vt:lpstr>creditcardcommission</vt:lpstr>
      <vt:lpstr>grosspotential</vt:lpstr>
      <vt:lpstr>groupcommission1</vt:lpstr>
      <vt:lpstr>groupcommission2</vt:lpstr>
      <vt:lpstr>internetcommission</vt:lpstr>
      <vt:lpstr>numberofperf</vt:lpstr>
      <vt:lpstr>otherdollar</vt:lpstr>
      <vt:lpstr>otherpercentage</vt:lpstr>
      <vt:lpstr>percentofattendance</vt:lpstr>
      <vt:lpstr>phonecommission</vt:lpstr>
      <vt:lpstr>'box office'!Print_Area</vt:lpstr>
      <vt:lpstr>'cover sheet'!Print_Area</vt:lpstr>
      <vt:lpstr>summary!Print_Area</vt:lpstr>
      <vt:lpstr>'box office'!Print_Titles</vt:lpstr>
      <vt:lpstr>remotecommission</vt:lpstr>
      <vt:lpstr>singleticketcommission</vt:lpstr>
      <vt:lpstr>subcommission</vt:lpstr>
      <vt:lpstr>taxdeduction1</vt:lpstr>
      <vt:lpstr>taxdeduction2</vt:lpstr>
      <vt:lpstr>topticketprice</vt:lpstr>
      <vt:lpstr>totalattendance</vt:lpstr>
    </vt:vector>
  </TitlesOfParts>
  <Company>RAGS TO RICHE$ ENTERTAINMENT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Davenport</dc:creator>
  <cp:lastModifiedBy>nwp1</cp:lastModifiedBy>
  <cp:lastPrinted>2013-04-01T21:29:01Z</cp:lastPrinted>
  <dcterms:created xsi:type="dcterms:W3CDTF">1999-04-06T16:45:39Z</dcterms:created>
  <dcterms:modified xsi:type="dcterms:W3CDTF">2015-05-17T07:28:22Z</dcterms:modified>
</cp:coreProperties>
</file>