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s. Model" sheetId="1" r:id="rId3"/>
    <sheet state="visible" name="Salaries" sheetId="2" r:id="rId4"/>
    <sheet state="visible" name="Consulting" sheetId="3" r:id="rId5"/>
    <sheet state="visible" name="Rewards" sheetId="4" r:id="rId6"/>
  </sheets>
  <definedNames/>
  <calcPr/>
</workbook>
</file>

<file path=xl/sharedStrings.xml><?xml version="1.0" encoding="utf-8"?>
<sst xmlns="http://schemas.openxmlformats.org/spreadsheetml/2006/main" count="273" uniqueCount="176">
  <si>
    <t>CPM =</t>
  </si>
  <si>
    <t>Cost per 1,000 views</t>
  </si>
  <si>
    <t>Avg CPM</t>
  </si>
  <si>
    <t>2.32 on Google Search Network</t>
  </si>
  <si>
    <t>0.58 on Display network</t>
  </si>
  <si>
    <t>10.00-11.17 on FB ads</t>
  </si>
  <si>
    <t>5.00 on Insta</t>
  </si>
  <si>
    <t xml:space="preserve">CPC = </t>
  </si>
  <si>
    <t>Cost per click</t>
  </si>
  <si>
    <t>Avg CPC</t>
  </si>
  <si>
    <t>0.99-1.72 on FB</t>
  </si>
  <si>
    <t xml:space="preserve">CPA = </t>
  </si>
  <si>
    <t>Cost per action</t>
  </si>
  <si>
    <t>Avg CPA</t>
  </si>
  <si>
    <t>59.18 on Google advertising</t>
  </si>
  <si>
    <t>18.68 on FB</t>
  </si>
  <si>
    <t>Source:</t>
  </si>
  <si>
    <t>https://www.wordstream.com/blog/ws/2017/07/05/online-advertising-costs</t>
  </si>
  <si>
    <t>Suggestion:</t>
  </si>
  <si>
    <t>CPC</t>
  </si>
  <si>
    <t>https://blog.adstage.io/2017/09/18/facebook-cpms-increase-2017/</t>
  </si>
  <si>
    <t>Our CPC Defininition:</t>
  </si>
  <si>
    <t>Any view of the event profile</t>
  </si>
  <si>
    <t xml:space="preserve">Our CPC = </t>
  </si>
  <si>
    <t xml:space="preserve">Est. Ad Clicks/100 logins = </t>
  </si>
  <si>
    <t xml:space="preserve">Rev./login = </t>
  </si>
  <si>
    <t xml:space="preserve">(Rev/100 logins) = </t>
  </si>
  <si>
    <t xml:space="preserve">Reward payout = </t>
  </si>
  <si>
    <t xml:space="preserve">Breakeven: logins needed/reward= </t>
  </si>
  <si>
    <t>Fall 2018</t>
  </si>
  <si>
    <t>Spring 2019</t>
  </si>
  <si>
    <t>Fall 2019</t>
  </si>
  <si>
    <t>Spring 2020</t>
  </si>
  <si>
    <t>Fall 2020</t>
  </si>
  <si>
    <t>Spring 2021</t>
  </si>
  <si>
    <t>Fall 2021</t>
  </si>
  <si>
    <t>Spring 2022</t>
  </si>
  <si>
    <t>Fall 2022</t>
  </si>
  <si>
    <t>Spring 2023</t>
  </si>
  <si>
    <t>Max. Expense to us per # students</t>
  </si>
  <si>
    <t># of Students</t>
  </si>
  <si>
    <t>% of Rewards paid by us</t>
  </si>
  <si>
    <t>Semesterly Profit with CPC/# students</t>
  </si>
  <si>
    <t>Est. points gained / semester</t>
  </si>
  <si>
    <t>Est. cost / student each semester</t>
  </si>
  <si>
    <t>Reward Structure:</t>
  </si>
  <si>
    <t>(days)</t>
  </si>
  <si>
    <t>Points upon signup</t>
  </si>
  <si>
    <t>Referal</t>
  </si>
  <si>
    <t xml:space="preserve">Points/day = </t>
  </si>
  <si>
    <t>7-day streak bonus points</t>
  </si>
  <si>
    <t>14-day streak bonus points</t>
  </si>
  <si>
    <t>21-day streak bonus points</t>
  </si>
  <si>
    <t>30-day streak bonus</t>
  </si>
  <si>
    <t>45-day streak bonus</t>
  </si>
  <si>
    <t>60-day streak bonus</t>
  </si>
  <si>
    <t>75-day streak bonus</t>
  </si>
  <si>
    <t>100-day streak bonus</t>
  </si>
  <si>
    <t>Points/$10 Reward</t>
  </si>
  <si>
    <t>days:</t>
  </si>
  <si>
    <t>Points for 14 consecutive days:</t>
  </si>
  <si>
    <t>Points for 21 consecutive days</t>
  </si>
  <si>
    <t>Points for 30 consecutive days</t>
  </si>
  <si>
    <t>1 reward</t>
  </si>
  <si>
    <t>Points for 45 consecutive days</t>
  </si>
  <si>
    <t>Points for 60 consecutive days</t>
  </si>
  <si>
    <t>2 rewards</t>
  </si>
  <si>
    <t>Points for 75 consecutive days</t>
  </si>
  <si>
    <t>3 rewards</t>
  </si>
  <si>
    <t>Points for 100 consecutive days</t>
  </si>
  <si>
    <t>4 rewards</t>
  </si>
  <si>
    <t>Consecutive days for 1 reward</t>
  </si>
  <si>
    <t>Rev/Reward ratio</t>
  </si>
  <si>
    <t>(1.0 = breaking even, &gt;1 = profit, &lt;1 = loss)</t>
  </si>
  <si>
    <t xml:space="preserve">Numbers (Fall 2015): </t>
  </si>
  <si>
    <t>Number of College Students</t>
  </si>
  <si>
    <t>https://nces.ed.gov/programs/coe/indicator_csb.asp</t>
  </si>
  <si>
    <t># full-time 4-year undergrads</t>
  </si>
  <si>
    <t>$$ Spent in period</t>
  </si>
  <si>
    <t>Running Total $$ Spent</t>
  </si>
  <si>
    <t>$$ Earned in period</t>
  </si>
  <si>
    <t>Running Total $$ Earned</t>
  </si>
  <si>
    <t>Total $$ flow since inception</t>
  </si>
  <si>
    <t>2018 Fall</t>
  </si>
  <si>
    <t>2019 Spring</t>
  </si>
  <si>
    <t>2019 Fall</t>
  </si>
  <si>
    <t>2020 Spring</t>
  </si>
  <si>
    <t>2020 Fall</t>
  </si>
  <si>
    <t>2021 Spring</t>
  </si>
  <si>
    <t>2021 Fall</t>
  </si>
  <si>
    <t>2022 Spring</t>
  </si>
  <si>
    <t>2022 Fall</t>
  </si>
  <si>
    <t>2023 Spring</t>
  </si>
  <si>
    <t># Total Students</t>
  </si>
  <si>
    <t># Schools launched at</t>
  </si>
  <si>
    <t>REVENUES:</t>
  </si>
  <si>
    <t>Agnes Careers</t>
  </si>
  <si>
    <t>Annual Rev./Student, 1 company</t>
  </si>
  <si>
    <t># Companies</t>
  </si>
  <si>
    <t>Projected Revenue</t>
  </si>
  <si>
    <t>(Cost/Company)</t>
  </si>
  <si>
    <t>University Product</t>
  </si>
  <si>
    <t>Number of Universities Paying</t>
  </si>
  <si>
    <t>Cost per University</t>
  </si>
  <si>
    <t>Revenue</t>
  </si>
  <si>
    <t>Apr 2018</t>
  </si>
  <si>
    <t>May 2018</t>
  </si>
  <si>
    <t>Ad Revenue</t>
  </si>
  <si>
    <t>June 2018</t>
  </si>
  <si>
    <t>July 2018</t>
  </si>
  <si>
    <t>Aug 2018</t>
  </si>
  <si>
    <t>Sept 2018 - Dec 2018</t>
  </si>
  <si>
    <t>Jan 2019 - May 2019</t>
  </si>
  <si>
    <t>June 2019 - Aug 2019</t>
  </si>
  <si>
    <t>Sept 2019 - Dec 2019</t>
  </si>
  <si>
    <t>Jan 2020 - May 2020</t>
  </si>
  <si>
    <t>June 2020 - Aug 2020</t>
  </si>
  <si>
    <t>Sept 2020 - Dec 2020</t>
  </si>
  <si>
    <t>Jan 2021 - May 2021</t>
  </si>
  <si>
    <t>June 2021 - Aug 2021</t>
  </si>
  <si>
    <t>Clicks per student per 100 days</t>
  </si>
  <si>
    <t>Sept 2021 - Dec 2021</t>
  </si>
  <si>
    <t>Jan 2022 - May 2022</t>
  </si>
  <si>
    <t>June 2022 - Aug 2022</t>
  </si>
  <si>
    <t>Sept 2022 - Dec 2022</t>
  </si>
  <si>
    <t>Jan 2023 - May 2023</t>
  </si>
  <si>
    <t>Joe</t>
  </si>
  <si>
    <t>Bulk Data</t>
  </si>
  <si>
    <t>Conference</t>
  </si>
  <si>
    <t>TOTAL REVS</t>
  </si>
  <si>
    <t>ANNUAL TOTAL REVS</t>
  </si>
  <si>
    <t>Kai</t>
  </si>
  <si>
    <t>Arpit</t>
  </si>
  <si>
    <t>EXPENSES:</t>
  </si>
  <si>
    <t>Apr-Aug 18</t>
  </si>
  <si>
    <t>Class of 2019</t>
  </si>
  <si>
    <t>Class of 2020</t>
  </si>
  <si>
    <t>Class of 2021</t>
  </si>
  <si>
    <t>Class of 2022</t>
  </si>
  <si>
    <t>Class of 2023</t>
  </si>
  <si>
    <t>Salaries</t>
  </si>
  <si>
    <t>Kazem</t>
  </si>
  <si>
    <t>Healthcare</t>
  </si>
  <si>
    <t>Consulting (design, marketing, legal)</t>
  </si>
  <si>
    <t>Becca</t>
  </si>
  <si>
    <t>Physical Office</t>
  </si>
  <si>
    <t>Reimbursements</t>
  </si>
  <si>
    <t>Laila</t>
  </si>
  <si>
    <t>Tech/business Infrastructure</t>
  </si>
  <si>
    <t>Marketing</t>
  </si>
  <si>
    <t>In-app Rewards</t>
  </si>
  <si>
    <t>Robin</t>
  </si>
  <si>
    <t>TOTAL</t>
  </si>
  <si>
    <t>Jenn</t>
  </si>
  <si>
    <t>Summer Intern</t>
  </si>
  <si>
    <t>Marketer</t>
  </si>
  <si>
    <t>Sales</t>
  </si>
  <si>
    <t>Designer</t>
  </si>
  <si>
    <t>Dev</t>
  </si>
  <si>
    <t>HR/Accounting</t>
  </si>
  <si>
    <t>New Positions</t>
  </si>
  <si>
    <t>Devs</t>
  </si>
  <si>
    <t>Jan/Jan/Jan</t>
  </si>
  <si>
    <t>Jan/Jan</t>
  </si>
  <si>
    <t>Jan/Jan/Jan/Jan/Jan</t>
  </si>
  <si>
    <t>Marketers</t>
  </si>
  <si>
    <t>June</t>
  </si>
  <si>
    <t>Mar/Mar/Mar</t>
  </si>
  <si>
    <t>Designers</t>
  </si>
  <si>
    <t>Jan</t>
  </si>
  <si>
    <t>Feb/Feb</t>
  </si>
  <si>
    <t>Nov</t>
  </si>
  <si>
    <t>Apr/Apr</t>
  </si>
  <si>
    <t>Mar</t>
  </si>
  <si>
    <t>Sept</t>
  </si>
  <si>
    <t>Feb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</si>
</sst>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0.0"/>
    <numFmt numFmtId="166" formatCode="mmmm yyyy"/>
    <numFmt numFmtId="167" formatCode="mmm yyyy"/>
    <numFmt numFmtId="168" formatCode="&quot;$&quot;#,##0.000"/>
  </numFmts>
  <fonts count="9">
    <font>
      <sz val="10.0"/>
      <color rgb="FF000000"/>
      <name val="Arial"/>
    </font>
    <font/>
    <font>
      <b/>
    </font>
    <font>
      <b/>
      <color rgb="FF333745"/>
      <name val="&quot;Open Sans&quot;"/>
    </font>
    <font>
      <u/>
      <color rgb="FF0000FF"/>
    </font>
    <font>
      <sz val="10.0"/>
      <name val="Arial"/>
    </font>
    <font>
      <u/>
      <color rgb="FF000000"/>
      <name val="Arial"/>
    </font>
    <font>
      <u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6">
    <border/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9" xfId="0" applyAlignment="1" applyFont="1" applyNumberFormat="1">
      <alignment horizontal="center" readingOrder="0"/>
    </xf>
    <xf borderId="0" fillId="3" fontId="1" numFmtId="0" xfId="0" applyFill="1" applyFont="1"/>
    <xf borderId="0" fillId="0" fontId="1" numFmtId="0" xfId="0" applyAlignment="1" applyFont="1">
      <alignment horizontal="right" readingOrder="0"/>
    </xf>
    <xf borderId="1" fillId="0" fontId="1" numFmtId="165" xfId="0" applyAlignment="1" applyBorder="1" applyFont="1" applyNumberFormat="1">
      <alignment readingOrder="0"/>
    </xf>
    <xf borderId="0" fillId="0" fontId="2" numFmtId="0" xfId="0" applyFont="1"/>
    <xf borderId="0" fillId="0" fontId="2" numFmtId="165" xfId="0" applyFont="1" applyNumberFormat="1"/>
    <xf borderId="0" fillId="0" fontId="5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4" fontId="2" numFmtId="0" xfId="0" applyAlignment="1" applyFill="1" applyFont="1">
      <alignment horizontal="right" readingOrder="0"/>
    </xf>
    <xf borderId="0" fillId="4" fontId="1" numFmtId="164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/>
    </xf>
    <xf borderId="0" fillId="4" fontId="1" numFmtId="0" xfId="0" applyFont="1"/>
    <xf borderId="0" fillId="5" fontId="2" numFmtId="0" xfId="0" applyAlignment="1" applyFill="1" applyFont="1">
      <alignment horizontal="right" readingOrder="0"/>
    </xf>
    <xf borderId="0" fillId="5" fontId="1" numFmtId="164" xfId="0" applyAlignment="1" applyFont="1" applyNumberFormat="1">
      <alignment horizontal="center" readingOrder="0"/>
    </xf>
    <xf borderId="0" fillId="5" fontId="1" numFmtId="164" xfId="0" applyAlignment="1" applyFont="1" applyNumberFormat="1">
      <alignment horizontal="center"/>
    </xf>
    <xf borderId="0" fillId="5" fontId="1" numFmtId="0" xfId="0" applyFont="1"/>
    <xf borderId="0" fillId="6" fontId="2" numFmtId="0" xfId="0" applyAlignment="1" applyFill="1" applyFont="1">
      <alignment horizontal="right" readingOrder="0"/>
    </xf>
    <xf borderId="0" fillId="6" fontId="1" numFmtId="164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/>
    </xf>
    <xf borderId="0" fillId="6" fontId="1" numFmtId="0" xfId="0" applyFont="1"/>
    <xf borderId="0" fillId="7" fontId="2" numFmtId="0" xfId="0" applyAlignment="1" applyFill="1" applyFont="1">
      <alignment horizontal="right" readingOrder="0"/>
    </xf>
    <xf borderId="0" fillId="7" fontId="1" numFmtId="164" xfId="0" applyAlignment="1" applyFont="1" applyNumberFormat="1">
      <alignment horizontal="center"/>
    </xf>
    <xf borderId="0" fillId="7" fontId="1" numFmtId="0" xfId="0" applyFont="1"/>
    <xf borderId="2" fillId="0" fontId="2" numFmtId="0" xfId="0" applyAlignment="1" applyBorder="1" applyFont="1">
      <alignment horizontal="right" readingOrder="0"/>
    </xf>
    <xf borderId="2" fillId="0" fontId="1" numFmtId="164" xfId="0" applyAlignment="1" applyBorder="1" applyFont="1" applyNumberFormat="1">
      <alignment horizontal="center"/>
    </xf>
    <xf borderId="2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1" numFmtId="168" xfId="0" applyFont="1" applyNumberFormat="1"/>
    <xf borderId="0" fillId="0" fontId="2" numFmtId="0" xfId="0" applyAlignment="1" applyFont="1">
      <alignment horizontal="right"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0" fontId="1" numFmtId="49" xfId="0" applyAlignment="1" applyFont="1" applyNumberFormat="1">
      <alignment horizontal="center" readingOrder="0"/>
    </xf>
    <xf borderId="0" fillId="0" fontId="8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horizontal="center"/>
    </xf>
    <xf borderId="3" fillId="0" fontId="2" numFmtId="0" xfId="0" applyAlignment="1" applyBorder="1" applyFont="1">
      <alignment horizontal="right" readingOrder="0"/>
    </xf>
    <xf borderId="4" fillId="0" fontId="2" numFmtId="164" xfId="0" applyAlignment="1" applyBorder="1" applyFont="1" applyNumberFormat="1">
      <alignment horizontal="center"/>
    </xf>
    <xf borderId="5" fillId="0" fontId="1" numFmtId="0" xfId="0" applyBorder="1" applyFont="1"/>
    <xf borderId="0" fillId="0" fontId="1" numFmtId="164" xfId="0" applyAlignment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/>
    </xf>
    <xf borderId="4" fillId="0" fontId="2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8" fontId="1" numFmtId="0" xfId="0" applyFill="1" applyFont="1"/>
    <xf borderId="0" fillId="8" fontId="1" numFmtId="164" xfId="0" applyAlignment="1" applyFont="1" applyNumberFormat="1">
      <alignment horizontal="center"/>
    </xf>
    <xf borderId="0" fillId="8" fontId="1" numFmtId="164" xfId="0" applyFont="1" applyNumberForma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programs/coe/indicator_csb.as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dstream.com/blog/ws/2017/07/05/online-advertising-costs" TargetMode="External"/><Relationship Id="rId2" Type="http://schemas.openxmlformats.org/officeDocument/2006/relationships/hyperlink" Target="https://blog.adstage.io/2017/09/18/facebook-cpms-increase-2017/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29"/>
  </cols>
  <sheetData>
    <row r="1">
      <c r="A1" s="2" t="s">
        <v>74</v>
      </c>
    </row>
    <row r="2">
      <c r="A2" s="2" t="s">
        <v>75</v>
      </c>
      <c r="B2" s="20"/>
      <c r="C2" s="20">
        <v>1.99E7</v>
      </c>
      <c r="D2" s="21" t="s">
        <v>76</v>
      </c>
    </row>
    <row r="3">
      <c r="A3" s="2" t="s">
        <v>77</v>
      </c>
      <c r="B3" s="20"/>
      <c r="C3" s="20">
        <v>8100000.0</v>
      </c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22"/>
      <c r="B5" s="23">
        <v>43160.0</v>
      </c>
      <c r="C5" s="24">
        <v>43252.0</v>
      </c>
      <c r="D5" s="24">
        <v>43344.0</v>
      </c>
      <c r="E5" s="23">
        <v>43435.0</v>
      </c>
      <c r="F5" s="24">
        <v>43525.0</v>
      </c>
      <c r="G5" s="24">
        <v>43617.0</v>
      </c>
      <c r="H5" s="23">
        <v>43709.0</v>
      </c>
      <c r="I5" s="23">
        <v>43800.0</v>
      </c>
      <c r="J5" s="23">
        <v>43891.0</v>
      </c>
      <c r="K5" s="23">
        <v>43983.0</v>
      </c>
      <c r="L5" s="24">
        <v>44075.0</v>
      </c>
      <c r="M5" s="24">
        <v>44166.0</v>
      </c>
      <c r="N5" s="23">
        <v>44256.0</v>
      </c>
      <c r="O5" s="24">
        <v>44348.0</v>
      </c>
      <c r="P5" s="24">
        <v>44440.0</v>
      </c>
      <c r="Q5" s="23">
        <v>44531.0</v>
      </c>
      <c r="R5" s="23">
        <v>44621.0</v>
      </c>
      <c r="S5" s="23">
        <v>44713.0</v>
      </c>
      <c r="T5" s="23">
        <v>44805.0</v>
      </c>
      <c r="U5" s="24">
        <v>44896.0</v>
      </c>
      <c r="V5" s="23">
        <v>44986.0</v>
      </c>
      <c r="W5" s="22"/>
      <c r="X5" s="22"/>
      <c r="Y5" s="22"/>
      <c r="Z5" s="22"/>
    </row>
    <row r="6">
      <c r="A6" s="25" t="s">
        <v>78</v>
      </c>
      <c r="B6" s="26"/>
      <c r="C6" s="27">
        <f>B56*(3/5)</f>
        <v>215894.875</v>
      </c>
      <c r="D6" s="27">
        <f>(B56*(2/5))+(C56/12)</f>
        <v>249377.4861</v>
      </c>
      <c r="E6" s="27">
        <f t="shared" ref="E6:F6" si="1">$C$56*(3/12)</f>
        <v>316342.7083</v>
      </c>
      <c r="F6" s="27">
        <f t="shared" si="1"/>
        <v>316342.7083</v>
      </c>
      <c r="G6" s="27">
        <f>($C$56*(2/12))+(E56/12)</f>
        <v>451800.0868</v>
      </c>
      <c r="H6" s="27">
        <f t="shared" ref="H6:J6" si="2">$E$56*(3/12)</f>
        <v>722714.8438</v>
      </c>
      <c r="I6" s="27">
        <f t="shared" si="2"/>
        <v>722714.8438</v>
      </c>
      <c r="J6" s="27">
        <f t="shared" si="2"/>
        <v>722714.8438</v>
      </c>
      <c r="K6" s="27">
        <f>($E$56*(2/12))+(G56/12)</f>
        <v>811674.6311</v>
      </c>
      <c r="L6" s="27">
        <f t="shared" ref="L6:N6" si="3">$G$56*(3/12)</f>
        <v>989594.2057</v>
      </c>
      <c r="M6" s="27">
        <f t="shared" si="3"/>
        <v>989594.2057</v>
      </c>
      <c r="N6" s="27">
        <f t="shared" si="3"/>
        <v>989594.2057</v>
      </c>
      <c r="O6" s="27">
        <f>(G56*(2/12))+(I56*(1/12))</f>
        <v>1077474.765</v>
      </c>
      <c r="P6" s="27">
        <f t="shared" ref="P6:R6" si="4">($I$56*(3/12))</f>
        <v>1253235.885</v>
      </c>
      <c r="Q6" s="27">
        <f t="shared" si="4"/>
        <v>1253235.885</v>
      </c>
      <c r="R6" s="27">
        <f t="shared" si="4"/>
        <v>1253235.885</v>
      </c>
      <c r="S6" s="27">
        <f>($I$56*(2/12))+(K56*(1/12))</f>
        <v>1298026.614</v>
      </c>
      <c r="T6" s="27">
        <f t="shared" ref="T6:U6" si="5">$K$56*(3.5/12)</f>
        <v>1618876.085</v>
      </c>
      <c r="U6" s="27">
        <f t="shared" si="5"/>
        <v>1618876.085</v>
      </c>
      <c r="V6" s="27">
        <f>$K$56*(4/12)</f>
        <v>1850144.097</v>
      </c>
      <c r="W6" s="28"/>
      <c r="X6" s="28"/>
      <c r="Y6" s="28"/>
      <c r="Z6" s="28"/>
    </row>
    <row r="7">
      <c r="A7" s="29" t="s">
        <v>79</v>
      </c>
      <c r="B7" s="30">
        <v>1020000.0</v>
      </c>
      <c r="C7" s="31">
        <f>B7+(B56/2)</f>
        <v>1199912.396</v>
      </c>
      <c r="D7" s="31">
        <f>C7+(B56/2)</f>
        <v>1379824.792</v>
      </c>
      <c r="E7" s="31">
        <f t="shared" ref="E7:H7" si="6">D7+($C$56/4)</f>
        <v>1696167.5</v>
      </c>
      <c r="F7" s="31">
        <f t="shared" si="6"/>
        <v>2012510.208</v>
      </c>
      <c r="G7" s="31">
        <f t="shared" si="6"/>
        <v>2328852.917</v>
      </c>
      <c r="H7" s="31">
        <f t="shared" si="6"/>
        <v>2645195.625</v>
      </c>
      <c r="I7" s="31">
        <f t="shared" ref="I7:L7" si="7">H7+($E$56/4)</f>
        <v>3367910.469</v>
      </c>
      <c r="J7" s="31">
        <f t="shared" si="7"/>
        <v>4090625.313</v>
      </c>
      <c r="K7" s="31">
        <f t="shared" si="7"/>
        <v>4813340.156</v>
      </c>
      <c r="L7" s="31">
        <f t="shared" si="7"/>
        <v>5536055</v>
      </c>
      <c r="M7" s="31">
        <f t="shared" ref="M7:P7" si="8">L7+($G$56/4)</f>
        <v>6525649.206</v>
      </c>
      <c r="N7" s="31">
        <f t="shared" si="8"/>
        <v>7515243.411</v>
      </c>
      <c r="O7" s="31">
        <f t="shared" si="8"/>
        <v>8504837.617</v>
      </c>
      <c r="P7" s="31">
        <f t="shared" si="8"/>
        <v>9494431.823</v>
      </c>
      <c r="Q7" s="31">
        <f t="shared" ref="Q7:S7" si="9">P7+($I$56/4)</f>
        <v>10747667.71</v>
      </c>
      <c r="R7" s="31">
        <f t="shared" si="9"/>
        <v>12000903.59</v>
      </c>
      <c r="S7" s="31">
        <f t="shared" si="9"/>
        <v>13254139.48</v>
      </c>
      <c r="T7" s="31">
        <f t="shared" ref="T7:V7" si="10">S7+($K$56/3)</f>
        <v>15104283.57</v>
      </c>
      <c r="U7" s="31">
        <f t="shared" si="10"/>
        <v>16954427.67</v>
      </c>
      <c r="V7" s="31">
        <f t="shared" si="10"/>
        <v>18804571.77</v>
      </c>
      <c r="W7" s="32"/>
      <c r="X7" s="32"/>
      <c r="Y7" s="32"/>
      <c r="Z7" s="32"/>
    </row>
    <row r="8">
      <c r="A8" s="33" t="s">
        <v>80</v>
      </c>
      <c r="B8" s="34">
        <v>0.0</v>
      </c>
      <c r="C8" s="34">
        <v>0.0</v>
      </c>
      <c r="D8" s="34">
        <v>0.0</v>
      </c>
      <c r="E8" s="34">
        <v>0.0</v>
      </c>
      <c r="F8" s="35">
        <f>C42</f>
        <v>35000</v>
      </c>
      <c r="G8" s="34">
        <v>0.0</v>
      </c>
      <c r="H8" s="35">
        <f>E42*(1/8)</f>
        <v>155937.5</v>
      </c>
      <c r="I8" s="35">
        <f>E42*(1/8)</f>
        <v>155937.5</v>
      </c>
      <c r="J8" s="35">
        <f>E42*(3/8)</f>
        <v>467812.5</v>
      </c>
      <c r="K8" s="35">
        <f>E42*(3/8)</f>
        <v>467812.5</v>
      </c>
      <c r="L8" s="35">
        <f>G42*(1/8)</f>
        <v>2100000</v>
      </c>
      <c r="M8" s="35">
        <f>G42*(1/8)</f>
        <v>2100000</v>
      </c>
      <c r="N8" s="35">
        <f>G42*(3/8)</f>
        <v>6300000</v>
      </c>
      <c r="O8" s="35">
        <f>G42*(3/8)</f>
        <v>6300000</v>
      </c>
      <c r="P8" s="35">
        <f t="shared" ref="P8:Q8" si="11">$I$42*(1/8)</f>
        <v>7993750</v>
      </c>
      <c r="Q8" s="35">
        <f t="shared" si="11"/>
        <v>7993750</v>
      </c>
      <c r="R8" s="35">
        <f t="shared" ref="R8:S8" si="12">$I$42*(3/8)</f>
        <v>23981250</v>
      </c>
      <c r="S8" s="35">
        <f t="shared" si="12"/>
        <v>23981250</v>
      </c>
      <c r="T8" s="35">
        <f>K42*(1/8)</f>
        <v>12250000</v>
      </c>
      <c r="U8" s="35">
        <f>K42*(1/8)</f>
        <v>12250000</v>
      </c>
      <c r="V8" s="35">
        <f>K42*(4/8)</f>
        <v>49000000</v>
      </c>
      <c r="W8" s="36"/>
      <c r="X8" s="36"/>
      <c r="Y8" s="36"/>
      <c r="Z8" s="36"/>
    </row>
    <row r="9">
      <c r="A9" s="37" t="s">
        <v>81</v>
      </c>
      <c r="B9" s="38">
        <f t="shared" ref="B9:V9" si="13">SUM($B$8:B8)</f>
        <v>0</v>
      </c>
      <c r="C9" s="38">
        <f t="shared" si="13"/>
        <v>0</v>
      </c>
      <c r="D9" s="38">
        <f t="shared" si="13"/>
        <v>0</v>
      </c>
      <c r="E9" s="38">
        <f t="shared" si="13"/>
        <v>0</v>
      </c>
      <c r="F9" s="38">
        <f t="shared" si="13"/>
        <v>35000</v>
      </c>
      <c r="G9" s="38">
        <f t="shared" si="13"/>
        <v>35000</v>
      </c>
      <c r="H9" s="38">
        <f t="shared" si="13"/>
        <v>190937.5</v>
      </c>
      <c r="I9" s="38">
        <f t="shared" si="13"/>
        <v>346875</v>
      </c>
      <c r="J9" s="38">
        <f t="shared" si="13"/>
        <v>814687.5</v>
      </c>
      <c r="K9" s="38">
        <f t="shared" si="13"/>
        <v>1282500</v>
      </c>
      <c r="L9" s="38">
        <f t="shared" si="13"/>
        <v>3382500</v>
      </c>
      <c r="M9" s="38">
        <f t="shared" si="13"/>
        <v>5482500</v>
      </c>
      <c r="N9" s="38">
        <f t="shared" si="13"/>
        <v>11782500</v>
      </c>
      <c r="O9" s="38">
        <f t="shared" si="13"/>
        <v>18082500</v>
      </c>
      <c r="P9" s="38">
        <f t="shared" si="13"/>
        <v>26076250</v>
      </c>
      <c r="Q9" s="38">
        <f t="shared" si="13"/>
        <v>34070000</v>
      </c>
      <c r="R9" s="38">
        <f t="shared" si="13"/>
        <v>58051250</v>
      </c>
      <c r="S9" s="38">
        <f t="shared" si="13"/>
        <v>82032500</v>
      </c>
      <c r="T9" s="38">
        <f t="shared" si="13"/>
        <v>94282500</v>
      </c>
      <c r="U9" s="38">
        <f t="shared" si="13"/>
        <v>106532500</v>
      </c>
      <c r="V9" s="38">
        <f t="shared" si="13"/>
        <v>155532500</v>
      </c>
      <c r="W9" s="39"/>
      <c r="X9" s="39"/>
      <c r="Y9" s="39"/>
      <c r="Z9" s="39"/>
    </row>
    <row r="10">
      <c r="A10" s="40" t="s">
        <v>82</v>
      </c>
      <c r="B10" s="41">
        <f t="shared" ref="B10:V10" si="14">B9-B7</f>
        <v>-1020000</v>
      </c>
      <c r="C10" s="41">
        <f t="shared" si="14"/>
        <v>-1199912.396</v>
      </c>
      <c r="D10" s="41">
        <f t="shared" si="14"/>
        <v>-1379824.792</v>
      </c>
      <c r="E10" s="41">
        <f t="shared" si="14"/>
        <v>-1696167.5</v>
      </c>
      <c r="F10" s="41">
        <f t="shared" si="14"/>
        <v>-1977510.208</v>
      </c>
      <c r="G10" s="41">
        <f t="shared" si="14"/>
        <v>-2293852.917</v>
      </c>
      <c r="H10" s="41">
        <f t="shared" si="14"/>
        <v>-2454258.125</v>
      </c>
      <c r="I10" s="41">
        <f t="shared" si="14"/>
        <v>-3021035.469</v>
      </c>
      <c r="J10" s="41">
        <f t="shared" si="14"/>
        <v>-3275937.813</v>
      </c>
      <c r="K10" s="41">
        <f t="shared" si="14"/>
        <v>-3530840.156</v>
      </c>
      <c r="L10" s="41">
        <f t="shared" si="14"/>
        <v>-2153555</v>
      </c>
      <c r="M10" s="41">
        <f t="shared" si="14"/>
        <v>-1043149.206</v>
      </c>
      <c r="N10" s="41">
        <f t="shared" si="14"/>
        <v>4267256.589</v>
      </c>
      <c r="O10" s="41">
        <f t="shared" si="14"/>
        <v>9577662.383</v>
      </c>
      <c r="P10" s="41">
        <f t="shared" si="14"/>
        <v>16581818.18</v>
      </c>
      <c r="Q10" s="41">
        <f t="shared" si="14"/>
        <v>23322332.29</v>
      </c>
      <c r="R10" s="41">
        <f t="shared" si="14"/>
        <v>46050346.41</v>
      </c>
      <c r="S10" s="41">
        <f t="shared" si="14"/>
        <v>68778360.52</v>
      </c>
      <c r="T10" s="41">
        <f t="shared" si="14"/>
        <v>79178216.43</v>
      </c>
      <c r="U10" s="41">
        <f t="shared" si="14"/>
        <v>89578072.33</v>
      </c>
      <c r="V10" s="41">
        <f t="shared" si="14"/>
        <v>136727928.2</v>
      </c>
      <c r="W10" s="42"/>
      <c r="X10" s="42"/>
      <c r="Y10" s="42"/>
      <c r="Z10" s="42"/>
    </row>
    <row r="14">
      <c r="B14" s="3"/>
      <c r="C14" s="3" t="s">
        <v>83</v>
      </c>
      <c r="D14" s="3" t="s">
        <v>84</v>
      </c>
      <c r="E14" s="3" t="s">
        <v>85</v>
      </c>
      <c r="F14" s="3" t="s">
        <v>86</v>
      </c>
      <c r="G14" s="3" t="s">
        <v>87</v>
      </c>
      <c r="H14" s="3" t="s">
        <v>88</v>
      </c>
      <c r="I14" s="3" t="s">
        <v>89</v>
      </c>
      <c r="J14" s="3" t="s">
        <v>90</v>
      </c>
      <c r="K14" s="3" t="s">
        <v>91</v>
      </c>
      <c r="L14" s="3" t="s">
        <v>92</v>
      </c>
    </row>
    <row r="15">
      <c r="A15" s="15" t="s">
        <v>93</v>
      </c>
      <c r="B15" s="20"/>
      <c r="C15" s="20">
        <v>5000.0</v>
      </c>
      <c r="D15" s="20">
        <v>7000.0</v>
      </c>
      <c r="E15" s="20">
        <v>50000.0</v>
      </c>
      <c r="F15" s="20">
        <v>70000.0</v>
      </c>
      <c r="G15" s="20">
        <v>500000.0</v>
      </c>
      <c r="H15" s="20">
        <v>600000.0</v>
      </c>
      <c r="I15" s="20">
        <v>2000000.0</v>
      </c>
      <c r="J15" s="20">
        <v>2500000.0</v>
      </c>
      <c r="K15" s="20">
        <v>4000000.0</v>
      </c>
      <c r="L15" s="20">
        <v>4000000.0</v>
      </c>
    </row>
    <row r="16">
      <c r="A16" s="43" t="s">
        <v>94</v>
      </c>
      <c r="B16" s="2"/>
      <c r="C16" s="2">
        <v>4.0</v>
      </c>
      <c r="D16" s="2">
        <v>4.0</v>
      </c>
      <c r="E16" s="2">
        <v>25.0</v>
      </c>
      <c r="F16" s="2">
        <v>25.0</v>
      </c>
      <c r="G16" s="2">
        <v>200.0</v>
      </c>
      <c r="H16" s="2">
        <v>200.0</v>
      </c>
      <c r="I16" s="2">
        <v>400.0</v>
      </c>
      <c r="J16" s="2">
        <v>400.0</v>
      </c>
      <c r="K16" s="2">
        <v>800.0</v>
      </c>
      <c r="L16" s="2">
        <v>800.0</v>
      </c>
    </row>
    <row r="18" ht="15.0" customHeight="1">
      <c r="A18" s="4"/>
    </row>
    <row r="19" ht="15.0" customHeight="1">
      <c r="A19" s="44" t="s">
        <v>95</v>
      </c>
    </row>
    <row r="20">
      <c r="A20" s="4" t="s">
        <v>96</v>
      </c>
    </row>
    <row r="21">
      <c r="A21" s="2" t="s">
        <v>97</v>
      </c>
      <c r="B21" s="45"/>
      <c r="C21" s="45">
        <f t="shared" ref="C21:D21" si="15">0.02</f>
        <v>0.02</v>
      </c>
      <c r="D21" s="45">
        <f t="shared" si="15"/>
        <v>0.02</v>
      </c>
      <c r="E21" s="45">
        <f t="shared" ref="E21:H21" si="16">0.05</f>
        <v>0.05</v>
      </c>
      <c r="F21" s="45">
        <f t="shared" si="16"/>
        <v>0.05</v>
      </c>
      <c r="G21" s="45">
        <f t="shared" si="16"/>
        <v>0.05</v>
      </c>
      <c r="H21" s="45">
        <f t="shared" si="16"/>
        <v>0.05</v>
      </c>
      <c r="I21" s="45">
        <f>0.025</f>
        <v>0.025</v>
      </c>
      <c r="J21" s="45">
        <f>0.02</f>
        <v>0.02</v>
      </c>
      <c r="K21" s="45">
        <f t="shared" ref="K21:L21" si="17">0.0125</f>
        <v>0.0125</v>
      </c>
      <c r="L21" s="45">
        <f t="shared" si="17"/>
        <v>0.0125</v>
      </c>
    </row>
    <row r="22">
      <c r="A22" s="2" t="s">
        <v>98</v>
      </c>
      <c r="B22" s="2"/>
      <c r="C22" s="2">
        <v>0.0</v>
      </c>
      <c r="D22" s="2">
        <v>0.0</v>
      </c>
      <c r="E22" s="2">
        <v>15.0</v>
      </c>
      <c r="F22" s="2">
        <v>50.0</v>
      </c>
      <c r="G22" s="2">
        <v>100.0</v>
      </c>
      <c r="H22" s="2">
        <v>150.0</v>
      </c>
      <c r="I22" s="2">
        <v>250.0</v>
      </c>
      <c r="J22" s="2">
        <v>250.0</v>
      </c>
      <c r="K22" s="2">
        <v>250.0</v>
      </c>
      <c r="L22" s="2">
        <v>250.0</v>
      </c>
    </row>
    <row r="23">
      <c r="A23" s="46" t="s">
        <v>99</v>
      </c>
      <c r="B23" s="47"/>
      <c r="C23" s="47">
        <f t="shared" ref="C23:L23" si="18">C21*C15*C22</f>
        <v>0</v>
      </c>
      <c r="D23" s="47">
        <f t="shared" si="18"/>
        <v>0</v>
      </c>
      <c r="E23" s="47">
        <f t="shared" si="18"/>
        <v>37500</v>
      </c>
      <c r="F23" s="47">
        <f t="shared" si="18"/>
        <v>175000</v>
      </c>
      <c r="G23" s="47">
        <f t="shared" si="18"/>
        <v>2500000</v>
      </c>
      <c r="H23" s="47">
        <f t="shared" si="18"/>
        <v>4500000</v>
      </c>
      <c r="I23" s="47">
        <f t="shared" si="18"/>
        <v>12500000</v>
      </c>
      <c r="J23" s="47">
        <f t="shared" si="18"/>
        <v>12500000</v>
      </c>
      <c r="K23" s="47">
        <f t="shared" si="18"/>
        <v>12500000</v>
      </c>
      <c r="L23" s="47">
        <f t="shared" si="18"/>
        <v>12500000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5" t="s">
        <v>100</v>
      </c>
      <c r="B24" s="48"/>
      <c r="C24" s="48">
        <v>0.0</v>
      </c>
      <c r="D24" s="48">
        <v>0.0</v>
      </c>
      <c r="E24" s="49">
        <f t="shared" ref="E24:L24" si="19">E23/E22</f>
        <v>2500</v>
      </c>
      <c r="F24" s="49">
        <f t="shared" si="19"/>
        <v>3500</v>
      </c>
      <c r="G24" s="49">
        <f t="shared" si="19"/>
        <v>25000</v>
      </c>
      <c r="H24" s="49">
        <f t="shared" si="19"/>
        <v>30000</v>
      </c>
      <c r="I24" s="49">
        <f t="shared" si="19"/>
        <v>50000</v>
      </c>
      <c r="J24" s="49">
        <f t="shared" si="19"/>
        <v>50000</v>
      </c>
      <c r="K24" s="49">
        <f t="shared" si="19"/>
        <v>50000</v>
      </c>
      <c r="L24" s="49">
        <f t="shared" si="19"/>
        <v>50000</v>
      </c>
    </row>
    <row r="26">
      <c r="A26" s="4" t="s">
        <v>101</v>
      </c>
    </row>
    <row r="27">
      <c r="A27" s="2" t="s">
        <v>102</v>
      </c>
      <c r="B27" s="2"/>
      <c r="C27" s="2">
        <v>0.0</v>
      </c>
      <c r="D27" s="2">
        <v>0.0</v>
      </c>
      <c r="E27" s="2">
        <v>10.0</v>
      </c>
      <c r="F27" s="2">
        <v>11.0</v>
      </c>
      <c r="G27" s="2">
        <v>50.0</v>
      </c>
      <c r="H27" s="2">
        <v>55.0</v>
      </c>
      <c r="I27" s="2">
        <v>200.0</v>
      </c>
      <c r="J27" s="2">
        <v>220.0</v>
      </c>
      <c r="K27" s="2">
        <v>400.0</v>
      </c>
      <c r="L27" s="2">
        <v>400.0</v>
      </c>
    </row>
    <row r="28">
      <c r="A28" s="2" t="s">
        <v>103</v>
      </c>
      <c r="B28" s="11"/>
      <c r="C28" s="11">
        <v>10000.0</v>
      </c>
      <c r="D28" s="11">
        <v>10000.0</v>
      </c>
      <c r="E28" s="11">
        <v>10000.0</v>
      </c>
      <c r="F28" s="11">
        <v>10000.0</v>
      </c>
      <c r="G28" s="11">
        <v>10000.0</v>
      </c>
      <c r="H28" s="11">
        <v>10000.0</v>
      </c>
      <c r="I28" s="11">
        <v>10000.0</v>
      </c>
      <c r="J28" s="11">
        <v>10000.0</v>
      </c>
      <c r="K28" s="11">
        <v>10000.0</v>
      </c>
      <c r="L28" s="11">
        <v>10000.0</v>
      </c>
    </row>
    <row r="29">
      <c r="A29" s="46" t="s">
        <v>104</v>
      </c>
      <c r="B29" s="17"/>
      <c r="C29" s="50">
        <f t="shared" ref="C29:L29" si="20">C27*C28</f>
        <v>0</v>
      </c>
      <c r="D29" s="50">
        <f t="shared" si="20"/>
        <v>0</v>
      </c>
      <c r="E29" s="50">
        <f t="shared" si="20"/>
        <v>100000</v>
      </c>
      <c r="F29" s="50">
        <f t="shared" si="20"/>
        <v>110000</v>
      </c>
      <c r="G29" s="50">
        <f t="shared" si="20"/>
        <v>500000</v>
      </c>
      <c r="H29" s="50">
        <f t="shared" si="20"/>
        <v>550000</v>
      </c>
      <c r="I29" s="50">
        <f t="shared" si="20"/>
        <v>2000000</v>
      </c>
      <c r="J29" s="50">
        <f t="shared" si="20"/>
        <v>2200000</v>
      </c>
      <c r="K29" s="50">
        <f t="shared" si="20"/>
        <v>4000000</v>
      </c>
      <c r="L29" s="50">
        <f t="shared" si="20"/>
        <v>4000000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1">
      <c r="A31" s="4" t="s">
        <v>107</v>
      </c>
    </row>
    <row r="32">
      <c r="A32" s="2" t="s">
        <v>19</v>
      </c>
      <c r="B32" s="11"/>
      <c r="C32" s="11">
        <v>0.5</v>
      </c>
      <c r="D32" s="11">
        <v>0.5</v>
      </c>
      <c r="E32" s="11">
        <v>0.5</v>
      </c>
      <c r="F32" s="11">
        <v>0.5</v>
      </c>
      <c r="G32" s="11">
        <v>0.5</v>
      </c>
      <c r="H32" s="11">
        <v>0.5</v>
      </c>
      <c r="I32" s="11">
        <v>0.5</v>
      </c>
      <c r="J32" s="11">
        <v>0.5</v>
      </c>
      <c r="K32" s="11">
        <v>0.5</v>
      </c>
      <c r="L32" s="11">
        <v>0.5</v>
      </c>
    </row>
    <row r="33">
      <c r="A33" s="2" t="s">
        <v>120</v>
      </c>
      <c r="B33" s="2"/>
      <c r="C33" s="2">
        <v>0.0</v>
      </c>
      <c r="D33" s="2">
        <v>10.0</v>
      </c>
      <c r="E33" s="2">
        <v>12.0</v>
      </c>
      <c r="F33" s="2">
        <v>15.0</v>
      </c>
      <c r="G33" s="2">
        <v>15.0</v>
      </c>
      <c r="H33" s="2">
        <v>15.0</v>
      </c>
      <c r="I33" s="2">
        <v>15.0</v>
      </c>
      <c r="J33" s="2">
        <v>15.0</v>
      </c>
      <c r="K33" s="2">
        <v>15.0</v>
      </c>
      <c r="L33" s="2">
        <v>15.0</v>
      </c>
    </row>
    <row r="34">
      <c r="A34" s="46" t="s">
        <v>104</v>
      </c>
      <c r="B34" s="17"/>
      <c r="C34" s="50">
        <f t="shared" ref="C34:L34" si="21">C32*C33*C15</f>
        <v>0</v>
      </c>
      <c r="D34" s="50">
        <f t="shared" si="21"/>
        <v>35000</v>
      </c>
      <c r="E34" s="50">
        <f t="shared" si="21"/>
        <v>300000</v>
      </c>
      <c r="F34" s="50">
        <f t="shared" si="21"/>
        <v>525000</v>
      </c>
      <c r="G34" s="50">
        <f t="shared" si="21"/>
        <v>3750000</v>
      </c>
      <c r="H34" s="50">
        <f t="shared" si="21"/>
        <v>4500000</v>
      </c>
      <c r="I34" s="50">
        <f t="shared" si="21"/>
        <v>15000000</v>
      </c>
      <c r="J34" s="50">
        <f t="shared" si="21"/>
        <v>18750000</v>
      </c>
      <c r="K34" s="50">
        <f t="shared" si="21"/>
        <v>30000000</v>
      </c>
      <c r="L34" s="50">
        <f t="shared" si="21"/>
        <v>30000000</v>
      </c>
    </row>
    <row r="36">
      <c r="A36" s="4" t="s">
        <v>127</v>
      </c>
    </row>
    <row r="37">
      <c r="A37" s="46" t="s">
        <v>104</v>
      </c>
      <c r="G37" s="54">
        <v>500000.0</v>
      </c>
      <c r="H37" s="17"/>
      <c r="I37" s="55">
        <v>1000000.0</v>
      </c>
      <c r="J37" s="17"/>
      <c r="K37" s="55">
        <v>5000000.0</v>
      </c>
    </row>
    <row r="39">
      <c r="A39" s="4" t="s">
        <v>128</v>
      </c>
    </row>
    <row r="40">
      <c r="A40" s="46" t="s">
        <v>104</v>
      </c>
      <c r="K40" s="54"/>
    </row>
    <row r="41">
      <c r="A41" s="46" t="s">
        <v>129</v>
      </c>
      <c r="C41" s="56">
        <f t="shared" ref="C41:L41" si="22">C23+C29+C34+C37+C40</f>
        <v>0</v>
      </c>
      <c r="D41" s="56">
        <f t="shared" si="22"/>
        <v>35000</v>
      </c>
      <c r="E41" s="56">
        <f t="shared" si="22"/>
        <v>437500</v>
      </c>
      <c r="F41" s="56">
        <f t="shared" si="22"/>
        <v>810000</v>
      </c>
      <c r="G41" s="56">
        <f t="shared" si="22"/>
        <v>7250000</v>
      </c>
      <c r="H41" s="56">
        <f t="shared" si="22"/>
        <v>9550000</v>
      </c>
      <c r="I41" s="56">
        <f t="shared" si="22"/>
        <v>30500000</v>
      </c>
      <c r="J41" s="56">
        <f t="shared" si="22"/>
        <v>33450000</v>
      </c>
      <c r="K41" s="56">
        <f t="shared" si="22"/>
        <v>51500000</v>
      </c>
      <c r="L41" s="56">
        <f t="shared" si="22"/>
        <v>46500000</v>
      </c>
    </row>
    <row r="42">
      <c r="A42" s="57" t="s">
        <v>130</v>
      </c>
      <c r="C42" s="58">
        <f>SUM(C41:D41)</f>
        <v>35000</v>
      </c>
      <c r="D42" s="59"/>
      <c r="E42" s="58">
        <f>SUM(E41:F41)</f>
        <v>1247500</v>
      </c>
      <c r="F42" s="59"/>
      <c r="G42" s="58">
        <f>SUM(G41:H41)</f>
        <v>16800000</v>
      </c>
      <c r="H42" s="59"/>
      <c r="I42" s="58">
        <f>SUM(I41:J41)</f>
        <v>63950000</v>
      </c>
      <c r="J42" s="59"/>
      <c r="K42" s="58">
        <f>SUM(K41:L41)</f>
        <v>98000000</v>
      </c>
      <c r="L42" s="59"/>
    </row>
    <row r="47">
      <c r="A47" s="44" t="s">
        <v>133</v>
      </c>
      <c r="B47" s="3" t="s">
        <v>134</v>
      </c>
      <c r="C47" s="3" t="s">
        <v>135</v>
      </c>
      <c r="E47" s="3" t="s">
        <v>136</v>
      </c>
      <c r="G47" s="3" t="s">
        <v>137</v>
      </c>
      <c r="I47" s="3" t="s">
        <v>138</v>
      </c>
      <c r="K47" s="3" t="s">
        <v>139</v>
      </c>
    </row>
    <row r="48">
      <c r="A48" s="2" t="s">
        <v>140</v>
      </c>
      <c r="B48" s="53">
        <f>SUM(Salaries!B60:F60)</f>
        <v>240459.8333</v>
      </c>
      <c r="C48" s="53">
        <f>SUM(Salaries!G60:H60)</f>
        <v>755816.6667</v>
      </c>
      <c r="E48" s="53">
        <f>SUM(Salaries!I60:K60)</f>
        <v>1829487.5</v>
      </c>
      <c r="G48" s="53">
        <f>SUM(Salaries!L60:N60)</f>
        <v>2696301.458</v>
      </c>
      <c r="I48" s="53">
        <f>SUM(Salaries!O60:Q60)</f>
        <v>3445554.031</v>
      </c>
      <c r="K48" s="53">
        <f>SUM(Salaries!R60:T60)</f>
        <v>3829144.233</v>
      </c>
    </row>
    <row r="49">
      <c r="A49" s="2" t="s">
        <v>142</v>
      </c>
      <c r="B49" s="53">
        <f t="shared" ref="B49:C49" si="23">B48*0.25</f>
        <v>60114.95833</v>
      </c>
      <c r="C49" s="53">
        <f t="shared" si="23"/>
        <v>188954.1667</v>
      </c>
      <c r="E49" s="53">
        <f>E48*0.25</f>
        <v>457371.875</v>
      </c>
      <c r="G49" s="53">
        <f>G48*0.25</f>
        <v>674075.3646</v>
      </c>
      <c r="I49" s="53">
        <f>I48*0.25</f>
        <v>861388.5078</v>
      </c>
      <c r="K49" s="53">
        <f>K48*0.25</f>
        <v>957286.0582</v>
      </c>
    </row>
    <row r="50">
      <c r="A50" s="2" t="s">
        <v>143</v>
      </c>
      <c r="B50" s="53">
        <f>(600*20)+(800*20)</f>
        <v>28000</v>
      </c>
      <c r="C50" s="60">
        <v>20000.0</v>
      </c>
      <c r="E50" s="60">
        <v>50000.0</v>
      </c>
      <c r="G50" s="60">
        <v>100000.0</v>
      </c>
      <c r="I50" s="60">
        <v>100001.0</v>
      </c>
      <c r="K50" s="60">
        <v>100002.0</v>
      </c>
    </row>
    <row r="51">
      <c r="A51" s="2" t="s">
        <v>145</v>
      </c>
      <c r="B51" s="60">
        <f>2250*5</f>
        <v>11250</v>
      </c>
      <c r="C51" s="60">
        <f>7500*12</f>
        <v>90000</v>
      </c>
      <c r="E51" s="60">
        <f>12500*12</f>
        <v>150000</v>
      </c>
      <c r="G51" s="60">
        <f>20000*12</f>
        <v>240000</v>
      </c>
      <c r="I51" s="53">
        <f>25000*12</f>
        <v>300000</v>
      </c>
      <c r="K51" s="53">
        <f>25000*12</f>
        <v>300000</v>
      </c>
    </row>
    <row r="52">
      <c r="A52" s="2" t="s">
        <v>146</v>
      </c>
      <c r="B52" s="53">
        <f>2500*5</f>
        <v>12500</v>
      </c>
      <c r="C52" s="53">
        <f>4000*12</f>
        <v>48000</v>
      </c>
      <c r="E52" s="53">
        <f>6000*12</f>
        <v>72000</v>
      </c>
      <c r="G52" s="53">
        <f>8000*12</f>
        <v>96000</v>
      </c>
      <c r="I52" s="53">
        <f>10000*12</f>
        <v>120000</v>
      </c>
      <c r="K52" s="53">
        <f>12000*12</f>
        <v>144000</v>
      </c>
    </row>
    <row r="53">
      <c r="A53" s="2" t="s">
        <v>148</v>
      </c>
      <c r="B53" s="53">
        <f>500*5</f>
        <v>2500</v>
      </c>
      <c r="C53" s="53">
        <f>1000*12</f>
        <v>12000</v>
      </c>
      <c r="E53" s="53">
        <f>4000*12</f>
        <v>48000</v>
      </c>
      <c r="G53" s="53">
        <f>6000*12</f>
        <v>72000</v>
      </c>
      <c r="I53" s="53">
        <f>8000*12</f>
        <v>96000</v>
      </c>
      <c r="K53" s="53">
        <f>10000*12</f>
        <v>120000</v>
      </c>
    </row>
    <row r="54">
      <c r="A54" s="2" t="s">
        <v>149</v>
      </c>
      <c r="B54" s="60">
        <v>5000.0</v>
      </c>
      <c r="C54" s="60">
        <v>15000.0</v>
      </c>
      <c r="E54" s="60">
        <v>50000.0</v>
      </c>
      <c r="G54" s="60">
        <v>80000.0</v>
      </c>
      <c r="I54" s="60">
        <v>90000.0</v>
      </c>
      <c r="K54" s="60">
        <v>100000.0</v>
      </c>
    </row>
    <row r="55">
      <c r="A55" s="2" t="s">
        <v>150</v>
      </c>
      <c r="B55" s="60">
        <v>0.0</v>
      </c>
      <c r="C55" s="53">
        <f>((Rewards!$B$17*C15)*Rewards!G14)+((Rewards!$B$17*D15)*Rewards!H14)</f>
        <v>135600</v>
      </c>
      <c r="E55" s="53">
        <f>((Rewards!$B$17*E15)*Rewards!I14)+((Rewards!$B$17*F15)*Rewards!J14)</f>
        <v>234000</v>
      </c>
      <c r="G55" s="53">
        <f>((Rewards!$B$17*G15)*Rewards!K14)+((Rewards!$B$17*H15)*Rewards!L14)</f>
        <v>0</v>
      </c>
      <c r="I55" s="53">
        <f>((Rewards!$B$17*I15)*Rewards!M14)+((Rewards!$B$17*J15)*Rewards!N14)</f>
        <v>0</v>
      </c>
      <c r="K55" s="53">
        <f>((Rewards!$B$17*K15)*Rewards!O14)+((Rewards!$B$17*L15)*Rewards!P14)</f>
        <v>0</v>
      </c>
    </row>
    <row r="56">
      <c r="A56" s="57" t="s">
        <v>152</v>
      </c>
      <c r="B56" s="61">
        <f>SUM(B48:B55)</f>
        <v>359824.7917</v>
      </c>
      <c r="C56" s="62">
        <f>SUM(C48:D55)</f>
        <v>1265370.833</v>
      </c>
      <c r="D56" s="59"/>
      <c r="E56" s="62">
        <f>SUM(E48:F55)</f>
        <v>2890859.375</v>
      </c>
      <c r="F56" s="59"/>
      <c r="G56" s="62">
        <f>SUM(G48:H55)</f>
        <v>3958376.823</v>
      </c>
      <c r="H56" s="59"/>
      <c r="I56" s="62">
        <f>SUM(I48:J55)</f>
        <v>5012943.539</v>
      </c>
      <c r="J56" s="59"/>
      <c r="K56" s="62">
        <f>SUM(K48:L55)</f>
        <v>5550432.291</v>
      </c>
      <c r="L56" s="5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</sheetData>
  <mergeCells count="55">
    <mergeCell ref="G48:H48"/>
    <mergeCell ref="I48:J48"/>
    <mergeCell ref="K48:L48"/>
    <mergeCell ref="E48:F48"/>
    <mergeCell ref="C48:D48"/>
    <mergeCell ref="K47:L47"/>
    <mergeCell ref="I47:J47"/>
    <mergeCell ref="C47:D47"/>
    <mergeCell ref="C42:D42"/>
    <mergeCell ref="E42:F42"/>
    <mergeCell ref="G42:H42"/>
    <mergeCell ref="I42:J42"/>
    <mergeCell ref="K42:L42"/>
    <mergeCell ref="E47:F47"/>
    <mergeCell ref="G47:H47"/>
    <mergeCell ref="E55:F55"/>
    <mergeCell ref="E56:F56"/>
    <mergeCell ref="K55:L55"/>
    <mergeCell ref="K56:L56"/>
    <mergeCell ref="I55:J55"/>
    <mergeCell ref="I56:J56"/>
    <mergeCell ref="G55:H55"/>
    <mergeCell ref="G56:H56"/>
    <mergeCell ref="G54:H54"/>
    <mergeCell ref="I54:J54"/>
    <mergeCell ref="K54:L54"/>
    <mergeCell ref="G52:H52"/>
    <mergeCell ref="I52:J52"/>
    <mergeCell ref="C54:D54"/>
    <mergeCell ref="C55:D55"/>
    <mergeCell ref="C53:D53"/>
    <mergeCell ref="C52:D52"/>
    <mergeCell ref="E54:F54"/>
    <mergeCell ref="E53:F53"/>
    <mergeCell ref="C56:D56"/>
    <mergeCell ref="E52:F52"/>
    <mergeCell ref="E51:F51"/>
    <mergeCell ref="C51:D51"/>
    <mergeCell ref="E50:F50"/>
    <mergeCell ref="E49:F49"/>
    <mergeCell ref="C50:D50"/>
    <mergeCell ref="C49:D49"/>
    <mergeCell ref="I51:J51"/>
    <mergeCell ref="G51:H51"/>
    <mergeCell ref="K50:L50"/>
    <mergeCell ref="K49:L49"/>
    <mergeCell ref="I49:J49"/>
    <mergeCell ref="G49:H49"/>
    <mergeCell ref="K51:L51"/>
    <mergeCell ref="G53:H53"/>
    <mergeCell ref="K52:L52"/>
    <mergeCell ref="K53:L53"/>
    <mergeCell ref="I53:J53"/>
    <mergeCell ref="I50:J50"/>
    <mergeCell ref="G50:H50"/>
  </mergeCells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7" max="16" width="19.14"/>
    <col customWidth="1" min="17" max="17" width="18.57"/>
    <col customWidth="1" min="18" max="18" width="19.43"/>
    <col customWidth="1" min="19" max="19" width="19.14"/>
    <col customWidth="1" min="20" max="20" width="18.57"/>
  </cols>
  <sheetData>
    <row r="1" ht="8.25" customHeight="1">
      <c r="B1" s="51"/>
      <c r="C1" s="51"/>
      <c r="D1" s="51"/>
      <c r="E1" s="51"/>
      <c r="F1" s="51"/>
      <c r="G1" s="1">
        <v>4.0</v>
      </c>
      <c r="H1" s="1">
        <v>5.0</v>
      </c>
      <c r="I1" s="1">
        <v>3.0</v>
      </c>
      <c r="J1" s="1">
        <v>4.0</v>
      </c>
      <c r="K1" s="1">
        <v>5.0</v>
      </c>
      <c r="L1" s="1">
        <v>3.0</v>
      </c>
      <c r="M1" s="1">
        <v>4.0</v>
      </c>
      <c r="N1" s="1">
        <v>5.0</v>
      </c>
      <c r="O1" s="1">
        <v>3.0</v>
      </c>
      <c r="P1" s="1">
        <v>4.0</v>
      </c>
      <c r="Q1" s="1">
        <v>5.0</v>
      </c>
      <c r="R1" s="1">
        <v>3.0</v>
      </c>
      <c r="S1" s="1">
        <v>4.0</v>
      </c>
      <c r="T1" s="1">
        <v>5.0</v>
      </c>
    </row>
    <row r="2">
      <c r="B2" s="51" t="s">
        <v>105</v>
      </c>
      <c r="C2" s="51" t="s">
        <v>106</v>
      </c>
      <c r="D2" s="51" t="s">
        <v>108</v>
      </c>
      <c r="E2" s="51" t="s">
        <v>109</v>
      </c>
      <c r="F2" s="51" t="s">
        <v>110</v>
      </c>
      <c r="G2" s="2" t="s">
        <v>111</v>
      </c>
      <c r="H2" s="2" t="s">
        <v>112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121</v>
      </c>
      <c r="Q2" s="2" t="s">
        <v>122</v>
      </c>
      <c r="R2" s="2" t="s">
        <v>123</v>
      </c>
      <c r="S2" s="2" t="s">
        <v>124</v>
      </c>
      <c r="T2" s="2" t="s">
        <v>125</v>
      </c>
    </row>
    <row r="3" ht="18.75">
      <c r="A3" s="52" t="s">
        <v>126</v>
      </c>
      <c r="B3" s="53">
        <f t="shared" ref="B3:F3" si="1">(65000/12)+50</f>
        <v>5466.666667</v>
      </c>
      <c r="C3" s="53">
        <f t="shared" si="1"/>
        <v>5466.666667</v>
      </c>
      <c r="D3" s="53">
        <f t="shared" si="1"/>
        <v>5466.666667</v>
      </c>
      <c r="E3" s="53">
        <f t="shared" si="1"/>
        <v>5466.666667</v>
      </c>
      <c r="F3" s="53">
        <f t="shared" si="1"/>
        <v>5466.666667</v>
      </c>
      <c r="G3" s="53">
        <f t="shared" ref="G3:H3" si="2">(65600/12)*G1</f>
        <v>21866.66667</v>
      </c>
      <c r="H3" s="53">
        <f t="shared" si="2"/>
        <v>27333.33333</v>
      </c>
      <c r="I3" s="53">
        <f t="shared" ref="I3:K3" si="3">(75000/12)*I1</f>
        <v>18750</v>
      </c>
      <c r="J3" s="53">
        <f t="shared" si="3"/>
        <v>25000</v>
      </c>
      <c r="K3" s="53">
        <f t="shared" si="3"/>
        <v>31250</v>
      </c>
      <c r="L3" s="53">
        <f t="shared" ref="L3:N3" si="4">((75000*(1.05^1))/12)*L1</f>
        <v>19687.5</v>
      </c>
      <c r="M3" s="53">
        <f t="shared" si="4"/>
        <v>26250</v>
      </c>
      <c r="N3" s="53">
        <f t="shared" si="4"/>
        <v>32812.5</v>
      </c>
      <c r="O3" s="53">
        <f t="shared" ref="O3:Q3" si="5">((75000*(1.05^2))/12)*O1</f>
        <v>20671.875</v>
      </c>
      <c r="P3" s="53">
        <f t="shared" si="5"/>
        <v>27562.5</v>
      </c>
      <c r="Q3" s="53">
        <f t="shared" si="5"/>
        <v>34453.125</v>
      </c>
      <c r="R3" s="53">
        <f t="shared" ref="R3:T3" si="6">((75000*(1.05^3))/12)*R1</f>
        <v>21705.46875</v>
      </c>
      <c r="S3" s="53">
        <f t="shared" si="6"/>
        <v>28940.625</v>
      </c>
      <c r="T3" s="53">
        <f t="shared" si="6"/>
        <v>36175.78125</v>
      </c>
      <c r="U3" s="10"/>
      <c r="V3" s="10"/>
    </row>
    <row r="4" ht="18.75">
      <c r="A4" s="52" t="s">
        <v>131</v>
      </c>
      <c r="B4" s="53">
        <f t="shared" ref="B4:F4" si="7">(65000/12)+50</f>
        <v>5466.666667</v>
      </c>
      <c r="C4" s="53">
        <f t="shared" si="7"/>
        <v>5466.666667</v>
      </c>
      <c r="D4" s="53">
        <f t="shared" si="7"/>
        <v>5466.666667</v>
      </c>
      <c r="E4" s="53">
        <f t="shared" si="7"/>
        <v>5466.666667</v>
      </c>
      <c r="F4" s="53">
        <f t="shared" si="7"/>
        <v>5466.666667</v>
      </c>
      <c r="G4" s="53">
        <f t="shared" ref="G4:H4" si="8">(65600/12)*G1</f>
        <v>21866.66667</v>
      </c>
      <c r="H4" s="53">
        <f t="shared" si="8"/>
        <v>27333.33333</v>
      </c>
      <c r="I4" s="53">
        <f t="shared" ref="I4:K4" si="9">(75000/12)*I1</f>
        <v>18750</v>
      </c>
      <c r="J4" s="53">
        <f t="shared" si="9"/>
        <v>25000</v>
      </c>
      <c r="K4" s="53">
        <f t="shared" si="9"/>
        <v>31250</v>
      </c>
      <c r="L4" s="53">
        <f t="shared" ref="L4:N4" si="10">((75000*(1.05^1))/12)*L1</f>
        <v>19687.5</v>
      </c>
      <c r="M4" s="53">
        <f t="shared" si="10"/>
        <v>26250</v>
      </c>
      <c r="N4" s="53">
        <f t="shared" si="10"/>
        <v>32812.5</v>
      </c>
      <c r="O4" s="53">
        <f t="shared" ref="O4:Q4" si="11">((75000*(1.05^2))/12)*O1</f>
        <v>20671.875</v>
      </c>
      <c r="P4" s="53">
        <f t="shared" si="11"/>
        <v>27562.5</v>
      </c>
      <c r="Q4" s="53">
        <f t="shared" si="11"/>
        <v>34453.125</v>
      </c>
      <c r="R4" s="53">
        <f t="shared" ref="R4:T4" si="12">((75000*(1.05^3))/12)*R1</f>
        <v>21705.46875</v>
      </c>
      <c r="S4" s="53">
        <f t="shared" si="12"/>
        <v>28940.625</v>
      </c>
      <c r="T4" s="53">
        <f t="shared" si="12"/>
        <v>36175.78125</v>
      </c>
      <c r="U4" s="10"/>
      <c r="V4" s="10"/>
    </row>
    <row r="5" ht="18.75">
      <c r="A5" s="52" t="s">
        <v>132</v>
      </c>
      <c r="B5" s="53">
        <f>67000/12</f>
        <v>5583.333333</v>
      </c>
      <c r="C5" s="53">
        <f t="shared" ref="C5:F5" si="13">83000/12</f>
        <v>6916.666667</v>
      </c>
      <c r="D5" s="53">
        <f t="shared" si="13"/>
        <v>6916.666667</v>
      </c>
      <c r="E5" s="53">
        <f t="shared" si="13"/>
        <v>6916.666667</v>
      </c>
      <c r="F5" s="53">
        <f t="shared" si="13"/>
        <v>6916.666667</v>
      </c>
      <c r="G5" s="53">
        <f t="shared" ref="G5:H5" si="14">(83000/12)*G1</f>
        <v>27666.66667</v>
      </c>
      <c r="H5" s="53">
        <f t="shared" si="14"/>
        <v>34583.33333</v>
      </c>
      <c r="I5" s="53">
        <f t="shared" ref="I5:K5" si="15">(85000/12)*I1</f>
        <v>21250</v>
      </c>
      <c r="J5" s="53">
        <f t="shared" si="15"/>
        <v>28333.33333</v>
      </c>
      <c r="K5" s="53">
        <f t="shared" si="15"/>
        <v>35416.66667</v>
      </c>
      <c r="L5" s="53">
        <f t="shared" ref="L5:N5" si="16">((85000*(1.05^1))/12)*L1</f>
        <v>22312.5</v>
      </c>
      <c r="M5" s="53">
        <f t="shared" si="16"/>
        <v>29750</v>
      </c>
      <c r="N5" s="53">
        <f t="shared" si="16"/>
        <v>37187.5</v>
      </c>
      <c r="O5" s="53">
        <f t="shared" ref="O5:Q5" si="17">((85000*(1.05^2))/12)*O1</f>
        <v>23428.125</v>
      </c>
      <c r="P5" s="53">
        <f t="shared" si="17"/>
        <v>31237.5</v>
      </c>
      <c r="Q5" s="53">
        <f t="shared" si="17"/>
        <v>39046.875</v>
      </c>
      <c r="R5" s="53">
        <f t="shared" ref="R5:T5" si="18">((85000*(1.05^3))/12)*R1</f>
        <v>24599.53125</v>
      </c>
      <c r="S5" s="53">
        <f t="shared" si="18"/>
        <v>32799.375</v>
      </c>
      <c r="T5" s="53">
        <f t="shared" si="18"/>
        <v>40999.21875</v>
      </c>
      <c r="U5" s="10"/>
      <c r="V5" s="10"/>
    </row>
    <row r="6" ht="18.75">
      <c r="A6" s="52" t="s">
        <v>141</v>
      </c>
      <c r="B6" s="60">
        <v>3751.0</v>
      </c>
      <c r="C6" s="53">
        <f>B6/2</f>
        <v>1875.5</v>
      </c>
      <c r="D6" s="60">
        <v>0.0</v>
      </c>
      <c r="E6" s="60">
        <v>0.0</v>
      </c>
      <c r="F6" s="60">
        <v>0.0</v>
      </c>
      <c r="G6" s="53">
        <f t="shared" ref="G6:H6" si="19">(90000/12)*G1</f>
        <v>30000</v>
      </c>
      <c r="H6" s="53">
        <f t="shared" si="19"/>
        <v>37500</v>
      </c>
      <c r="I6" s="53">
        <f t="shared" ref="I6:K6" si="20">(92000/12)*I1</f>
        <v>23000</v>
      </c>
      <c r="J6" s="53">
        <f t="shared" si="20"/>
        <v>30666.66667</v>
      </c>
      <c r="K6" s="53">
        <f t="shared" si="20"/>
        <v>38333.33333</v>
      </c>
      <c r="L6" s="53">
        <f t="shared" ref="L6:N6" si="21">((92000*(1.05^1))/12)*L1</f>
        <v>24150</v>
      </c>
      <c r="M6" s="53">
        <f t="shared" si="21"/>
        <v>32200</v>
      </c>
      <c r="N6" s="53">
        <f t="shared" si="21"/>
        <v>40250</v>
      </c>
      <c r="O6" s="53">
        <f t="shared" ref="O6:Q6" si="22">((92000*(1.05^2))/12)*O1</f>
        <v>25357.5</v>
      </c>
      <c r="P6" s="53">
        <f t="shared" si="22"/>
        <v>33810</v>
      </c>
      <c r="Q6" s="53">
        <f t="shared" si="22"/>
        <v>42262.5</v>
      </c>
      <c r="R6" s="53">
        <f t="shared" ref="R6:T6" si="23">((92000*(1.05^3))/12)*R1</f>
        <v>26625.375</v>
      </c>
      <c r="S6" s="53">
        <f t="shared" si="23"/>
        <v>35500.5</v>
      </c>
      <c r="T6" s="53">
        <f t="shared" si="23"/>
        <v>44375.625</v>
      </c>
      <c r="U6" s="10"/>
      <c r="V6" s="10"/>
    </row>
    <row r="7" ht="18.75">
      <c r="A7" s="52" t="s">
        <v>144</v>
      </c>
      <c r="B7" s="53">
        <f>67000/12</f>
        <v>5583.333333</v>
      </c>
      <c r="C7" s="53">
        <f t="shared" ref="C7:F7" si="24">80000/12</f>
        <v>6666.666667</v>
      </c>
      <c r="D7" s="53">
        <f t="shared" si="24"/>
        <v>6666.666667</v>
      </c>
      <c r="E7" s="53">
        <f t="shared" si="24"/>
        <v>6666.666667</v>
      </c>
      <c r="F7" s="53">
        <f t="shared" si="24"/>
        <v>6666.666667</v>
      </c>
      <c r="G7" s="53">
        <f t="shared" ref="G7:H7" si="25">(80000/12)*G1</f>
        <v>26666.66667</v>
      </c>
      <c r="H7" s="53">
        <f t="shared" si="25"/>
        <v>33333.33333</v>
      </c>
      <c r="I7" s="53">
        <f t="shared" ref="I7:K7" si="26">(82000/12)*I1</f>
        <v>20500</v>
      </c>
      <c r="J7" s="53">
        <f t="shared" si="26"/>
        <v>27333.33333</v>
      </c>
      <c r="K7" s="53">
        <f t="shared" si="26"/>
        <v>34166.66667</v>
      </c>
      <c r="L7" s="53">
        <f t="shared" ref="L7:N7" si="27">((82000*(1.05^1))/12)*L1</f>
        <v>21525</v>
      </c>
      <c r="M7" s="53">
        <f t="shared" si="27"/>
        <v>28700</v>
      </c>
      <c r="N7" s="53">
        <f t="shared" si="27"/>
        <v>35875</v>
      </c>
      <c r="O7" s="53">
        <f t="shared" ref="O7:Q7" si="28">((82000*(1.05^2))/12)*O1</f>
        <v>22601.25</v>
      </c>
      <c r="P7" s="53">
        <f t="shared" si="28"/>
        <v>30135</v>
      </c>
      <c r="Q7" s="53">
        <f t="shared" si="28"/>
        <v>37668.75</v>
      </c>
      <c r="R7" s="53">
        <f t="shared" ref="R7:T7" si="29">((82000*(1.05^3))/12)*R1</f>
        <v>23731.3125</v>
      </c>
      <c r="S7" s="53">
        <f t="shared" si="29"/>
        <v>31641.75</v>
      </c>
      <c r="T7" s="53">
        <f t="shared" si="29"/>
        <v>39552.1875</v>
      </c>
      <c r="U7" s="10"/>
      <c r="V7" s="10"/>
    </row>
    <row r="8" ht="18.75">
      <c r="A8" s="52" t="s">
        <v>147</v>
      </c>
      <c r="B8" s="53">
        <f t="shared" ref="B8:F8" si="30">65000/12</f>
        <v>5416.666667</v>
      </c>
      <c r="C8" s="53">
        <f t="shared" si="30"/>
        <v>5416.666667</v>
      </c>
      <c r="D8" s="53">
        <f t="shared" si="30"/>
        <v>5416.666667</v>
      </c>
      <c r="E8" s="53">
        <f t="shared" si="30"/>
        <v>5416.666667</v>
      </c>
      <c r="F8" s="53">
        <f t="shared" si="30"/>
        <v>5416.666667</v>
      </c>
      <c r="G8" s="53">
        <f t="shared" ref="G8:H8" si="31">(65000/12)*G1</f>
        <v>21666.66667</v>
      </c>
      <c r="H8" s="53">
        <f t="shared" si="31"/>
        <v>27083.33333</v>
      </c>
      <c r="I8" s="53">
        <f t="shared" ref="I8:K8" si="32">(75000/12)*I1</f>
        <v>18750</v>
      </c>
      <c r="J8" s="53">
        <f t="shared" si="32"/>
        <v>25000</v>
      </c>
      <c r="K8" s="53">
        <f t="shared" si="32"/>
        <v>31250</v>
      </c>
      <c r="L8" s="53">
        <f t="shared" ref="L8:N8" si="33">((75000*(1.05^1))/12)*L1</f>
        <v>19687.5</v>
      </c>
      <c r="M8" s="53">
        <f t="shared" si="33"/>
        <v>26250</v>
      </c>
      <c r="N8" s="53">
        <f t="shared" si="33"/>
        <v>32812.5</v>
      </c>
      <c r="O8" s="53">
        <f t="shared" ref="O8:Q8" si="34">((75000*(1.05^2))/12)*O1</f>
        <v>20671.875</v>
      </c>
      <c r="P8" s="53">
        <f t="shared" si="34"/>
        <v>27562.5</v>
      </c>
      <c r="Q8" s="53">
        <f t="shared" si="34"/>
        <v>34453.125</v>
      </c>
      <c r="R8" s="53">
        <f t="shared" ref="R8:T8" si="35">((75000*(1.05^3))/12)*R1</f>
        <v>21705.46875</v>
      </c>
      <c r="S8" s="53">
        <f t="shared" si="35"/>
        <v>28940.625</v>
      </c>
      <c r="T8" s="53">
        <f t="shared" si="35"/>
        <v>36175.78125</v>
      </c>
      <c r="U8" s="10"/>
      <c r="V8" s="10"/>
    </row>
    <row r="9" ht="18.75">
      <c r="A9" s="52" t="s">
        <v>151</v>
      </c>
      <c r="B9" s="53">
        <f t="shared" ref="B9:D9" si="36">62000/12</f>
        <v>5166.666667</v>
      </c>
      <c r="C9" s="53">
        <f t="shared" si="36"/>
        <v>5166.666667</v>
      </c>
      <c r="D9" s="53">
        <f t="shared" si="36"/>
        <v>5166.666667</v>
      </c>
      <c r="E9" s="53">
        <f t="shared" ref="E9:F9" si="37">70000/12</f>
        <v>5833.333333</v>
      </c>
      <c r="F9" s="53">
        <f t="shared" si="37"/>
        <v>5833.333333</v>
      </c>
      <c r="G9" s="53">
        <f t="shared" ref="G9:H9" si="38">(70000/12)*G1</f>
        <v>23333.33333</v>
      </c>
      <c r="H9" s="53">
        <f t="shared" si="38"/>
        <v>29166.66667</v>
      </c>
      <c r="I9" s="53">
        <f t="shared" ref="I9:K9" si="39">(82000/12)*I1</f>
        <v>20500</v>
      </c>
      <c r="J9" s="53">
        <f t="shared" si="39"/>
        <v>27333.33333</v>
      </c>
      <c r="K9" s="53">
        <f t="shared" si="39"/>
        <v>34166.66667</v>
      </c>
      <c r="L9" s="53">
        <f t="shared" ref="L9:N9" si="40">((82000*(1.05^1))/12)*L1</f>
        <v>21525</v>
      </c>
      <c r="M9" s="53">
        <f t="shared" si="40"/>
        <v>28700</v>
      </c>
      <c r="N9" s="53">
        <f t="shared" si="40"/>
        <v>35875</v>
      </c>
      <c r="O9" s="53">
        <f t="shared" ref="O9:Q9" si="41">((82000*(1.05^2))/12)*O1</f>
        <v>22601.25</v>
      </c>
      <c r="P9" s="53">
        <f t="shared" si="41"/>
        <v>30135</v>
      </c>
      <c r="Q9" s="53">
        <f t="shared" si="41"/>
        <v>37668.75</v>
      </c>
      <c r="R9" s="53">
        <f t="shared" ref="R9:T9" si="42">((82000*(1.05^3))/12)*R1</f>
        <v>23731.3125</v>
      </c>
      <c r="S9" s="53">
        <f t="shared" si="42"/>
        <v>31641.75</v>
      </c>
      <c r="T9" s="53">
        <f t="shared" si="42"/>
        <v>39552.1875</v>
      </c>
      <c r="U9" s="10"/>
      <c r="V9" s="10"/>
    </row>
    <row r="10" ht="18.75">
      <c r="A10" s="52" t="s">
        <v>153</v>
      </c>
      <c r="B10" s="53">
        <f>65000/12</f>
        <v>5416.666667</v>
      </c>
      <c r="C10" s="53">
        <f t="shared" ref="C10:F10" si="43">80000/12</f>
        <v>6666.666667</v>
      </c>
      <c r="D10" s="53">
        <f t="shared" si="43"/>
        <v>6666.666667</v>
      </c>
      <c r="E10" s="53">
        <f t="shared" si="43"/>
        <v>6666.666667</v>
      </c>
      <c r="F10" s="53">
        <f t="shared" si="43"/>
        <v>6666.666667</v>
      </c>
      <c r="G10" s="53">
        <f t="shared" ref="G10:H10" si="44">(80000/12)*G1</f>
        <v>26666.66667</v>
      </c>
      <c r="H10" s="53">
        <f t="shared" si="44"/>
        <v>33333.33333</v>
      </c>
      <c r="I10" s="53">
        <f t="shared" ref="I10:K10" si="45">(82000/12)*I1</f>
        <v>20500</v>
      </c>
      <c r="J10" s="53">
        <f t="shared" si="45"/>
        <v>27333.33333</v>
      </c>
      <c r="K10" s="53">
        <f t="shared" si="45"/>
        <v>34166.66667</v>
      </c>
      <c r="L10" s="53">
        <f t="shared" ref="L10:N10" si="46">((82000*(1.05^1))/12)*L1</f>
        <v>21525</v>
      </c>
      <c r="M10" s="53">
        <f t="shared" si="46"/>
        <v>28700</v>
      </c>
      <c r="N10" s="53">
        <f t="shared" si="46"/>
        <v>35875</v>
      </c>
      <c r="O10" s="53">
        <f t="shared" ref="O10:Q10" si="47">((82000*(1.05^2))/12)*O1</f>
        <v>22601.25</v>
      </c>
      <c r="P10" s="53">
        <f t="shared" si="47"/>
        <v>30135</v>
      </c>
      <c r="Q10" s="53">
        <f t="shared" si="47"/>
        <v>37668.75</v>
      </c>
      <c r="R10" s="53">
        <f t="shared" ref="R10:T10" si="48">((82000*(1.05^3))/12)*R1</f>
        <v>23731.3125</v>
      </c>
      <c r="S10" s="53">
        <f t="shared" si="48"/>
        <v>31641.75</v>
      </c>
      <c r="T10" s="53">
        <f t="shared" si="48"/>
        <v>39552.1875</v>
      </c>
      <c r="U10" s="10"/>
      <c r="V10" s="10"/>
    </row>
    <row r="11">
      <c r="A11" s="2" t="s">
        <v>154</v>
      </c>
      <c r="B11" s="53"/>
      <c r="C11" s="53"/>
      <c r="D11" s="53">
        <f t="shared" ref="D11:E11" si="49">16*(2000/12)</f>
        <v>2666.666667</v>
      </c>
      <c r="E11" s="53">
        <f t="shared" si="49"/>
        <v>2666.666667</v>
      </c>
      <c r="F11" s="53">
        <f t="shared" ref="F11:F12" si="51">(16*(2000/12))/2</f>
        <v>1333.333333</v>
      </c>
      <c r="G11" s="60">
        <v>0.0</v>
      </c>
      <c r="H11" s="60">
        <v>0.0</v>
      </c>
      <c r="I11" s="53">
        <f t="shared" ref="I11:I12" si="52">(17.5*(2000/12)*2.5)</f>
        <v>7291.666667</v>
      </c>
      <c r="J11" s="60">
        <v>0.0</v>
      </c>
      <c r="K11" s="60">
        <v>0.0</v>
      </c>
      <c r="L11" s="53">
        <f t="shared" ref="L11:L12" si="53">(17.5*(2000/12)*2.5)</f>
        <v>7291.666667</v>
      </c>
      <c r="M11" s="60">
        <v>0.0</v>
      </c>
      <c r="N11" s="60">
        <v>0.0</v>
      </c>
      <c r="O11" s="53">
        <f t="shared" ref="O11:O12" si="54">(17.5*(2000/12)*2.5)</f>
        <v>7291.666667</v>
      </c>
      <c r="P11" s="60">
        <v>0.0</v>
      </c>
      <c r="Q11" s="60">
        <v>0.0</v>
      </c>
      <c r="R11" s="53">
        <f t="shared" ref="R11:R12" si="55">(17.5*(2000/12)*2.5)</f>
        <v>7291.666667</v>
      </c>
      <c r="S11" s="60">
        <v>0.0</v>
      </c>
      <c r="T11" s="60">
        <v>0.0</v>
      </c>
      <c r="U11" s="53"/>
      <c r="V11" s="10"/>
    </row>
    <row r="12">
      <c r="A12" s="2" t="s">
        <v>154</v>
      </c>
      <c r="B12" s="53"/>
      <c r="C12" s="53"/>
      <c r="D12" s="53">
        <f t="shared" ref="D12:E12" si="50">16*(2000/12)</f>
        <v>2666.666667</v>
      </c>
      <c r="E12" s="53">
        <f t="shared" si="50"/>
        <v>2666.666667</v>
      </c>
      <c r="F12" s="53">
        <f t="shared" si="51"/>
        <v>1333.333333</v>
      </c>
      <c r="G12" s="60">
        <v>0.0</v>
      </c>
      <c r="H12" s="60">
        <v>0.0</v>
      </c>
      <c r="I12" s="53">
        <f t="shared" si="52"/>
        <v>7291.666667</v>
      </c>
      <c r="J12" s="60">
        <v>0.0</v>
      </c>
      <c r="K12" s="60">
        <v>0.0</v>
      </c>
      <c r="L12" s="53">
        <f t="shared" si="53"/>
        <v>7291.666667</v>
      </c>
      <c r="M12" s="60">
        <v>0.0</v>
      </c>
      <c r="N12" s="60">
        <v>0.0</v>
      </c>
      <c r="O12" s="53">
        <f t="shared" si="54"/>
        <v>7291.666667</v>
      </c>
      <c r="P12" s="60">
        <v>0.0</v>
      </c>
      <c r="Q12" s="60">
        <v>0.0</v>
      </c>
      <c r="R12" s="53">
        <f t="shared" si="55"/>
        <v>7291.666667</v>
      </c>
      <c r="S12" s="60">
        <v>0.0</v>
      </c>
      <c r="T12" s="60">
        <v>0.0</v>
      </c>
      <c r="U12" s="53"/>
      <c r="V12" s="10"/>
    </row>
    <row r="13">
      <c r="A13" s="2" t="s">
        <v>155</v>
      </c>
      <c r="B13" s="53"/>
      <c r="C13" s="53"/>
      <c r="D13" s="53">
        <f t="shared" ref="D13:F13" si="56">60000/12</f>
        <v>5000</v>
      </c>
      <c r="E13" s="53">
        <f t="shared" si="56"/>
        <v>5000</v>
      </c>
      <c r="F13" s="53">
        <f t="shared" si="56"/>
        <v>5000</v>
      </c>
      <c r="G13" s="53">
        <f t="shared" ref="G13:I13" si="57">((60000*(1.05^1))/12)*G$1</f>
        <v>21000</v>
      </c>
      <c r="H13" s="53">
        <f t="shared" si="57"/>
        <v>26250</v>
      </c>
      <c r="I13" s="53">
        <f t="shared" si="57"/>
        <v>15750</v>
      </c>
      <c r="J13" s="53">
        <f t="shared" ref="J13:L13" si="58">((60000*(1.05^2))/12)*J$1</f>
        <v>22050</v>
      </c>
      <c r="K13" s="53">
        <f t="shared" si="58"/>
        <v>27562.5</v>
      </c>
      <c r="L13" s="53">
        <f t="shared" si="58"/>
        <v>16537.5</v>
      </c>
      <c r="M13" s="53">
        <f t="shared" ref="M13:O13" si="59">((60000*(1.05^3))/12)*M$1</f>
        <v>23152.5</v>
      </c>
      <c r="N13" s="53">
        <f t="shared" si="59"/>
        <v>28940.625</v>
      </c>
      <c r="O13" s="53">
        <f t="shared" si="59"/>
        <v>17364.375</v>
      </c>
      <c r="P13" s="53">
        <f t="shared" ref="P13:R13" si="60">((60000*(1.05^4))/12)*P$1</f>
        <v>24310.125</v>
      </c>
      <c r="Q13" s="53">
        <f t="shared" si="60"/>
        <v>30387.65625</v>
      </c>
      <c r="R13" s="53">
        <f t="shared" si="60"/>
        <v>18232.59375</v>
      </c>
      <c r="S13" s="53">
        <f t="shared" ref="S13:T13" si="61">((60000*(1.05^5))/12)*S$1</f>
        <v>25525.63125</v>
      </c>
      <c r="T13" s="53">
        <f t="shared" si="61"/>
        <v>31907.03906</v>
      </c>
      <c r="U13" s="10"/>
      <c r="V13" s="10"/>
    </row>
    <row r="14">
      <c r="A14" s="2" t="s">
        <v>156</v>
      </c>
      <c r="B14" s="53"/>
      <c r="C14" s="53"/>
      <c r="D14" s="53"/>
      <c r="E14" s="53"/>
      <c r="F14" s="53"/>
      <c r="G14" s="53">
        <f>(65000/12)*G1/2</f>
        <v>10833.33333</v>
      </c>
      <c r="H14" s="53">
        <f t="shared" ref="H14:J14" si="62">(65000/12)*H$1</f>
        <v>27083.33333</v>
      </c>
      <c r="I14" s="53">
        <f t="shared" si="62"/>
        <v>16250</v>
      </c>
      <c r="J14" s="53">
        <f t="shared" si="62"/>
        <v>21666.66667</v>
      </c>
      <c r="K14" s="53">
        <f t="shared" ref="K14:M14" si="63">((65000*(1.05^1))/12)*K$1</f>
        <v>28437.5</v>
      </c>
      <c r="L14" s="53">
        <f t="shared" si="63"/>
        <v>17062.5</v>
      </c>
      <c r="M14" s="53">
        <f t="shared" si="63"/>
        <v>22750</v>
      </c>
      <c r="N14" s="53">
        <f t="shared" ref="N14:P14" si="64">((65000*(1.05^2))/12)*N$1</f>
        <v>29859.375</v>
      </c>
      <c r="O14" s="53">
        <f t="shared" si="64"/>
        <v>17915.625</v>
      </c>
      <c r="P14" s="53">
        <f t="shared" si="64"/>
        <v>23887.5</v>
      </c>
      <c r="Q14" s="53">
        <f t="shared" ref="Q14:S14" si="65">((65000*(1.05^3))/12)*Q$1</f>
        <v>31352.34375</v>
      </c>
      <c r="R14" s="53">
        <f t="shared" si="65"/>
        <v>18811.40625</v>
      </c>
      <c r="S14" s="53">
        <f t="shared" si="65"/>
        <v>25081.875</v>
      </c>
      <c r="T14" s="53">
        <f t="shared" ref="T14:T16" si="70">((65000*(1.05^4))/12)*T$1</f>
        <v>32919.96094</v>
      </c>
      <c r="U14" s="10"/>
      <c r="V14" s="10"/>
    </row>
    <row r="15">
      <c r="A15" s="2" t="s">
        <v>156</v>
      </c>
      <c r="B15" s="53"/>
      <c r="C15" s="53"/>
      <c r="D15" s="53"/>
      <c r="E15" s="53"/>
      <c r="F15" s="53"/>
      <c r="G15" s="53"/>
      <c r="H15" s="53">
        <f t="shared" ref="H15:H16" si="71">((65000/12)*2)</f>
        <v>10833.33333</v>
      </c>
      <c r="I15" s="53">
        <f t="shared" ref="I15:J15" si="66">(65000/12)*I$1</f>
        <v>16250</v>
      </c>
      <c r="J15" s="53">
        <f t="shared" si="66"/>
        <v>21666.66667</v>
      </c>
      <c r="K15" s="53">
        <f t="shared" ref="K15:M15" si="67">((65000*(1.05^1))/12)*K$1</f>
        <v>28437.5</v>
      </c>
      <c r="L15" s="53">
        <f t="shared" si="67"/>
        <v>17062.5</v>
      </c>
      <c r="M15" s="53">
        <f t="shared" si="67"/>
        <v>22750</v>
      </c>
      <c r="N15" s="53">
        <f t="shared" ref="N15:P15" si="68">((65000*(1.05^2))/12)*N$1</f>
        <v>29859.375</v>
      </c>
      <c r="O15" s="53">
        <f t="shared" si="68"/>
        <v>17915.625</v>
      </c>
      <c r="P15" s="53">
        <f t="shared" si="68"/>
        <v>23887.5</v>
      </c>
      <c r="Q15" s="53">
        <f t="shared" ref="Q15:S15" si="69">((65000*(1.05^3))/12)*Q$1</f>
        <v>31352.34375</v>
      </c>
      <c r="R15" s="53">
        <f t="shared" si="69"/>
        <v>18811.40625</v>
      </c>
      <c r="S15" s="53">
        <f t="shared" si="69"/>
        <v>25081.875</v>
      </c>
      <c r="T15" s="53">
        <f t="shared" si="70"/>
        <v>32919.96094</v>
      </c>
      <c r="U15" s="10"/>
      <c r="V15" s="10"/>
    </row>
    <row r="16">
      <c r="A16" s="2" t="s">
        <v>156</v>
      </c>
      <c r="B16" s="53"/>
      <c r="C16" s="53"/>
      <c r="D16" s="53"/>
      <c r="E16" s="53"/>
      <c r="F16" s="53"/>
      <c r="G16" s="53"/>
      <c r="H16" s="53">
        <f t="shared" si="71"/>
        <v>10833.33333</v>
      </c>
      <c r="I16" s="53">
        <f t="shared" ref="I16:J16" si="72">(65000/12)*I$1</f>
        <v>16250</v>
      </c>
      <c r="J16" s="53">
        <f t="shared" si="72"/>
        <v>21666.66667</v>
      </c>
      <c r="K16" s="53">
        <f t="shared" ref="K16:M16" si="73">((65000*(1.05^1))/12)*K$1</f>
        <v>28437.5</v>
      </c>
      <c r="L16" s="53">
        <f t="shared" si="73"/>
        <v>17062.5</v>
      </c>
      <c r="M16" s="53">
        <f t="shared" si="73"/>
        <v>22750</v>
      </c>
      <c r="N16" s="53">
        <f t="shared" ref="N16:P16" si="74">((65000*(1.05^2))/12)*N$1</f>
        <v>29859.375</v>
      </c>
      <c r="O16" s="53">
        <f t="shared" si="74"/>
        <v>17915.625</v>
      </c>
      <c r="P16" s="53">
        <f t="shared" si="74"/>
        <v>23887.5</v>
      </c>
      <c r="Q16" s="53">
        <f t="shared" ref="Q16:S16" si="75">((65000*(1.05^3))/12)*Q$1</f>
        <v>31352.34375</v>
      </c>
      <c r="R16" s="53">
        <f t="shared" si="75"/>
        <v>18811.40625</v>
      </c>
      <c r="S16" s="53">
        <f t="shared" si="75"/>
        <v>25081.875</v>
      </c>
      <c r="T16" s="53">
        <f t="shared" si="70"/>
        <v>32919.96094</v>
      </c>
      <c r="U16" s="10"/>
      <c r="V16" s="10"/>
    </row>
    <row r="17">
      <c r="A17" s="2" t="s">
        <v>155</v>
      </c>
      <c r="B17" s="53"/>
      <c r="C17" s="53"/>
      <c r="D17" s="53"/>
      <c r="E17" s="53"/>
      <c r="F17" s="53"/>
      <c r="G17" s="53"/>
      <c r="H17" s="53">
        <f t="shared" ref="H17:H19" si="80">(60000/12)*3</f>
        <v>15000</v>
      </c>
      <c r="I17" s="53">
        <f t="shared" ref="I17:J17" si="76">(60000/12)*I$1</f>
        <v>15000</v>
      </c>
      <c r="J17" s="53">
        <f t="shared" si="76"/>
        <v>20000</v>
      </c>
      <c r="K17" s="53">
        <f t="shared" ref="K17:M17" si="77">((60000*(1.05^1))/12)*K$1</f>
        <v>26250</v>
      </c>
      <c r="L17" s="53">
        <f t="shared" si="77"/>
        <v>15750</v>
      </c>
      <c r="M17" s="53">
        <f t="shared" si="77"/>
        <v>21000</v>
      </c>
      <c r="N17" s="53">
        <f t="shared" ref="N17:P17" si="78">((60000*(1.05^2))/12)*N$1</f>
        <v>27562.5</v>
      </c>
      <c r="O17" s="53">
        <f t="shared" si="78"/>
        <v>16537.5</v>
      </c>
      <c r="P17" s="53">
        <f t="shared" si="78"/>
        <v>22050</v>
      </c>
      <c r="Q17" s="53">
        <f t="shared" ref="Q17:S17" si="79">((60000*(1.05^3))/12)*Q$1</f>
        <v>28940.625</v>
      </c>
      <c r="R17" s="53">
        <f t="shared" si="79"/>
        <v>17364.375</v>
      </c>
      <c r="S17" s="53">
        <f t="shared" si="79"/>
        <v>23152.5</v>
      </c>
      <c r="T17" s="53">
        <f t="shared" ref="T17:T19" si="85">((60000*(1.05^4))/12)*T$1</f>
        <v>30387.65625</v>
      </c>
      <c r="U17" s="10"/>
      <c r="V17" s="10"/>
    </row>
    <row r="18">
      <c r="A18" s="2" t="s">
        <v>155</v>
      </c>
      <c r="B18" s="53"/>
      <c r="C18" s="53"/>
      <c r="D18" s="53"/>
      <c r="E18" s="53"/>
      <c r="F18" s="53"/>
      <c r="G18" s="53"/>
      <c r="H18" s="53">
        <f t="shared" si="80"/>
        <v>15000</v>
      </c>
      <c r="I18" s="53">
        <f t="shared" ref="I18:J18" si="81">(60000/12)*I$1</f>
        <v>15000</v>
      </c>
      <c r="J18" s="53">
        <f t="shared" si="81"/>
        <v>20000</v>
      </c>
      <c r="K18" s="53">
        <f t="shared" ref="K18:M18" si="82">((60000*(1.05^1))/12)*K$1</f>
        <v>26250</v>
      </c>
      <c r="L18" s="53">
        <f t="shared" si="82"/>
        <v>15750</v>
      </c>
      <c r="M18" s="53">
        <f t="shared" si="82"/>
        <v>21000</v>
      </c>
      <c r="N18" s="53">
        <f t="shared" ref="N18:P18" si="83">((60000*(1.05^2))/12)*N$1</f>
        <v>27562.5</v>
      </c>
      <c r="O18" s="53">
        <f t="shared" si="83"/>
        <v>16537.5</v>
      </c>
      <c r="P18" s="53">
        <f t="shared" si="83"/>
        <v>22050</v>
      </c>
      <c r="Q18" s="53">
        <f t="shared" ref="Q18:S18" si="84">((60000*(1.05^3))/12)*Q$1</f>
        <v>28940.625</v>
      </c>
      <c r="R18" s="53">
        <f t="shared" si="84"/>
        <v>17364.375</v>
      </c>
      <c r="S18" s="53">
        <f t="shared" si="84"/>
        <v>23152.5</v>
      </c>
      <c r="T18" s="53">
        <f t="shared" si="85"/>
        <v>30387.65625</v>
      </c>
      <c r="U18" s="10"/>
      <c r="V18" s="10"/>
    </row>
    <row r="19">
      <c r="A19" s="2" t="s">
        <v>155</v>
      </c>
      <c r="B19" s="53"/>
      <c r="C19" s="53"/>
      <c r="D19" s="53"/>
      <c r="E19" s="53"/>
      <c r="F19" s="53"/>
      <c r="G19" s="53"/>
      <c r="H19" s="53">
        <f t="shared" si="80"/>
        <v>15000</v>
      </c>
      <c r="I19" s="53">
        <f t="shared" ref="I19:J19" si="86">(60000/12)*I$1</f>
        <v>15000</v>
      </c>
      <c r="J19" s="53">
        <f t="shared" si="86"/>
        <v>20000</v>
      </c>
      <c r="K19" s="53">
        <f t="shared" ref="K19:M19" si="87">((60000*(1.05^1))/12)*K$1</f>
        <v>26250</v>
      </c>
      <c r="L19" s="53">
        <f t="shared" si="87"/>
        <v>15750</v>
      </c>
      <c r="M19" s="53">
        <f t="shared" si="87"/>
        <v>21000</v>
      </c>
      <c r="N19" s="53">
        <f t="shared" ref="N19:P19" si="88">((60000*(1.05^2))/12)*N$1</f>
        <v>27562.5</v>
      </c>
      <c r="O19" s="53">
        <f t="shared" si="88"/>
        <v>16537.5</v>
      </c>
      <c r="P19" s="53">
        <f t="shared" si="88"/>
        <v>22050</v>
      </c>
      <c r="Q19" s="53">
        <f t="shared" ref="Q19:S19" si="89">((60000*(1.05^3))/12)*Q$1</f>
        <v>28940.625</v>
      </c>
      <c r="R19" s="53">
        <f t="shared" si="89"/>
        <v>17364.375</v>
      </c>
      <c r="S19" s="53">
        <f t="shared" si="89"/>
        <v>23152.5</v>
      </c>
      <c r="T19" s="53">
        <f t="shared" si="85"/>
        <v>30387.65625</v>
      </c>
      <c r="U19" s="10"/>
      <c r="V19" s="10"/>
    </row>
    <row r="20">
      <c r="A20" s="2" t="s">
        <v>157</v>
      </c>
      <c r="B20" s="53"/>
      <c r="C20" s="53"/>
      <c r="D20" s="53"/>
      <c r="E20" s="53"/>
      <c r="F20" s="53"/>
      <c r="G20" s="53"/>
      <c r="H20" s="53">
        <f t="shared" ref="H20:J20" si="90">(75000/12)*H$1</f>
        <v>31250</v>
      </c>
      <c r="I20" s="53">
        <f t="shared" si="90"/>
        <v>18750</v>
      </c>
      <c r="J20" s="53">
        <f t="shared" si="90"/>
        <v>25000</v>
      </c>
      <c r="K20" s="53">
        <f t="shared" ref="K20:M20" si="91">((75000*(1.05^1))/12)*K$1</f>
        <v>32812.5</v>
      </c>
      <c r="L20" s="53">
        <f t="shared" si="91"/>
        <v>19687.5</v>
      </c>
      <c r="M20" s="53">
        <f t="shared" si="91"/>
        <v>26250</v>
      </c>
      <c r="N20" s="53">
        <f t="shared" ref="N20:P20" si="92">((75000*(1.05^2))/12)*N$1</f>
        <v>34453.125</v>
      </c>
      <c r="O20" s="53">
        <f t="shared" si="92"/>
        <v>20671.875</v>
      </c>
      <c r="P20" s="53">
        <f t="shared" si="92"/>
        <v>27562.5</v>
      </c>
      <c r="Q20" s="53">
        <f t="shared" ref="Q20:S20" si="93">((75000*(1.05^3))/12)*Q$1</f>
        <v>36175.78125</v>
      </c>
      <c r="R20" s="53">
        <f t="shared" si="93"/>
        <v>21705.46875</v>
      </c>
      <c r="S20" s="53">
        <f t="shared" si="93"/>
        <v>28940.625</v>
      </c>
      <c r="T20" s="53">
        <f>((75000*(1.05^4))/12)*T$1</f>
        <v>37984.57031</v>
      </c>
      <c r="U20" s="10"/>
      <c r="V20" s="10"/>
    </row>
    <row r="21">
      <c r="A21" s="2" t="s">
        <v>158</v>
      </c>
      <c r="B21" s="53"/>
      <c r="C21" s="53"/>
      <c r="D21" s="53"/>
      <c r="E21" s="53"/>
      <c r="F21" s="53"/>
      <c r="G21" s="53"/>
      <c r="H21" s="53">
        <f t="shared" ref="H21:J21" si="94">(80000/12)*H$1</f>
        <v>33333.33333</v>
      </c>
      <c r="I21" s="53">
        <f t="shared" si="94"/>
        <v>20000</v>
      </c>
      <c r="J21" s="53">
        <f t="shared" si="94"/>
        <v>26666.66667</v>
      </c>
      <c r="K21" s="53">
        <f t="shared" ref="K21:M21" si="95">((80000*(1.05^1))/12)*K$1</f>
        <v>35000</v>
      </c>
      <c r="L21" s="53">
        <f t="shared" si="95"/>
        <v>21000</v>
      </c>
      <c r="M21" s="53">
        <f t="shared" si="95"/>
        <v>28000</v>
      </c>
      <c r="N21" s="53">
        <f t="shared" ref="N21:P21" si="96">((80000*(1.05^2))/12)*N$1</f>
        <v>36750</v>
      </c>
      <c r="O21" s="53">
        <f t="shared" si="96"/>
        <v>22050</v>
      </c>
      <c r="P21" s="53">
        <f t="shared" si="96"/>
        <v>29400</v>
      </c>
      <c r="Q21" s="53">
        <f t="shared" ref="Q21:S21" si="97">((80000*(1.05^3))/12)*Q$1</f>
        <v>38587.5</v>
      </c>
      <c r="R21" s="53">
        <f t="shared" si="97"/>
        <v>23152.5</v>
      </c>
      <c r="S21" s="53">
        <f t="shared" si="97"/>
        <v>30870</v>
      </c>
      <c r="T21" s="53">
        <f t="shared" ref="T21:T23" si="102">((80000*(1.05^4))/12)*T$1</f>
        <v>40516.875</v>
      </c>
      <c r="U21" s="10"/>
      <c r="V21" s="10"/>
    </row>
    <row r="22">
      <c r="A22" s="2" t="s">
        <v>158</v>
      </c>
      <c r="B22" s="53"/>
      <c r="C22" s="53"/>
      <c r="D22" s="53"/>
      <c r="E22" s="53"/>
      <c r="F22" s="53"/>
      <c r="G22" s="53"/>
      <c r="H22" s="53">
        <f t="shared" ref="H22:J22" si="98">(80000/12)*H$1</f>
        <v>33333.33333</v>
      </c>
      <c r="I22" s="53">
        <f t="shared" si="98"/>
        <v>20000</v>
      </c>
      <c r="J22" s="53">
        <f t="shared" si="98"/>
        <v>26666.66667</v>
      </c>
      <c r="K22" s="53">
        <f t="shared" ref="K22:M22" si="99">((80000*(1.05^1))/12)*K$1</f>
        <v>35000</v>
      </c>
      <c r="L22" s="53">
        <f t="shared" si="99"/>
        <v>21000</v>
      </c>
      <c r="M22" s="53">
        <f t="shared" si="99"/>
        <v>28000</v>
      </c>
      <c r="N22" s="53">
        <f t="shared" ref="N22:P22" si="100">((80000*(1.05^2))/12)*N$1</f>
        <v>36750</v>
      </c>
      <c r="O22" s="53">
        <f t="shared" si="100"/>
        <v>22050</v>
      </c>
      <c r="P22" s="53">
        <f t="shared" si="100"/>
        <v>29400</v>
      </c>
      <c r="Q22" s="53">
        <f t="shared" ref="Q22:S22" si="101">((80000*(1.05^3))/12)*Q$1</f>
        <v>38587.5</v>
      </c>
      <c r="R22" s="53">
        <f t="shared" si="101"/>
        <v>23152.5</v>
      </c>
      <c r="S22" s="53">
        <f t="shared" si="101"/>
        <v>30870</v>
      </c>
      <c r="T22" s="53">
        <f t="shared" si="102"/>
        <v>40516.875</v>
      </c>
      <c r="U22" s="10"/>
      <c r="V22" s="10"/>
    </row>
    <row r="23">
      <c r="A23" s="2" t="s">
        <v>158</v>
      </c>
      <c r="B23" s="53"/>
      <c r="C23" s="53"/>
      <c r="D23" s="53"/>
      <c r="E23" s="53"/>
      <c r="F23" s="53"/>
      <c r="G23" s="53"/>
      <c r="H23" s="53">
        <f t="shared" ref="H23:J23" si="103">(80000/12)*H$1</f>
        <v>33333.33333</v>
      </c>
      <c r="I23" s="53">
        <f t="shared" si="103"/>
        <v>20000</v>
      </c>
      <c r="J23" s="53">
        <f t="shared" si="103"/>
        <v>26666.66667</v>
      </c>
      <c r="K23" s="53">
        <f t="shared" ref="K23:M23" si="104">((80000*(1.05^1))/12)*K$1</f>
        <v>35000</v>
      </c>
      <c r="L23" s="53">
        <f t="shared" si="104"/>
        <v>21000</v>
      </c>
      <c r="M23" s="53">
        <f t="shared" si="104"/>
        <v>28000</v>
      </c>
      <c r="N23" s="53">
        <f t="shared" ref="N23:P23" si="105">((80000*(1.05^2))/12)*N$1</f>
        <v>36750</v>
      </c>
      <c r="O23" s="53">
        <f t="shared" si="105"/>
        <v>22050</v>
      </c>
      <c r="P23" s="53">
        <f t="shared" si="105"/>
        <v>29400</v>
      </c>
      <c r="Q23" s="53">
        <f t="shared" ref="Q23:S23" si="106">((80000*(1.05^3))/12)*Q$1</f>
        <v>38587.5</v>
      </c>
      <c r="R23" s="53">
        <f t="shared" si="106"/>
        <v>23152.5</v>
      </c>
      <c r="S23" s="53">
        <f t="shared" si="106"/>
        <v>30870</v>
      </c>
      <c r="T23" s="53">
        <f t="shared" si="102"/>
        <v>40516.875</v>
      </c>
      <c r="U23" s="10"/>
      <c r="V23" s="10"/>
    </row>
    <row r="24">
      <c r="A24" s="2" t="s">
        <v>159</v>
      </c>
      <c r="B24" s="53"/>
      <c r="C24" s="53"/>
      <c r="D24" s="53"/>
      <c r="E24" s="53"/>
      <c r="F24" s="53"/>
      <c r="G24" s="53"/>
      <c r="H24" s="53">
        <f>(70000/12)*4</f>
        <v>23333.33333</v>
      </c>
      <c r="I24" s="53">
        <f t="shared" ref="I24:J24" si="107">(70000/12)*I$1</f>
        <v>17500</v>
      </c>
      <c r="J24" s="53">
        <f t="shared" si="107"/>
        <v>23333.33333</v>
      </c>
      <c r="K24" s="53">
        <f t="shared" ref="K24:M24" si="108">((70000*(1.05^1))/12)*K$1</f>
        <v>30625</v>
      </c>
      <c r="L24" s="53">
        <f t="shared" si="108"/>
        <v>18375</v>
      </c>
      <c r="M24" s="53">
        <f t="shared" si="108"/>
        <v>24500</v>
      </c>
      <c r="N24" s="53">
        <f t="shared" ref="N24:P24" si="109">((70000*(1.05^2))/12)*N$1</f>
        <v>32156.25</v>
      </c>
      <c r="O24" s="53">
        <f t="shared" si="109"/>
        <v>19293.75</v>
      </c>
      <c r="P24" s="53">
        <f t="shared" si="109"/>
        <v>25725</v>
      </c>
      <c r="Q24" s="53">
        <f t="shared" ref="Q24:S24" si="110">((70000*(1.05^3))/12)*Q$1</f>
        <v>33764.0625</v>
      </c>
      <c r="R24" s="53">
        <f t="shared" si="110"/>
        <v>20258.4375</v>
      </c>
      <c r="S24" s="53">
        <f t="shared" si="110"/>
        <v>27011.25</v>
      </c>
      <c r="T24" s="53">
        <f>((70000*(1.05^4))/12)*T$1</f>
        <v>35452.26563</v>
      </c>
      <c r="U24" s="10"/>
      <c r="V24" s="10"/>
    </row>
    <row r="25">
      <c r="A25" s="2" t="s">
        <v>156</v>
      </c>
      <c r="B25" s="53"/>
      <c r="C25" s="53"/>
      <c r="D25" s="53"/>
      <c r="E25" s="53"/>
      <c r="F25" s="53"/>
      <c r="G25" s="53"/>
      <c r="H25" s="53"/>
      <c r="I25" s="53">
        <f t="shared" ref="I25:K25" si="111">(65000/12)*I$1</f>
        <v>16250</v>
      </c>
      <c r="J25" s="53">
        <f t="shared" si="111"/>
        <v>21666.66667</v>
      </c>
      <c r="K25" s="53">
        <f t="shared" si="111"/>
        <v>27083.33333</v>
      </c>
      <c r="L25" s="53">
        <f t="shared" ref="L25:N25" si="112">((65000*(1.05^1))/12)*L$1</f>
        <v>17062.5</v>
      </c>
      <c r="M25" s="53">
        <f t="shared" si="112"/>
        <v>22750</v>
      </c>
      <c r="N25" s="53">
        <f t="shared" si="112"/>
        <v>28437.5</v>
      </c>
      <c r="O25" s="53">
        <f t="shared" ref="O25:Q25" si="113">((65000*(1.05^2))/12)*O$1</f>
        <v>17915.625</v>
      </c>
      <c r="P25" s="53">
        <f t="shared" si="113"/>
        <v>23887.5</v>
      </c>
      <c r="Q25" s="53">
        <f t="shared" si="113"/>
        <v>29859.375</v>
      </c>
      <c r="R25" s="53">
        <f t="shared" ref="R25:T25" si="114">((65000*(1.05^3))/12)*R$1</f>
        <v>18811.40625</v>
      </c>
      <c r="S25" s="53">
        <f t="shared" si="114"/>
        <v>25081.875</v>
      </c>
      <c r="T25" s="53">
        <f t="shared" si="114"/>
        <v>31352.34375</v>
      </c>
      <c r="U25" s="10"/>
      <c r="V25" s="10"/>
    </row>
    <row r="26">
      <c r="A26" s="2" t="s">
        <v>154</v>
      </c>
      <c r="B26" s="53"/>
      <c r="C26" s="53"/>
      <c r="D26" s="53"/>
      <c r="E26" s="53"/>
      <c r="F26" s="53"/>
      <c r="G26" s="53"/>
      <c r="H26" s="53"/>
      <c r="I26" s="53">
        <f>(17.5*(2000/12)*2.5)</f>
        <v>7291.666667</v>
      </c>
      <c r="J26" s="60">
        <v>0.0</v>
      </c>
      <c r="K26" s="60">
        <v>0.0</v>
      </c>
      <c r="L26" s="53">
        <f>(17.5*(2000/12)*2.5)</f>
        <v>7291.666667</v>
      </c>
      <c r="M26" s="60">
        <v>0.0</v>
      </c>
      <c r="N26" s="60">
        <v>0.0</v>
      </c>
      <c r="O26" s="53">
        <f>(17.5*(2000/12)*2.5)</f>
        <v>7291.666667</v>
      </c>
      <c r="P26" s="60">
        <v>0.0</v>
      </c>
      <c r="Q26" s="60">
        <v>0.0</v>
      </c>
      <c r="R26" s="53">
        <f>(17.5*(2000/12)*2.5)</f>
        <v>7291.666667</v>
      </c>
      <c r="S26" s="60">
        <v>0.0</v>
      </c>
      <c r="T26" s="60">
        <v>0.0</v>
      </c>
      <c r="U26" s="10"/>
      <c r="V26" s="10"/>
    </row>
    <row r="27">
      <c r="A27" s="2" t="s">
        <v>158</v>
      </c>
      <c r="B27" s="53"/>
      <c r="C27" s="53"/>
      <c r="D27" s="53"/>
      <c r="E27" s="53"/>
      <c r="F27" s="53"/>
      <c r="G27" s="53"/>
      <c r="H27" s="53"/>
      <c r="I27" s="53"/>
      <c r="J27" s="53"/>
      <c r="K27" s="60">
        <f t="shared" ref="K27:M27" si="115">(80000/12)*K$1</f>
        <v>33333.33333</v>
      </c>
      <c r="L27" s="60">
        <f t="shared" si="115"/>
        <v>20000</v>
      </c>
      <c r="M27" s="60">
        <f t="shared" si="115"/>
        <v>26666.66667</v>
      </c>
      <c r="N27" s="60">
        <f t="shared" ref="N27:P27" si="116">((80000*(1.05^1))/12)*N$1</f>
        <v>35000</v>
      </c>
      <c r="O27" s="60">
        <f t="shared" si="116"/>
        <v>21000</v>
      </c>
      <c r="P27" s="60">
        <f t="shared" si="116"/>
        <v>28000</v>
      </c>
      <c r="Q27" s="60">
        <f t="shared" ref="Q27:S27" si="117">((80000*(1.05^2))/12)*Q$1</f>
        <v>36750</v>
      </c>
      <c r="R27" s="60">
        <f t="shared" si="117"/>
        <v>22050</v>
      </c>
      <c r="S27" s="60">
        <f t="shared" si="117"/>
        <v>29400</v>
      </c>
      <c r="T27" s="60">
        <f t="shared" ref="T27:T29" si="121">((80000*(1.05^3))/12)*T$1</f>
        <v>38587.5</v>
      </c>
      <c r="U27" s="10"/>
      <c r="V27" s="10"/>
    </row>
    <row r="28">
      <c r="A28" s="2" t="s">
        <v>158</v>
      </c>
      <c r="B28" s="53"/>
      <c r="C28" s="53"/>
      <c r="D28" s="53"/>
      <c r="E28" s="53"/>
      <c r="F28" s="53"/>
      <c r="G28" s="53"/>
      <c r="H28" s="53"/>
      <c r="I28" s="53"/>
      <c r="J28" s="53"/>
      <c r="K28" s="60">
        <f t="shared" ref="K28:M28" si="118">(80000/12)*K$1</f>
        <v>33333.33333</v>
      </c>
      <c r="L28" s="60">
        <f t="shared" si="118"/>
        <v>20000</v>
      </c>
      <c r="M28" s="60">
        <f t="shared" si="118"/>
        <v>26666.66667</v>
      </c>
      <c r="N28" s="60">
        <f t="shared" ref="N28:P28" si="119">((80000*(1.05^1))/12)*N$1</f>
        <v>35000</v>
      </c>
      <c r="O28" s="60">
        <f t="shared" si="119"/>
        <v>21000</v>
      </c>
      <c r="P28" s="60">
        <f t="shared" si="119"/>
        <v>28000</v>
      </c>
      <c r="Q28" s="60">
        <f t="shared" ref="Q28:S28" si="120">((80000*(1.05^2))/12)*Q$1</f>
        <v>36750</v>
      </c>
      <c r="R28" s="60">
        <f t="shared" si="120"/>
        <v>22050</v>
      </c>
      <c r="S28" s="60">
        <f t="shared" si="120"/>
        <v>29400</v>
      </c>
      <c r="T28" s="60">
        <f t="shared" si="121"/>
        <v>38587.5</v>
      </c>
      <c r="U28" s="10"/>
      <c r="V28" s="10"/>
    </row>
    <row r="29">
      <c r="A29" s="2" t="s">
        <v>158</v>
      </c>
      <c r="B29" s="53"/>
      <c r="C29" s="53"/>
      <c r="D29" s="53"/>
      <c r="E29" s="53"/>
      <c r="F29" s="53"/>
      <c r="G29" s="53"/>
      <c r="H29" s="53"/>
      <c r="I29" s="53"/>
      <c r="J29" s="53"/>
      <c r="K29" s="60">
        <f t="shared" ref="K29:M29" si="122">(80000/12)*K$1</f>
        <v>33333.33333</v>
      </c>
      <c r="L29" s="60">
        <f t="shared" si="122"/>
        <v>20000</v>
      </c>
      <c r="M29" s="60">
        <f t="shared" si="122"/>
        <v>26666.66667</v>
      </c>
      <c r="N29" s="60">
        <f t="shared" ref="N29:P29" si="123">((80000*(1.05^1))/12)*N$1</f>
        <v>35000</v>
      </c>
      <c r="O29" s="60">
        <f t="shared" si="123"/>
        <v>21000</v>
      </c>
      <c r="P29" s="60">
        <f t="shared" si="123"/>
        <v>28000</v>
      </c>
      <c r="Q29" s="60">
        <f t="shared" ref="Q29:S29" si="124">((80000*(1.05^2))/12)*Q$1</f>
        <v>36750</v>
      </c>
      <c r="R29" s="60">
        <f t="shared" si="124"/>
        <v>22050</v>
      </c>
      <c r="S29" s="60">
        <f t="shared" si="124"/>
        <v>29400</v>
      </c>
      <c r="T29" s="60">
        <f t="shared" si="121"/>
        <v>38587.5</v>
      </c>
      <c r="U29" s="10"/>
      <c r="V29" s="10"/>
    </row>
    <row r="30">
      <c r="A30" s="2" t="s">
        <v>155</v>
      </c>
      <c r="B30" s="53"/>
      <c r="C30" s="53"/>
      <c r="D30" s="53"/>
      <c r="E30" s="53"/>
      <c r="F30" s="53"/>
      <c r="G30" s="53"/>
      <c r="H30" s="53"/>
      <c r="I30" s="53"/>
      <c r="J30" s="53"/>
      <c r="K30" s="60">
        <f t="shared" ref="K30:K33" si="128">(60000/12)*3</f>
        <v>15000</v>
      </c>
      <c r="L30" s="60">
        <f t="shared" ref="L30:M30" si="125">(60000/12)*L$1</f>
        <v>15000</v>
      </c>
      <c r="M30" s="60">
        <f t="shared" si="125"/>
        <v>20000</v>
      </c>
      <c r="N30" s="60">
        <f t="shared" ref="N30:P30" si="126">((60000*(1.05^1))/12)*N$1</f>
        <v>26250</v>
      </c>
      <c r="O30" s="60">
        <f t="shared" si="126"/>
        <v>15750</v>
      </c>
      <c r="P30" s="60">
        <f t="shared" si="126"/>
        <v>21000</v>
      </c>
      <c r="Q30" s="60">
        <f t="shared" ref="Q30:S30" si="127">((60000*(1.05^2))/12)*Q$1</f>
        <v>27562.5</v>
      </c>
      <c r="R30" s="60">
        <f t="shared" si="127"/>
        <v>16537.5</v>
      </c>
      <c r="S30" s="60">
        <f t="shared" si="127"/>
        <v>22050</v>
      </c>
      <c r="T30" s="60">
        <f t="shared" ref="T30:T33" si="132">((60000*(1.05^3))/12)*T$1</f>
        <v>28940.625</v>
      </c>
      <c r="U30" s="10"/>
      <c r="V30" s="10"/>
    </row>
    <row r="31">
      <c r="A31" s="2" t="s">
        <v>155</v>
      </c>
      <c r="B31" s="53"/>
      <c r="C31" s="53"/>
      <c r="D31" s="53"/>
      <c r="E31" s="53"/>
      <c r="F31" s="53"/>
      <c r="G31" s="53"/>
      <c r="H31" s="53"/>
      <c r="I31" s="53"/>
      <c r="J31" s="53"/>
      <c r="K31" s="60">
        <f t="shared" si="128"/>
        <v>15000</v>
      </c>
      <c r="L31" s="60">
        <f t="shared" ref="L31:M31" si="129">(60000/12)*L$1</f>
        <v>15000</v>
      </c>
      <c r="M31" s="60">
        <f t="shared" si="129"/>
        <v>20000</v>
      </c>
      <c r="N31" s="60">
        <f t="shared" ref="N31:P31" si="130">((60000*(1.05^1))/12)*N$1</f>
        <v>26250</v>
      </c>
      <c r="O31" s="60">
        <f t="shared" si="130"/>
        <v>15750</v>
      </c>
      <c r="P31" s="60">
        <f t="shared" si="130"/>
        <v>21000</v>
      </c>
      <c r="Q31" s="60">
        <f t="shared" ref="Q31:S31" si="131">((60000*(1.05^2))/12)*Q$1</f>
        <v>27562.5</v>
      </c>
      <c r="R31" s="60">
        <f t="shared" si="131"/>
        <v>16537.5</v>
      </c>
      <c r="S31" s="60">
        <f t="shared" si="131"/>
        <v>22050</v>
      </c>
      <c r="T31" s="60">
        <f t="shared" si="132"/>
        <v>28940.625</v>
      </c>
      <c r="U31" s="10"/>
      <c r="V31" s="10"/>
    </row>
    <row r="32">
      <c r="A32" s="2" t="s">
        <v>155</v>
      </c>
      <c r="B32" s="53"/>
      <c r="C32" s="53"/>
      <c r="D32" s="53"/>
      <c r="E32" s="53"/>
      <c r="F32" s="53"/>
      <c r="G32" s="53"/>
      <c r="H32" s="53"/>
      <c r="I32" s="53"/>
      <c r="J32" s="53"/>
      <c r="K32" s="60">
        <f t="shared" si="128"/>
        <v>15000</v>
      </c>
      <c r="L32" s="60">
        <f t="shared" ref="L32:M32" si="133">(60000/12)*L$1</f>
        <v>15000</v>
      </c>
      <c r="M32" s="60">
        <f t="shared" si="133"/>
        <v>20000</v>
      </c>
      <c r="N32" s="60">
        <f t="shared" ref="N32:P32" si="134">((60000*(1.05^1))/12)*N$1</f>
        <v>26250</v>
      </c>
      <c r="O32" s="60">
        <f t="shared" si="134"/>
        <v>15750</v>
      </c>
      <c r="P32" s="60">
        <f t="shared" si="134"/>
        <v>21000</v>
      </c>
      <c r="Q32" s="60">
        <f t="shared" ref="Q32:S32" si="135">((60000*(1.05^2))/12)*Q$1</f>
        <v>27562.5</v>
      </c>
      <c r="R32" s="60">
        <f t="shared" si="135"/>
        <v>16537.5</v>
      </c>
      <c r="S32" s="60">
        <f t="shared" si="135"/>
        <v>22050</v>
      </c>
      <c r="T32" s="60">
        <f t="shared" si="132"/>
        <v>28940.625</v>
      </c>
      <c r="U32" s="10"/>
      <c r="V32" s="10"/>
    </row>
    <row r="33">
      <c r="A33" s="2" t="s">
        <v>155</v>
      </c>
      <c r="B33" s="53"/>
      <c r="C33" s="53"/>
      <c r="D33" s="53"/>
      <c r="E33" s="53"/>
      <c r="F33" s="53"/>
      <c r="G33" s="53"/>
      <c r="H33" s="53"/>
      <c r="I33" s="53"/>
      <c r="J33" s="53"/>
      <c r="K33" s="60">
        <f t="shared" si="128"/>
        <v>15000</v>
      </c>
      <c r="L33" s="60">
        <f t="shared" ref="L33:M33" si="136">(60000/12)*L$1</f>
        <v>15000</v>
      </c>
      <c r="M33" s="60">
        <f t="shared" si="136"/>
        <v>20000</v>
      </c>
      <c r="N33" s="60">
        <f t="shared" ref="N33:P33" si="137">((60000*(1.05^1))/12)*N$1</f>
        <v>26250</v>
      </c>
      <c r="O33" s="60">
        <f t="shared" si="137"/>
        <v>15750</v>
      </c>
      <c r="P33" s="60">
        <f t="shared" si="137"/>
        <v>21000</v>
      </c>
      <c r="Q33" s="60">
        <f t="shared" ref="Q33:S33" si="138">((60000*(1.05^2))/12)*Q$1</f>
        <v>27562.5</v>
      </c>
      <c r="R33" s="60">
        <f t="shared" si="138"/>
        <v>16537.5</v>
      </c>
      <c r="S33" s="60">
        <f t="shared" si="138"/>
        <v>22050</v>
      </c>
      <c r="T33" s="60">
        <f t="shared" si="132"/>
        <v>28940.625</v>
      </c>
      <c r="U33" s="10"/>
      <c r="V33" s="10"/>
    </row>
    <row r="34">
      <c r="A34" s="2" t="s">
        <v>157</v>
      </c>
      <c r="B34" s="53"/>
      <c r="C34" s="53"/>
      <c r="D34" s="53"/>
      <c r="E34" s="53"/>
      <c r="F34" s="53"/>
      <c r="G34" s="53"/>
      <c r="H34" s="53"/>
      <c r="I34" s="53"/>
      <c r="J34" s="53"/>
      <c r="K34" s="60">
        <f t="shared" ref="K34:K35" si="142">(72000/12)*4</f>
        <v>24000</v>
      </c>
      <c r="L34" s="60">
        <f t="shared" ref="L34:M34" si="139">(72000/12)*L$1</f>
        <v>18000</v>
      </c>
      <c r="M34" s="60">
        <f t="shared" si="139"/>
        <v>24000</v>
      </c>
      <c r="N34" s="60">
        <f t="shared" ref="N34:P34" si="140">((72000*(1.05^1))/12)*N$1</f>
        <v>31500</v>
      </c>
      <c r="O34" s="60">
        <f t="shared" si="140"/>
        <v>18900</v>
      </c>
      <c r="P34" s="60">
        <f t="shared" si="140"/>
        <v>25200</v>
      </c>
      <c r="Q34" s="60">
        <f t="shared" ref="Q34:S34" si="141">((72000*(1.05^2))/12)*Q$1</f>
        <v>33075</v>
      </c>
      <c r="R34" s="60">
        <f t="shared" si="141"/>
        <v>19845</v>
      </c>
      <c r="S34" s="60">
        <f t="shared" si="141"/>
        <v>26460</v>
      </c>
      <c r="T34" s="60">
        <f t="shared" ref="T34:T35" si="146">((72000*(1.05^3))/12)*T$1</f>
        <v>34728.75</v>
      </c>
      <c r="U34" s="10"/>
      <c r="V34" s="10"/>
    </row>
    <row r="35">
      <c r="A35" s="2" t="s">
        <v>157</v>
      </c>
      <c r="B35" s="53"/>
      <c r="C35" s="53"/>
      <c r="D35" s="53"/>
      <c r="E35" s="53"/>
      <c r="F35" s="53"/>
      <c r="G35" s="53"/>
      <c r="H35" s="53"/>
      <c r="I35" s="53"/>
      <c r="J35" s="53"/>
      <c r="K35" s="60">
        <f t="shared" si="142"/>
        <v>24000</v>
      </c>
      <c r="L35" s="60">
        <f t="shared" ref="L35:M35" si="143">(72000/12)*L$1</f>
        <v>18000</v>
      </c>
      <c r="M35" s="60">
        <f t="shared" si="143"/>
        <v>24000</v>
      </c>
      <c r="N35" s="60">
        <f t="shared" ref="N35:P35" si="144">((72000*(1.05^1))/12)*N$1</f>
        <v>31500</v>
      </c>
      <c r="O35" s="60">
        <f t="shared" si="144"/>
        <v>18900</v>
      </c>
      <c r="P35" s="60">
        <f t="shared" si="144"/>
        <v>25200</v>
      </c>
      <c r="Q35" s="60">
        <f t="shared" ref="Q35:S35" si="145">((72000*(1.05^2))/12)*Q$1</f>
        <v>33075</v>
      </c>
      <c r="R35" s="60">
        <f t="shared" si="145"/>
        <v>19845</v>
      </c>
      <c r="S35" s="60">
        <f t="shared" si="145"/>
        <v>26460</v>
      </c>
      <c r="T35" s="60">
        <f t="shared" si="146"/>
        <v>34728.75</v>
      </c>
      <c r="U35" s="10"/>
      <c r="V35" s="10"/>
    </row>
    <row r="36">
      <c r="A36" s="2" t="s">
        <v>156</v>
      </c>
      <c r="B36" s="53"/>
      <c r="C36" s="53"/>
      <c r="D36" s="53"/>
      <c r="E36" s="53"/>
      <c r="F36" s="53"/>
      <c r="G36" s="53"/>
      <c r="H36" s="53"/>
      <c r="I36" s="53"/>
      <c r="J36" s="53"/>
      <c r="K36" s="60">
        <f>(65000/12)*3</f>
        <v>16250</v>
      </c>
      <c r="L36" s="60">
        <f t="shared" ref="L36:M36" si="147">(65000/12)*L1</f>
        <v>16250</v>
      </c>
      <c r="M36" s="60">
        <f t="shared" si="147"/>
        <v>21666.66667</v>
      </c>
      <c r="N36" s="60">
        <f t="shared" ref="N36:P36" si="148">((65000*(1.05^1))/12)*N1</f>
        <v>28437.5</v>
      </c>
      <c r="O36" s="60">
        <f t="shared" si="148"/>
        <v>17062.5</v>
      </c>
      <c r="P36" s="60">
        <f t="shared" si="148"/>
        <v>22750</v>
      </c>
      <c r="Q36" s="60">
        <f t="shared" ref="Q36:S36" si="149">((65000*(1.05^2))/12)*Q1</f>
        <v>29859.375</v>
      </c>
      <c r="R36" s="60">
        <f t="shared" si="149"/>
        <v>17915.625</v>
      </c>
      <c r="S36" s="60">
        <f t="shared" si="149"/>
        <v>23887.5</v>
      </c>
      <c r="T36" s="60">
        <f>((65000*(1.05^3))/12)*T1</f>
        <v>31352.34375</v>
      </c>
      <c r="U36" s="10"/>
      <c r="V36" s="10"/>
    </row>
    <row r="37">
      <c r="A37" s="2" t="s">
        <v>159</v>
      </c>
      <c r="B37" s="53"/>
      <c r="C37" s="53"/>
      <c r="D37" s="53"/>
      <c r="E37" s="53"/>
      <c r="F37" s="53"/>
      <c r="G37" s="53"/>
      <c r="H37" s="53"/>
      <c r="I37" s="53"/>
      <c r="J37" s="53"/>
      <c r="K37" s="60">
        <f t="shared" ref="K37:M37" si="150">(70000/12)*K$1</f>
        <v>29166.66667</v>
      </c>
      <c r="L37" s="60">
        <f t="shared" si="150"/>
        <v>17500</v>
      </c>
      <c r="M37" s="60">
        <f t="shared" si="150"/>
        <v>23333.33333</v>
      </c>
      <c r="N37" s="60">
        <f t="shared" ref="N37:P37" si="151">((70000*(1.05^1))/12)*N$1</f>
        <v>30625</v>
      </c>
      <c r="O37" s="60">
        <f t="shared" si="151"/>
        <v>18375</v>
      </c>
      <c r="P37" s="60">
        <f t="shared" si="151"/>
        <v>24500</v>
      </c>
      <c r="Q37" s="60">
        <f t="shared" ref="Q37:S37" si="152">((70000*(1.05^2))/12)*Q$1</f>
        <v>32156.25</v>
      </c>
      <c r="R37" s="60">
        <f t="shared" si="152"/>
        <v>19293.75</v>
      </c>
      <c r="S37" s="60">
        <f t="shared" si="152"/>
        <v>25725</v>
      </c>
      <c r="T37" s="60">
        <f>((70000*(1.05^3))/12)*T$1</f>
        <v>33764.0625</v>
      </c>
      <c r="U37" s="10"/>
      <c r="V37" s="10"/>
    </row>
    <row r="38">
      <c r="A38" s="2" t="s">
        <v>154</v>
      </c>
      <c r="B38" s="53"/>
      <c r="C38" s="53"/>
      <c r="D38" s="53"/>
      <c r="E38" s="53"/>
      <c r="F38" s="53"/>
      <c r="G38" s="53"/>
      <c r="H38" s="53"/>
      <c r="I38" s="53"/>
      <c r="J38" s="53"/>
      <c r="K38" s="60"/>
      <c r="L38" s="53">
        <f t="shared" ref="L38:L40" si="153">(17.5*(2000/12)*2.5)</f>
        <v>7291.666667</v>
      </c>
      <c r="M38" s="60">
        <v>0.0</v>
      </c>
      <c r="N38" s="60">
        <v>0.0</v>
      </c>
      <c r="O38" s="53">
        <f t="shared" ref="O38:O40" si="154">(17.5*(2000/12)*2.5)</f>
        <v>7291.666667</v>
      </c>
      <c r="P38" s="60">
        <v>0.0</v>
      </c>
      <c r="Q38" s="60">
        <v>0.0</v>
      </c>
      <c r="R38" s="53">
        <f t="shared" ref="R38:R40" si="155">(17.5*(2000/12)*2.5)</f>
        <v>7291.666667</v>
      </c>
      <c r="S38" s="60">
        <v>0.0</v>
      </c>
      <c r="T38" s="60">
        <v>0.0</v>
      </c>
      <c r="U38" s="53"/>
      <c r="V38" s="60"/>
      <c r="W38" s="60"/>
    </row>
    <row r="39">
      <c r="A39" s="2" t="s">
        <v>154</v>
      </c>
      <c r="B39" s="53"/>
      <c r="C39" s="53"/>
      <c r="D39" s="53"/>
      <c r="E39" s="53"/>
      <c r="F39" s="53"/>
      <c r="G39" s="53"/>
      <c r="H39" s="53"/>
      <c r="I39" s="53"/>
      <c r="J39" s="53"/>
      <c r="K39" s="60"/>
      <c r="L39" s="53">
        <f t="shared" si="153"/>
        <v>7291.666667</v>
      </c>
      <c r="M39" s="60">
        <v>0.0</v>
      </c>
      <c r="N39" s="60">
        <v>0.0</v>
      </c>
      <c r="O39" s="53">
        <f t="shared" si="154"/>
        <v>7291.666667</v>
      </c>
      <c r="P39" s="60">
        <v>0.0</v>
      </c>
      <c r="Q39" s="60">
        <v>0.0</v>
      </c>
      <c r="R39" s="53">
        <f t="shared" si="155"/>
        <v>7291.666667</v>
      </c>
      <c r="S39" s="60">
        <v>0.0</v>
      </c>
      <c r="T39" s="60">
        <v>0.0</v>
      </c>
      <c r="U39" s="53"/>
      <c r="V39" s="60"/>
      <c r="W39" s="60"/>
    </row>
    <row r="40">
      <c r="A40" s="2" t="s">
        <v>154</v>
      </c>
      <c r="B40" s="53"/>
      <c r="C40" s="53"/>
      <c r="D40" s="53"/>
      <c r="E40" s="53"/>
      <c r="F40" s="53"/>
      <c r="G40" s="53"/>
      <c r="H40" s="53"/>
      <c r="I40" s="53"/>
      <c r="J40" s="53"/>
      <c r="K40" s="60"/>
      <c r="L40" s="53">
        <f t="shared" si="153"/>
        <v>7291.666667</v>
      </c>
      <c r="M40" s="60">
        <v>0.0</v>
      </c>
      <c r="N40" s="60">
        <v>0.0</v>
      </c>
      <c r="O40" s="53">
        <f t="shared" si="154"/>
        <v>7291.666667</v>
      </c>
      <c r="P40" s="60">
        <v>0.0</v>
      </c>
      <c r="Q40" s="60">
        <v>0.0</v>
      </c>
      <c r="R40" s="53">
        <f t="shared" si="155"/>
        <v>7291.666667</v>
      </c>
      <c r="S40" s="60">
        <v>0.0</v>
      </c>
      <c r="T40" s="60">
        <v>0.0</v>
      </c>
      <c r="U40" s="53"/>
      <c r="V40" s="60"/>
      <c r="W40" s="60"/>
    </row>
    <row r="41">
      <c r="A41" s="2" t="s">
        <v>156</v>
      </c>
      <c r="B41" s="53"/>
      <c r="C41" s="53"/>
      <c r="D41" s="53"/>
      <c r="E41" s="53"/>
      <c r="F41" s="53"/>
      <c r="G41" s="53"/>
      <c r="H41" s="53"/>
      <c r="I41" s="53"/>
      <c r="J41" s="53"/>
      <c r="K41" s="60"/>
      <c r="L41" s="53"/>
      <c r="M41" s="53">
        <f t="shared" ref="M41:O41" si="156">(65000/12)*M$1</f>
        <v>21666.66667</v>
      </c>
      <c r="N41" s="53">
        <f t="shared" si="156"/>
        <v>27083.33333</v>
      </c>
      <c r="O41" s="53">
        <f t="shared" si="156"/>
        <v>16250</v>
      </c>
      <c r="P41" s="53">
        <f t="shared" ref="P41:R41" si="157">((65000*(1.05^1))/12)*P$1</f>
        <v>22750</v>
      </c>
      <c r="Q41" s="53">
        <f t="shared" si="157"/>
        <v>28437.5</v>
      </c>
      <c r="R41" s="53">
        <f t="shared" si="157"/>
        <v>17062.5</v>
      </c>
      <c r="S41" s="53">
        <f t="shared" ref="S41:T41" si="158">((65000*(1.05^2))/12)*S$1</f>
        <v>23887.5</v>
      </c>
      <c r="T41" s="53">
        <f t="shared" si="158"/>
        <v>29859.375</v>
      </c>
      <c r="U41" s="10"/>
      <c r="V41" s="10"/>
    </row>
    <row r="42">
      <c r="A42" s="2" t="s">
        <v>158</v>
      </c>
      <c r="B42" s="53"/>
      <c r="C42" s="53"/>
      <c r="D42" s="53"/>
      <c r="E42" s="53"/>
      <c r="F42" s="53"/>
      <c r="G42" s="53"/>
      <c r="H42" s="53"/>
      <c r="I42" s="53"/>
      <c r="J42" s="53"/>
      <c r="K42" s="60"/>
      <c r="L42" s="53"/>
      <c r="M42" s="53"/>
      <c r="N42" s="53">
        <f t="shared" ref="N42:P42" si="159">(80000/12)*N$1</f>
        <v>33333.33333</v>
      </c>
      <c r="O42" s="53">
        <f t="shared" si="159"/>
        <v>20000</v>
      </c>
      <c r="P42" s="53">
        <f t="shared" si="159"/>
        <v>26666.66667</v>
      </c>
      <c r="Q42" s="53">
        <f t="shared" ref="Q42:S42" si="160">((80000*1.05)/12)*Q$1</f>
        <v>35000</v>
      </c>
      <c r="R42" s="53">
        <f t="shared" si="160"/>
        <v>21000</v>
      </c>
      <c r="S42" s="53">
        <f t="shared" si="160"/>
        <v>28000</v>
      </c>
      <c r="T42" s="53">
        <f t="shared" ref="T42:T43" si="163">((80000*(1.05^2))/12)*T$1</f>
        <v>36750</v>
      </c>
      <c r="U42" s="10"/>
      <c r="V42" s="10"/>
    </row>
    <row r="43">
      <c r="A43" s="2" t="s">
        <v>158</v>
      </c>
      <c r="B43" s="53"/>
      <c r="C43" s="53"/>
      <c r="D43" s="53"/>
      <c r="E43" s="53"/>
      <c r="F43" s="53"/>
      <c r="G43" s="53"/>
      <c r="H43" s="53"/>
      <c r="I43" s="53"/>
      <c r="J43" s="53"/>
      <c r="K43" s="60"/>
      <c r="L43" s="53"/>
      <c r="M43" s="53"/>
      <c r="N43" s="53">
        <f t="shared" ref="N43:P43" si="161">(80000/12)*N$1</f>
        <v>33333.33333</v>
      </c>
      <c r="O43" s="53">
        <f t="shared" si="161"/>
        <v>20000</v>
      </c>
      <c r="P43" s="53">
        <f t="shared" si="161"/>
        <v>26666.66667</v>
      </c>
      <c r="Q43" s="53">
        <f t="shared" ref="Q43:S43" si="162">((80000*1.05)/12)*Q$1</f>
        <v>35000</v>
      </c>
      <c r="R43" s="53">
        <f t="shared" si="162"/>
        <v>21000</v>
      </c>
      <c r="S43" s="53">
        <f t="shared" si="162"/>
        <v>28000</v>
      </c>
      <c r="T43" s="53">
        <f t="shared" si="163"/>
        <v>36750</v>
      </c>
      <c r="U43" s="10"/>
      <c r="V43" s="10"/>
    </row>
    <row r="44">
      <c r="A44" s="2" t="s">
        <v>155</v>
      </c>
      <c r="B44" s="53"/>
      <c r="C44" s="53"/>
      <c r="D44" s="53"/>
      <c r="E44" s="53"/>
      <c r="F44" s="53"/>
      <c r="G44" s="53"/>
      <c r="H44" s="53"/>
      <c r="I44" s="53"/>
      <c r="J44" s="53"/>
      <c r="K44" s="60"/>
      <c r="L44" s="53"/>
      <c r="M44" s="53"/>
      <c r="N44" s="53">
        <f t="shared" ref="N44:N46" si="166">(65000/12)*3</f>
        <v>16250</v>
      </c>
      <c r="O44" s="53">
        <f t="shared" ref="O44:P44" si="164">(65000/12)*O$1</f>
        <v>16250</v>
      </c>
      <c r="P44" s="53">
        <f t="shared" si="164"/>
        <v>21666.66667</v>
      </c>
      <c r="Q44" s="53">
        <f t="shared" ref="Q44:S44" si="165">((65000*1.05)/12)*Q$1</f>
        <v>28437.5</v>
      </c>
      <c r="R44" s="53">
        <f t="shared" si="165"/>
        <v>17062.5</v>
      </c>
      <c r="S44" s="53">
        <f t="shared" si="165"/>
        <v>22750</v>
      </c>
      <c r="T44" s="53">
        <f t="shared" ref="T44:T46" si="169">((65000*(1.05^2))/12)*T$1</f>
        <v>29859.375</v>
      </c>
      <c r="U44" s="10"/>
      <c r="V44" s="10"/>
    </row>
    <row r="45">
      <c r="A45" s="2" t="s">
        <v>155</v>
      </c>
      <c r="B45" s="53"/>
      <c r="C45" s="53"/>
      <c r="D45" s="53"/>
      <c r="E45" s="53"/>
      <c r="F45" s="53"/>
      <c r="G45" s="53"/>
      <c r="H45" s="53"/>
      <c r="I45" s="53"/>
      <c r="J45" s="53"/>
      <c r="K45" s="60"/>
      <c r="L45" s="53"/>
      <c r="M45" s="53"/>
      <c r="N45" s="53">
        <f t="shared" si="166"/>
        <v>16250</v>
      </c>
      <c r="O45" s="53">
        <f t="shared" ref="O45:P45" si="167">(65000/12)*O$1</f>
        <v>16250</v>
      </c>
      <c r="P45" s="53">
        <f t="shared" si="167"/>
        <v>21666.66667</v>
      </c>
      <c r="Q45" s="53">
        <f t="shared" ref="Q45:S45" si="168">((65000*1.05)/12)*Q$1</f>
        <v>28437.5</v>
      </c>
      <c r="R45" s="53">
        <f t="shared" si="168"/>
        <v>17062.5</v>
      </c>
      <c r="S45" s="53">
        <f t="shared" si="168"/>
        <v>22750</v>
      </c>
      <c r="T45" s="53">
        <f t="shared" si="169"/>
        <v>29859.375</v>
      </c>
      <c r="U45" s="10"/>
      <c r="V45" s="10"/>
    </row>
    <row r="46">
      <c r="A46" s="2" t="s">
        <v>155</v>
      </c>
      <c r="B46" s="53"/>
      <c r="C46" s="53"/>
      <c r="D46" s="53"/>
      <c r="E46" s="53"/>
      <c r="F46" s="53"/>
      <c r="G46" s="53"/>
      <c r="H46" s="53"/>
      <c r="I46" s="53"/>
      <c r="J46" s="53"/>
      <c r="K46" s="60"/>
      <c r="L46" s="53"/>
      <c r="M46" s="53"/>
      <c r="N46" s="53">
        <f t="shared" si="166"/>
        <v>16250</v>
      </c>
      <c r="O46" s="53">
        <f t="shared" ref="O46:P46" si="170">(65000/12)*O$1</f>
        <v>16250</v>
      </c>
      <c r="P46" s="53">
        <f t="shared" si="170"/>
        <v>21666.66667</v>
      </c>
      <c r="Q46" s="53">
        <f t="shared" ref="Q46:S46" si="171">((65000*1.05)/12)*Q$1</f>
        <v>28437.5</v>
      </c>
      <c r="R46" s="53">
        <f t="shared" si="171"/>
        <v>17062.5</v>
      </c>
      <c r="S46" s="53">
        <f t="shared" si="171"/>
        <v>22750</v>
      </c>
      <c r="T46" s="53">
        <f t="shared" si="169"/>
        <v>29859.375</v>
      </c>
      <c r="U46" s="10"/>
      <c r="V46" s="10"/>
    </row>
    <row r="47">
      <c r="A47" s="2" t="s">
        <v>156</v>
      </c>
      <c r="B47" s="53"/>
      <c r="C47" s="53"/>
      <c r="D47" s="53"/>
      <c r="E47" s="53"/>
      <c r="F47" s="53"/>
      <c r="G47" s="53"/>
      <c r="H47" s="53"/>
      <c r="I47" s="53"/>
      <c r="J47" s="53"/>
      <c r="K47" s="60"/>
      <c r="L47" s="53"/>
      <c r="M47" s="53"/>
      <c r="N47" s="53">
        <f t="shared" ref="N47:N49" si="174">(70000/12)*3</f>
        <v>17500</v>
      </c>
      <c r="O47" s="53">
        <f t="shared" ref="O47:P47" si="172">(70000/12)*O$1</f>
        <v>17500</v>
      </c>
      <c r="P47" s="53">
        <f t="shared" si="172"/>
        <v>23333.33333</v>
      </c>
      <c r="Q47" s="53">
        <f t="shared" ref="Q47:S47" si="173">((70000*1.05)/12)*3</f>
        <v>18375</v>
      </c>
      <c r="R47" s="53">
        <f t="shared" si="173"/>
        <v>18375</v>
      </c>
      <c r="S47" s="53">
        <f t="shared" si="173"/>
        <v>18375</v>
      </c>
      <c r="T47" s="53">
        <f t="shared" ref="T47:T49" si="177">((70000*(1.05^2))/12)*3</f>
        <v>19293.75</v>
      </c>
      <c r="U47" s="10"/>
      <c r="V47" s="10"/>
    </row>
    <row r="48">
      <c r="A48" s="2" t="s">
        <v>156</v>
      </c>
      <c r="B48" s="53"/>
      <c r="C48" s="53"/>
      <c r="D48" s="53"/>
      <c r="E48" s="53"/>
      <c r="F48" s="53"/>
      <c r="G48" s="53"/>
      <c r="H48" s="53"/>
      <c r="I48" s="53"/>
      <c r="J48" s="53"/>
      <c r="K48" s="60"/>
      <c r="L48" s="53"/>
      <c r="M48" s="53"/>
      <c r="N48" s="53">
        <f t="shared" si="174"/>
        <v>17500</v>
      </c>
      <c r="O48" s="53">
        <f t="shared" ref="O48:P48" si="175">(70000/12)*O$1</f>
        <v>17500</v>
      </c>
      <c r="P48" s="53">
        <f t="shared" si="175"/>
        <v>23333.33333</v>
      </c>
      <c r="Q48" s="53">
        <f t="shared" ref="Q48:S48" si="176">((70000*1.05)/12)*3</f>
        <v>18375</v>
      </c>
      <c r="R48" s="53">
        <f t="shared" si="176"/>
        <v>18375</v>
      </c>
      <c r="S48" s="53">
        <f t="shared" si="176"/>
        <v>18375</v>
      </c>
      <c r="T48" s="53">
        <f t="shared" si="177"/>
        <v>19293.75</v>
      </c>
      <c r="U48" s="10"/>
      <c r="V48" s="10"/>
    </row>
    <row r="49">
      <c r="A49" s="2" t="s">
        <v>156</v>
      </c>
      <c r="B49" s="53"/>
      <c r="C49" s="53"/>
      <c r="D49" s="53"/>
      <c r="E49" s="53"/>
      <c r="F49" s="53"/>
      <c r="G49" s="53"/>
      <c r="H49" s="53"/>
      <c r="I49" s="53"/>
      <c r="J49" s="53"/>
      <c r="K49" s="60"/>
      <c r="L49" s="53"/>
      <c r="M49" s="53"/>
      <c r="N49" s="53">
        <f t="shared" si="174"/>
        <v>17500</v>
      </c>
      <c r="O49" s="53">
        <f t="shared" ref="O49:P49" si="178">(70000/12)*O$1</f>
        <v>17500</v>
      </c>
      <c r="P49" s="53">
        <f t="shared" si="178"/>
        <v>23333.33333</v>
      </c>
      <c r="Q49" s="53">
        <f t="shared" ref="Q49:S49" si="179">((70000*1.05)/12)*3</f>
        <v>18375</v>
      </c>
      <c r="R49" s="53">
        <f t="shared" si="179"/>
        <v>18375</v>
      </c>
      <c r="S49" s="53">
        <f t="shared" si="179"/>
        <v>18375</v>
      </c>
      <c r="T49" s="53">
        <f t="shared" si="177"/>
        <v>19293.75</v>
      </c>
      <c r="U49" s="10"/>
      <c r="V49" s="10"/>
    </row>
    <row r="50">
      <c r="A50" s="2" t="s">
        <v>159</v>
      </c>
      <c r="B50" s="53"/>
      <c r="C50" s="53"/>
      <c r="D50" s="53"/>
      <c r="E50" s="53"/>
      <c r="F50" s="53"/>
      <c r="G50" s="53"/>
      <c r="H50" s="53"/>
      <c r="I50" s="53"/>
      <c r="J50" s="53"/>
      <c r="K50" s="60"/>
      <c r="L50" s="53"/>
      <c r="M50" s="53"/>
      <c r="N50" s="53">
        <f>(70000/12)*N1</f>
        <v>29166.66667</v>
      </c>
      <c r="O50" s="53">
        <f t="shared" ref="O50:P50" si="180">(70000/12)*O$1</f>
        <v>17500</v>
      </c>
      <c r="P50" s="53">
        <f t="shared" si="180"/>
        <v>23333.33333</v>
      </c>
      <c r="Q50" s="53">
        <f t="shared" ref="Q50:S50" si="181">((70000*1.05)/12)*Q$1</f>
        <v>30625</v>
      </c>
      <c r="R50" s="53">
        <f t="shared" si="181"/>
        <v>18375</v>
      </c>
      <c r="S50" s="53">
        <f t="shared" si="181"/>
        <v>24500</v>
      </c>
      <c r="T50" s="53">
        <f>((70000*(1.05^2))/12)*T$1</f>
        <v>32156.25</v>
      </c>
      <c r="U50" s="10"/>
      <c r="V50" s="10"/>
    </row>
    <row r="51">
      <c r="A51" s="2" t="s">
        <v>154</v>
      </c>
      <c r="B51" s="53"/>
      <c r="C51" s="53"/>
      <c r="D51" s="53"/>
      <c r="E51" s="53"/>
      <c r="F51" s="53"/>
      <c r="G51" s="53"/>
      <c r="H51" s="53"/>
      <c r="I51" s="53"/>
      <c r="J51" s="53"/>
      <c r="K51" s="60"/>
      <c r="L51" s="53"/>
      <c r="M51" s="53"/>
      <c r="N51" s="53"/>
      <c r="O51" s="53">
        <f t="shared" ref="O51:O54" si="182">(17.5*(2000/12)*2.5)</f>
        <v>7291.666667</v>
      </c>
      <c r="P51" s="60">
        <v>0.0</v>
      </c>
      <c r="Q51" s="60">
        <v>0.0</v>
      </c>
      <c r="R51" s="53">
        <f t="shared" ref="R51:R54" si="183">(17.5*(2000/12)*2.5)</f>
        <v>7291.666667</v>
      </c>
      <c r="S51" s="60">
        <v>0.0</v>
      </c>
      <c r="T51" s="60">
        <v>0.0</v>
      </c>
      <c r="U51" s="10"/>
      <c r="V51" s="10"/>
    </row>
    <row r="52">
      <c r="A52" s="2" t="s">
        <v>154</v>
      </c>
      <c r="B52" s="53"/>
      <c r="C52" s="53"/>
      <c r="D52" s="53"/>
      <c r="E52" s="53"/>
      <c r="F52" s="53"/>
      <c r="G52" s="53"/>
      <c r="H52" s="53"/>
      <c r="I52" s="53"/>
      <c r="J52" s="53"/>
      <c r="K52" s="60"/>
      <c r="L52" s="53"/>
      <c r="M52" s="53"/>
      <c r="N52" s="53"/>
      <c r="O52" s="53">
        <f t="shared" si="182"/>
        <v>7291.666667</v>
      </c>
      <c r="P52" s="60">
        <v>0.0</v>
      </c>
      <c r="Q52" s="60">
        <v>0.0</v>
      </c>
      <c r="R52" s="53">
        <f t="shared" si="183"/>
        <v>7291.666667</v>
      </c>
      <c r="S52" s="60">
        <v>0.0</v>
      </c>
      <c r="T52" s="60">
        <v>0.0</v>
      </c>
      <c r="U52" s="10"/>
      <c r="V52" s="10"/>
    </row>
    <row r="53">
      <c r="A53" s="2" t="s">
        <v>154</v>
      </c>
      <c r="B53" s="53"/>
      <c r="C53" s="53"/>
      <c r="D53" s="53"/>
      <c r="E53" s="53"/>
      <c r="F53" s="53"/>
      <c r="G53" s="53"/>
      <c r="H53" s="53"/>
      <c r="I53" s="53"/>
      <c r="J53" s="53"/>
      <c r="K53" s="60"/>
      <c r="L53" s="53"/>
      <c r="M53" s="53"/>
      <c r="N53" s="53"/>
      <c r="O53" s="53">
        <f t="shared" si="182"/>
        <v>7291.666667</v>
      </c>
      <c r="P53" s="60">
        <v>0.0</v>
      </c>
      <c r="Q53" s="60">
        <v>0.0</v>
      </c>
      <c r="R53" s="53">
        <f t="shared" si="183"/>
        <v>7291.666667</v>
      </c>
      <c r="S53" s="60">
        <v>0.0</v>
      </c>
      <c r="T53" s="60">
        <v>0.0</v>
      </c>
      <c r="U53" s="10"/>
      <c r="V53" s="10"/>
    </row>
    <row r="54">
      <c r="A54" s="2" t="s">
        <v>154</v>
      </c>
      <c r="B54" s="53"/>
      <c r="C54" s="53"/>
      <c r="D54" s="53"/>
      <c r="E54" s="53"/>
      <c r="F54" s="53"/>
      <c r="G54" s="53"/>
      <c r="H54" s="53"/>
      <c r="I54" s="53"/>
      <c r="J54" s="53"/>
      <c r="K54" s="60"/>
      <c r="L54" s="53"/>
      <c r="M54" s="53"/>
      <c r="N54" s="53"/>
      <c r="O54" s="53">
        <f t="shared" si="182"/>
        <v>7291.666667</v>
      </c>
      <c r="P54" s="60">
        <v>0.0</v>
      </c>
      <c r="Q54" s="60">
        <v>0.0</v>
      </c>
      <c r="R54" s="53">
        <f t="shared" si="183"/>
        <v>7291.666667</v>
      </c>
      <c r="S54" s="60">
        <v>0.0</v>
      </c>
      <c r="T54" s="60">
        <v>0.0</v>
      </c>
      <c r="U54" s="10"/>
      <c r="V54" s="10"/>
    </row>
    <row r="55">
      <c r="A55" s="2" t="s">
        <v>158</v>
      </c>
      <c r="B55" s="53"/>
      <c r="C55" s="53"/>
      <c r="D55" s="53"/>
      <c r="E55" s="53"/>
      <c r="F55" s="53"/>
      <c r="G55" s="53"/>
      <c r="H55" s="53"/>
      <c r="I55" s="53"/>
      <c r="J55" s="53"/>
      <c r="K55" s="60"/>
      <c r="L55" s="53"/>
      <c r="M55" s="53"/>
      <c r="N55" s="53"/>
      <c r="O55" s="53"/>
      <c r="P55" s="53"/>
      <c r="Q55" s="53">
        <f t="shared" ref="Q55:S55" si="184">(80000/12)*Q$1</f>
        <v>33333.33333</v>
      </c>
      <c r="R55" s="53">
        <f t="shared" si="184"/>
        <v>20000</v>
      </c>
      <c r="S55" s="53">
        <f t="shared" si="184"/>
        <v>26666.66667</v>
      </c>
      <c r="T55" s="53">
        <f t="shared" ref="T55:T59" si="186">((80000*1.05)/12)*T$1</f>
        <v>35000</v>
      </c>
      <c r="U55" s="10"/>
      <c r="V55" s="10"/>
    </row>
    <row r="56">
      <c r="A56" s="2" t="s">
        <v>158</v>
      </c>
      <c r="B56" s="53"/>
      <c r="C56" s="53"/>
      <c r="D56" s="53"/>
      <c r="E56" s="53"/>
      <c r="F56" s="53"/>
      <c r="G56" s="53"/>
      <c r="H56" s="53"/>
      <c r="I56" s="53"/>
      <c r="J56" s="53"/>
      <c r="K56" s="60"/>
      <c r="L56" s="53"/>
      <c r="M56" s="53"/>
      <c r="N56" s="53"/>
      <c r="O56" s="53"/>
      <c r="P56" s="53"/>
      <c r="Q56" s="53">
        <f t="shared" ref="Q56:S56" si="185">(80000/12)*Q$1</f>
        <v>33333.33333</v>
      </c>
      <c r="R56" s="53">
        <f t="shared" si="185"/>
        <v>20000</v>
      </c>
      <c r="S56" s="53">
        <f t="shared" si="185"/>
        <v>26666.66667</v>
      </c>
      <c r="T56" s="53">
        <f t="shared" si="186"/>
        <v>35000</v>
      </c>
      <c r="U56" s="10"/>
      <c r="V56" s="10"/>
    </row>
    <row r="57">
      <c r="A57" s="2" t="s">
        <v>158</v>
      </c>
      <c r="B57" s="53"/>
      <c r="C57" s="53"/>
      <c r="D57" s="53"/>
      <c r="E57" s="53"/>
      <c r="F57" s="53"/>
      <c r="G57" s="53"/>
      <c r="H57" s="53"/>
      <c r="I57" s="53"/>
      <c r="J57" s="53"/>
      <c r="K57" s="60"/>
      <c r="L57" s="53"/>
      <c r="M57" s="53"/>
      <c r="N57" s="53"/>
      <c r="O57" s="53"/>
      <c r="P57" s="53"/>
      <c r="Q57" s="53">
        <f t="shared" ref="Q57:S57" si="187">(80000/12)*Q$1</f>
        <v>33333.33333</v>
      </c>
      <c r="R57" s="53">
        <f t="shared" si="187"/>
        <v>20000</v>
      </c>
      <c r="S57" s="53">
        <f t="shared" si="187"/>
        <v>26666.66667</v>
      </c>
      <c r="T57" s="53">
        <f t="shared" si="186"/>
        <v>35000</v>
      </c>
      <c r="U57" s="10"/>
      <c r="V57" s="10"/>
    </row>
    <row r="58">
      <c r="A58" s="2" t="s">
        <v>158</v>
      </c>
      <c r="B58" s="53"/>
      <c r="C58" s="53"/>
      <c r="D58" s="53"/>
      <c r="E58" s="53"/>
      <c r="F58" s="53"/>
      <c r="G58" s="53"/>
      <c r="H58" s="53"/>
      <c r="I58" s="53"/>
      <c r="J58" s="53"/>
      <c r="K58" s="60"/>
      <c r="L58" s="53"/>
      <c r="M58" s="53"/>
      <c r="N58" s="53"/>
      <c r="O58" s="53"/>
      <c r="P58" s="53"/>
      <c r="Q58" s="53">
        <f t="shared" ref="Q58:S58" si="188">(80000/12)*Q$1</f>
        <v>33333.33333</v>
      </c>
      <c r="R58" s="53">
        <f t="shared" si="188"/>
        <v>20000</v>
      </c>
      <c r="S58" s="53">
        <f t="shared" si="188"/>
        <v>26666.66667</v>
      </c>
      <c r="T58" s="53">
        <f t="shared" si="186"/>
        <v>35000</v>
      </c>
      <c r="U58" s="10"/>
      <c r="V58" s="10"/>
    </row>
    <row r="59">
      <c r="A59" s="2" t="s">
        <v>158</v>
      </c>
      <c r="B59" s="53"/>
      <c r="C59" s="53"/>
      <c r="D59" s="53"/>
      <c r="E59" s="53"/>
      <c r="F59" s="53"/>
      <c r="G59" s="53"/>
      <c r="H59" s="53"/>
      <c r="I59" s="53"/>
      <c r="J59" s="53"/>
      <c r="K59" s="60"/>
      <c r="L59" s="53"/>
      <c r="M59" s="53"/>
      <c r="N59" s="53"/>
      <c r="O59" s="53"/>
      <c r="P59" s="53"/>
      <c r="Q59" s="53">
        <f t="shared" ref="Q59:S59" si="189">(80000/12)*Q$1</f>
        <v>33333.33333</v>
      </c>
      <c r="R59" s="53">
        <f t="shared" si="189"/>
        <v>20000</v>
      </c>
      <c r="S59" s="53">
        <f t="shared" si="189"/>
        <v>26666.66667</v>
      </c>
      <c r="T59" s="53">
        <f t="shared" si="186"/>
        <v>35000</v>
      </c>
      <c r="U59" s="10"/>
      <c r="V59" s="10"/>
    </row>
    <row r="60">
      <c r="A60" s="46" t="s">
        <v>152</v>
      </c>
      <c r="B60" s="63">
        <f t="shared" ref="B60:T60" si="190">SUM(B3:B59)</f>
        <v>41851</v>
      </c>
      <c r="C60" s="63">
        <f t="shared" si="190"/>
        <v>43642.16667</v>
      </c>
      <c r="D60" s="63">
        <f t="shared" si="190"/>
        <v>52100</v>
      </c>
      <c r="E60" s="63">
        <f t="shared" si="190"/>
        <v>52766.66667</v>
      </c>
      <c r="F60" s="63">
        <f t="shared" si="190"/>
        <v>50100</v>
      </c>
      <c r="G60" s="63">
        <f t="shared" si="190"/>
        <v>231566.6667</v>
      </c>
      <c r="H60" s="63">
        <f t="shared" si="190"/>
        <v>524250</v>
      </c>
      <c r="I60" s="63">
        <f t="shared" si="190"/>
        <v>405875</v>
      </c>
      <c r="J60" s="63">
        <f t="shared" si="190"/>
        <v>513050</v>
      </c>
      <c r="K60" s="63">
        <f t="shared" si="190"/>
        <v>910562.5</v>
      </c>
      <c r="L60" s="63">
        <f t="shared" si="190"/>
        <v>636700</v>
      </c>
      <c r="M60" s="63">
        <f t="shared" si="190"/>
        <v>813369.1667</v>
      </c>
      <c r="N60" s="63">
        <f t="shared" si="190"/>
        <v>1246232.292</v>
      </c>
      <c r="O60" s="63">
        <f t="shared" si="190"/>
        <v>870514.1667</v>
      </c>
      <c r="P60" s="63">
        <f t="shared" si="190"/>
        <v>1065704.292</v>
      </c>
      <c r="Q60" s="63">
        <f t="shared" si="190"/>
        <v>1509335.573</v>
      </c>
      <c r="R60" s="63">
        <f t="shared" si="190"/>
        <v>1010394.042</v>
      </c>
      <c r="S60" s="63">
        <f t="shared" si="190"/>
        <v>1233947.84</v>
      </c>
      <c r="T60" s="63">
        <f t="shared" si="190"/>
        <v>1584802.352</v>
      </c>
      <c r="U60" s="50"/>
      <c r="V60" s="50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10"/>
      <c r="V61" s="10"/>
    </row>
    <row r="62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10"/>
      <c r="V62" s="10"/>
    </row>
    <row r="63">
      <c r="A63" s="64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6"/>
      <c r="V63" s="66"/>
      <c r="W63" s="64"/>
      <c r="X63" s="64"/>
      <c r="Y63" s="64"/>
      <c r="Z63" s="64"/>
      <c r="AA63" s="64"/>
      <c r="AB63" s="64"/>
      <c r="AC63" s="64"/>
      <c r="AD63" s="64"/>
      <c r="AE63" s="64"/>
      <c r="AF63" s="64"/>
    </row>
    <row r="64">
      <c r="E64" s="2"/>
      <c r="F64" s="4"/>
      <c r="G64" s="3" t="s">
        <v>83</v>
      </c>
      <c r="H64" s="3" t="s">
        <v>84</v>
      </c>
      <c r="I64" s="3" t="s">
        <v>85</v>
      </c>
      <c r="J64" s="3" t="s">
        <v>86</v>
      </c>
      <c r="K64" s="3" t="s">
        <v>87</v>
      </c>
      <c r="L64" s="3" t="s">
        <v>88</v>
      </c>
      <c r="M64" s="3" t="s">
        <v>89</v>
      </c>
      <c r="N64" s="3" t="s">
        <v>90</v>
      </c>
      <c r="O64" s="3" t="s">
        <v>91</v>
      </c>
      <c r="P64" s="3" t="s">
        <v>92</v>
      </c>
      <c r="Q64" s="53"/>
      <c r="R64" s="53"/>
      <c r="S64" s="53"/>
      <c r="T64" s="53"/>
      <c r="U64" s="10"/>
      <c r="V64" s="10"/>
    </row>
    <row r="65">
      <c r="F65" s="4" t="s">
        <v>160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10"/>
      <c r="V65" s="10"/>
    </row>
    <row r="66">
      <c r="F66" s="2" t="s">
        <v>161</v>
      </c>
      <c r="G66" s="67"/>
      <c r="H66" s="1" t="s">
        <v>162</v>
      </c>
      <c r="I66" s="1"/>
      <c r="J66" s="1" t="s">
        <v>162</v>
      </c>
      <c r="K66" s="67"/>
      <c r="L66" s="1" t="s">
        <v>163</v>
      </c>
      <c r="M66" s="67"/>
      <c r="N66" s="1" t="s">
        <v>164</v>
      </c>
      <c r="O66" s="67"/>
      <c r="P66" s="67"/>
      <c r="Q66" s="53"/>
      <c r="R66" s="53"/>
      <c r="S66" s="53"/>
      <c r="T66" s="53"/>
      <c r="U66" s="10"/>
      <c r="V66" s="10"/>
    </row>
    <row r="67">
      <c r="F67" s="2" t="s">
        <v>165</v>
      </c>
      <c r="G67" s="1" t="s">
        <v>166</v>
      </c>
      <c r="H67" s="1" t="s">
        <v>167</v>
      </c>
      <c r="I67" s="1"/>
      <c r="J67" s="1" t="s">
        <v>167</v>
      </c>
      <c r="K67" s="1"/>
      <c r="L67" s="1" t="s">
        <v>167</v>
      </c>
      <c r="N67" s="67"/>
      <c r="O67" s="67"/>
      <c r="P67" s="67"/>
      <c r="Q67" s="53"/>
      <c r="R67" s="53"/>
      <c r="S67" s="53"/>
      <c r="T67" s="53"/>
      <c r="U67" s="10"/>
      <c r="V67" s="10"/>
    </row>
    <row r="68">
      <c r="F68" s="2" t="s">
        <v>168</v>
      </c>
      <c r="G68" s="67"/>
      <c r="H68" s="1" t="s">
        <v>169</v>
      </c>
      <c r="I68" s="67"/>
      <c r="J68" s="1" t="s">
        <v>170</v>
      </c>
      <c r="K68" s="67"/>
      <c r="L68" s="67"/>
      <c r="M68" s="67"/>
      <c r="N68" s="67"/>
      <c r="O68" s="67"/>
      <c r="P68" s="67"/>
      <c r="Q68" s="53"/>
      <c r="R68" s="53"/>
      <c r="S68" s="53"/>
      <c r="T68" s="53"/>
      <c r="U68" s="10"/>
      <c r="V68" s="10"/>
    </row>
    <row r="69">
      <c r="F69" s="2" t="s">
        <v>156</v>
      </c>
      <c r="G69" s="1" t="s">
        <v>171</v>
      </c>
      <c r="H69" s="1" t="s">
        <v>172</v>
      </c>
      <c r="I69" s="1" t="s">
        <v>166</v>
      </c>
      <c r="J69" s="1" t="s">
        <v>173</v>
      </c>
      <c r="K69" s="1" t="s">
        <v>174</v>
      </c>
      <c r="L69" s="1" t="s">
        <v>167</v>
      </c>
      <c r="M69" s="1"/>
      <c r="N69" s="67"/>
      <c r="O69" s="67"/>
      <c r="P69" s="67"/>
      <c r="Q69" s="53"/>
      <c r="R69" s="53"/>
      <c r="S69" s="53"/>
      <c r="T69" s="53"/>
      <c r="U69" s="10"/>
      <c r="V69" s="10"/>
    </row>
    <row r="70">
      <c r="F70" s="68" t="s">
        <v>159</v>
      </c>
      <c r="G70" s="1"/>
      <c r="H70" s="1" t="s">
        <v>175</v>
      </c>
      <c r="I70" s="67"/>
      <c r="J70" s="1" t="s">
        <v>169</v>
      </c>
      <c r="K70" s="67"/>
      <c r="L70" s="1" t="s">
        <v>169</v>
      </c>
      <c r="M70" s="67"/>
      <c r="N70" s="67"/>
      <c r="O70" s="67"/>
      <c r="P70" s="67"/>
      <c r="Q70" s="53"/>
      <c r="R70" s="53"/>
      <c r="S70" s="53"/>
      <c r="T70" s="53"/>
      <c r="U70" s="10"/>
      <c r="V70" s="10"/>
    </row>
    <row r="71">
      <c r="E71" s="4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53"/>
      <c r="R71" s="53"/>
      <c r="S71" s="53"/>
      <c r="T71" s="53"/>
      <c r="U71" s="10"/>
      <c r="V71" s="10"/>
    </row>
    <row r="72">
      <c r="E72" s="4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53"/>
      <c r="R72" s="53"/>
      <c r="S72" s="53"/>
      <c r="T72" s="53"/>
      <c r="U72" s="10"/>
      <c r="V72" s="10"/>
    </row>
    <row r="73">
      <c r="E73" s="4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53"/>
      <c r="R73" s="53"/>
      <c r="S73" s="53"/>
      <c r="T73" s="53"/>
      <c r="U73" s="10"/>
      <c r="V73" s="10"/>
    </row>
    <row r="74">
      <c r="E74" s="44" t="s">
        <v>95</v>
      </c>
      <c r="F74" s="3"/>
      <c r="G74" s="3" t="s">
        <v>83</v>
      </c>
      <c r="H74" s="3" t="s">
        <v>84</v>
      </c>
      <c r="I74" s="3" t="s">
        <v>85</v>
      </c>
      <c r="J74" s="3" t="s">
        <v>86</v>
      </c>
      <c r="K74" s="3" t="s">
        <v>87</v>
      </c>
      <c r="L74" s="3" t="s">
        <v>88</v>
      </c>
      <c r="M74" s="3" t="s">
        <v>89</v>
      </c>
      <c r="N74" s="3" t="s">
        <v>90</v>
      </c>
      <c r="O74" s="3" t="s">
        <v>91</v>
      </c>
      <c r="P74" s="3" t="s">
        <v>92</v>
      </c>
      <c r="Q74" s="53"/>
      <c r="R74" s="53"/>
      <c r="S74" s="53"/>
      <c r="T74" s="53"/>
      <c r="U74" s="10"/>
      <c r="V74" s="10"/>
    </row>
    <row r="75">
      <c r="E75" s="15" t="s">
        <v>93</v>
      </c>
      <c r="F75" s="20"/>
      <c r="G75" s="20">
        <v>5000.0</v>
      </c>
      <c r="H75" s="20">
        <v>7000.0</v>
      </c>
      <c r="I75" s="20">
        <v>50000.0</v>
      </c>
      <c r="J75" s="20">
        <v>70000.0</v>
      </c>
      <c r="K75" s="20">
        <v>500000.0</v>
      </c>
      <c r="L75" s="20">
        <v>600000.0</v>
      </c>
      <c r="M75" s="20">
        <v>2000000.0</v>
      </c>
      <c r="N75" s="20">
        <v>2500000.0</v>
      </c>
      <c r="O75" s="20">
        <v>4000000.0</v>
      </c>
      <c r="P75" s="20">
        <v>4000000.0</v>
      </c>
      <c r="Q75" s="53"/>
      <c r="R75" s="53"/>
      <c r="S75" s="53"/>
      <c r="T75" s="53"/>
      <c r="U75" s="10"/>
      <c r="V75" s="10"/>
    </row>
    <row r="76">
      <c r="E76" s="43" t="s">
        <v>94</v>
      </c>
      <c r="F76" s="2"/>
      <c r="G76" s="2">
        <v>4.0</v>
      </c>
      <c r="H76" s="2">
        <v>4.0</v>
      </c>
      <c r="I76" s="2">
        <v>25.0</v>
      </c>
      <c r="J76" s="2">
        <v>25.0</v>
      </c>
      <c r="K76" s="2">
        <v>200.0</v>
      </c>
      <c r="L76" s="2">
        <v>200.0</v>
      </c>
      <c r="M76" s="2">
        <v>400.0</v>
      </c>
      <c r="N76" s="2">
        <v>400.0</v>
      </c>
      <c r="O76" s="2">
        <v>800.0</v>
      </c>
      <c r="P76" s="2">
        <v>800.0</v>
      </c>
      <c r="Q76" s="53"/>
      <c r="R76" s="53"/>
      <c r="S76" s="53"/>
      <c r="T76" s="53"/>
      <c r="U76" s="10"/>
      <c r="V76" s="10"/>
    </row>
    <row r="77">
      <c r="E77" s="4"/>
      <c r="Q77" s="53"/>
      <c r="R77" s="53"/>
      <c r="S77" s="53"/>
      <c r="T77" s="53"/>
      <c r="U77" s="10"/>
      <c r="V77" s="10"/>
    </row>
    <row r="78">
      <c r="E78" s="4" t="s">
        <v>96</v>
      </c>
      <c r="Q78" s="53"/>
      <c r="R78" s="53"/>
      <c r="S78" s="53"/>
      <c r="T78" s="53"/>
      <c r="U78" s="10"/>
      <c r="V78" s="10"/>
    </row>
    <row r="79">
      <c r="E79" s="2" t="s">
        <v>97</v>
      </c>
      <c r="F79" s="45"/>
      <c r="G79" s="45">
        <f t="shared" ref="G79:H79" si="191">0.02</f>
        <v>0.02</v>
      </c>
      <c r="H79" s="45">
        <f t="shared" si="191"/>
        <v>0.02</v>
      </c>
      <c r="I79" s="45">
        <f t="shared" ref="I79:L79" si="192">0.05</f>
        <v>0.05</v>
      </c>
      <c r="J79" s="45">
        <f t="shared" si="192"/>
        <v>0.05</v>
      </c>
      <c r="K79" s="45">
        <f t="shared" si="192"/>
        <v>0.05</v>
      </c>
      <c r="L79" s="45">
        <f t="shared" si="192"/>
        <v>0.05</v>
      </c>
      <c r="M79" s="45">
        <f t="shared" ref="M79:N79" si="193">0.025</f>
        <v>0.025</v>
      </c>
      <c r="N79" s="45">
        <f t="shared" si="193"/>
        <v>0.025</v>
      </c>
      <c r="O79" s="45">
        <f t="shared" ref="O79:P79" si="194">0.015</f>
        <v>0.015</v>
      </c>
      <c r="P79" s="45">
        <f t="shared" si="194"/>
        <v>0.015</v>
      </c>
      <c r="Q79" s="53"/>
      <c r="R79" s="53"/>
      <c r="S79" s="53"/>
      <c r="T79" s="53"/>
      <c r="U79" s="10"/>
      <c r="V79" s="10"/>
    </row>
    <row r="80">
      <c r="E80" s="2" t="s">
        <v>98</v>
      </c>
      <c r="F80" s="2"/>
      <c r="G80" s="2">
        <v>0.0</v>
      </c>
      <c r="H80" s="2">
        <v>0.0</v>
      </c>
      <c r="I80" s="2">
        <v>15.0</v>
      </c>
      <c r="J80" s="2">
        <v>50.0</v>
      </c>
      <c r="K80" s="2">
        <v>100.0</v>
      </c>
      <c r="L80" s="2">
        <v>150.0</v>
      </c>
      <c r="M80" s="2">
        <v>250.0</v>
      </c>
      <c r="N80" s="2">
        <v>350.0</v>
      </c>
      <c r="O80" s="2">
        <v>350.0</v>
      </c>
      <c r="P80" s="2">
        <v>350.0</v>
      </c>
      <c r="Q80" s="53"/>
      <c r="R80" s="53"/>
      <c r="S80" s="53"/>
      <c r="T80" s="53"/>
      <c r="U80" s="10"/>
      <c r="V80" s="10"/>
    </row>
    <row r="81">
      <c r="E81" s="46" t="s">
        <v>99</v>
      </c>
      <c r="F81" s="47"/>
      <c r="G81" s="47">
        <f t="shared" ref="G81:P81" si="195">G79*G75*G80</f>
        <v>0</v>
      </c>
      <c r="H81" s="47">
        <f t="shared" si="195"/>
        <v>0</v>
      </c>
      <c r="I81" s="47">
        <f t="shared" si="195"/>
        <v>37500</v>
      </c>
      <c r="J81" s="47">
        <f t="shared" si="195"/>
        <v>175000</v>
      </c>
      <c r="K81" s="47">
        <f t="shared" si="195"/>
        <v>2500000</v>
      </c>
      <c r="L81" s="47">
        <f t="shared" si="195"/>
        <v>4500000</v>
      </c>
      <c r="M81" s="47">
        <f t="shared" si="195"/>
        <v>12500000</v>
      </c>
      <c r="N81" s="47">
        <f t="shared" si="195"/>
        <v>21875000</v>
      </c>
      <c r="O81" s="47">
        <f t="shared" si="195"/>
        <v>21000000</v>
      </c>
      <c r="P81" s="47">
        <f t="shared" si="195"/>
        <v>21000000</v>
      </c>
      <c r="Q81" s="53"/>
      <c r="R81" s="53"/>
      <c r="S81" s="53"/>
      <c r="T81" s="53"/>
      <c r="U81" s="10"/>
      <c r="V81" s="10"/>
    </row>
    <row r="82">
      <c r="E82" s="15" t="s">
        <v>100</v>
      </c>
      <c r="F82" s="48"/>
      <c r="G82" s="48">
        <v>0.0</v>
      </c>
      <c r="H82" s="48">
        <v>0.0</v>
      </c>
      <c r="I82" s="49">
        <f t="shared" ref="I82:P82" si="196">I81/I80</f>
        <v>2500</v>
      </c>
      <c r="J82" s="49">
        <f t="shared" si="196"/>
        <v>3500</v>
      </c>
      <c r="K82" s="49">
        <f t="shared" si="196"/>
        <v>25000</v>
      </c>
      <c r="L82" s="49">
        <f t="shared" si="196"/>
        <v>30000</v>
      </c>
      <c r="M82" s="49">
        <f t="shared" si="196"/>
        <v>50000</v>
      </c>
      <c r="N82" s="49">
        <f t="shared" si="196"/>
        <v>62500</v>
      </c>
      <c r="O82" s="49">
        <f t="shared" si="196"/>
        <v>60000</v>
      </c>
      <c r="P82" s="49">
        <f t="shared" si="196"/>
        <v>60000</v>
      </c>
      <c r="Q82" s="53"/>
      <c r="R82" s="53"/>
      <c r="S82" s="53"/>
      <c r="T82" s="53"/>
      <c r="U82" s="10"/>
      <c r="V82" s="10"/>
    </row>
    <row r="83">
      <c r="Q83" s="53"/>
      <c r="R83" s="53"/>
      <c r="S83" s="53"/>
      <c r="T83" s="53"/>
      <c r="U83" s="10"/>
      <c r="V83" s="10"/>
    </row>
    <row r="84">
      <c r="E84" s="4" t="s">
        <v>101</v>
      </c>
      <c r="Q84" s="53"/>
      <c r="R84" s="53"/>
      <c r="S84" s="53"/>
      <c r="T84" s="53"/>
      <c r="U84" s="10"/>
      <c r="V84" s="10"/>
    </row>
    <row r="85">
      <c r="E85" s="2" t="s">
        <v>102</v>
      </c>
      <c r="F85" s="2"/>
      <c r="G85" s="2">
        <v>0.0</v>
      </c>
      <c r="H85" s="2">
        <v>0.0</v>
      </c>
      <c r="I85" s="2">
        <v>10.0</v>
      </c>
      <c r="J85" s="2">
        <v>11.0</v>
      </c>
      <c r="K85" s="2">
        <v>50.0</v>
      </c>
      <c r="L85" s="2">
        <v>55.0</v>
      </c>
      <c r="M85" s="2">
        <v>200.0</v>
      </c>
      <c r="N85" s="2">
        <v>220.0</v>
      </c>
      <c r="O85" s="2">
        <v>400.0</v>
      </c>
      <c r="P85" s="2">
        <v>400.0</v>
      </c>
      <c r="Q85" s="53"/>
      <c r="R85" s="53"/>
      <c r="S85" s="53"/>
      <c r="T85" s="53"/>
      <c r="U85" s="10"/>
      <c r="V85" s="10"/>
    </row>
    <row r="86">
      <c r="E86" s="2" t="s">
        <v>103</v>
      </c>
      <c r="F86" s="11"/>
      <c r="G86" s="11">
        <v>10000.0</v>
      </c>
      <c r="H86" s="11">
        <v>10000.0</v>
      </c>
      <c r="I86" s="11">
        <v>10000.0</v>
      </c>
      <c r="J86" s="11">
        <v>10000.0</v>
      </c>
      <c r="K86" s="11">
        <v>10000.0</v>
      </c>
      <c r="L86" s="11">
        <v>10000.0</v>
      </c>
      <c r="M86" s="11">
        <v>10000.0</v>
      </c>
      <c r="N86" s="11">
        <v>10000.0</v>
      </c>
      <c r="O86" s="11">
        <v>10000.0</v>
      </c>
      <c r="P86" s="11">
        <v>10000.0</v>
      </c>
      <c r="Q86" s="53"/>
      <c r="R86" s="53"/>
      <c r="S86" s="53"/>
      <c r="T86" s="53"/>
      <c r="U86" s="10"/>
      <c r="V86" s="10"/>
    </row>
    <row r="87">
      <c r="E87" s="46" t="s">
        <v>104</v>
      </c>
      <c r="F87" s="17"/>
      <c r="G87" s="50">
        <f t="shared" ref="G87:P87" si="197">G85*G86</f>
        <v>0</v>
      </c>
      <c r="H87" s="50">
        <f t="shared" si="197"/>
        <v>0</v>
      </c>
      <c r="I87" s="50">
        <f t="shared" si="197"/>
        <v>100000</v>
      </c>
      <c r="J87" s="50">
        <f t="shared" si="197"/>
        <v>110000</v>
      </c>
      <c r="K87" s="50">
        <f t="shared" si="197"/>
        <v>500000</v>
      </c>
      <c r="L87" s="50">
        <f t="shared" si="197"/>
        <v>550000</v>
      </c>
      <c r="M87" s="50">
        <f t="shared" si="197"/>
        <v>2000000</v>
      </c>
      <c r="N87" s="50">
        <f t="shared" si="197"/>
        <v>2200000</v>
      </c>
      <c r="O87" s="50">
        <f t="shared" si="197"/>
        <v>4000000</v>
      </c>
      <c r="P87" s="50">
        <f t="shared" si="197"/>
        <v>4000000</v>
      </c>
      <c r="Q87" s="53"/>
      <c r="R87" s="53"/>
      <c r="S87" s="53"/>
      <c r="T87" s="53"/>
      <c r="U87" s="10"/>
      <c r="V87" s="10"/>
    </row>
    <row r="88">
      <c r="Q88" s="53"/>
      <c r="R88" s="53"/>
      <c r="S88" s="53"/>
      <c r="T88" s="53"/>
      <c r="U88" s="10"/>
      <c r="V88" s="10"/>
    </row>
    <row r="89">
      <c r="E89" s="4" t="s">
        <v>107</v>
      </c>
      <c r="Q89" s="53"/>
      <c r="R89" s="53"/>
      <c r="S89" s="53"/>
      <c r="T89" s="53"/>
      <c r="U89" s="10"/>
      <c r="V89" s="10"/>
    </row>
    <row r="90">
      <c r="E90" s="2" t="s">
        <v>19</v>
      </c>
      <c r="F90" s="11"/>
      <c r="G90" s="11">
        <v>0.5</v>
      </c>
      <c r="H90" s="11">
        <v>0.5</v>
      </c>
      <c r="I90" s="11">
        <v>0.5</v>
      </c>
      <c r="J90" s="11">
        <v>0.5</v>
      </c>
      <c r="K90" s="11">
        <v>0.5</v>
      </c>
      <c r="L90" s="11">
        <v>0.5</v>
      </c>
      <c r="M90" s="11">
        <v>0.5</v>
      </c>
      <c r="N90" s="11">
        <v>0.5</v>
      </c>
      <c r="O90" s="11">
        <v>0.5</v>
      </c>
      <c r="P90" s="11">
        <v>0.5</v>
      </c>
      <c r="Q90" s="53"/>
      <c r="R90" s="53"/>
      <c r="S90" s="53"/>
      <c r="T90" s="53"/>
      <c r="U90" s="10"/>
      <c r="V90" s="10"/>
    </row>
    <row r="91">
      <c r="E91" s="2" t="s">
        <v>120</v>
      </c>
      <c r="F91" s="2"/>
      <c r="G91" s="2">
        <v>0.0</v>
      </c>
      <c r="H91" s="2">
        <v>10.0</v>
      </c>
      <c r="I91" s="2">
        <v>12.0</v>
      </c>
      <c r="J91" s="2">
        <v>15.0</v>
      </c>
      <c r="K91" s="2">
        <v>15.0</v>
      </c>
      <c r="L91" s="2">
        <v>15.0</v>
      </c>
      <c r="M91" s="2">
        <v>15.0</v>
      </c>
      <c r="N91" s="2">
        <v>15.0</v>
      </c>
      <c r="O91" s="2">
        <v>15.0</v>
      </c>
      <c r="P91" s="2">
        <v>15.0</v>
      </c>
      <c r="Q91" s="53"/>
      <c r="R91" s="53"/>
      <c r="S91" s="53"/>
      <c r="T91" s="53"/>
      <c r="U91" s="10"/>
      <c r="V91" s="10"/>
    </row>
    <row r="92">
      <c r="E92" s="46" t="s">
        <v>104</v>
      </c>
      <c r="F92" s="17"/>
      <c r="G92" s="50">
        <f t="shared" ref="G92:P92" si="198">G90*G91*G75</f>
        <v>0</v>
      </c>
      <c r="H92" s="50">
        <f t="shared" si="198"/>
        <v>35000</v>
      </c>
      <c r="I92" s="50">
        <f t="shared" si="198"/>
        <v>300000</v>
      </c>
      <c r="J92" s="50">
        <f t="shared" si="198"/>
        <v>525000</v>
      </c>
      <c r="K92" s="50">
        <f t="shared" si="198"/>
        <v>3750000</v>
      </c>
      <c r="L92" s="50">
        <f t="shared" si="198"/>
        <v>4500000</v>
      </c>
      <c r="M92" s="50">
        <f t="shared" si="198"/>
        <v>15000000</v>
      </c>
      <c r="N92" s="50">
        <f t="shared" si="198"/>
        <v>18750000</v>
      </c>
      <c r="O92" s="50">
        <f t="shared" si="198"/>
        <v>30000000</v>
      </c>
      <c r="P92" s="50">
        <f t="shared" si="198"/>
        <v>30000000</v>
      </c>
      <c r="Q92" s="53"/>
      <c r="R92" s="53"/>
      <c r="S92" s="53"/>
      <c r="T92" s="53"/>
      <c r="U92" s="10"/>
      <c r="V92" s="10"/>
    </row>
    <row r="93">
      <c r="Q93" s="53"/>
      <c r="R93" s="53"/>
      <c r="S93" s="53"/>
      <c r="T93" s="53"/>
      <c r="U93" s="10"/>
      <c r="V93" s="10"/>
    </row>
    <row r="94">
      <c r="E94" s="4" t="s">
        <v>127</v>
      </c>
      <c r="Q94" s="53"/>
      <c r="R94" s="53"/>
      <c r="S94" s="53"/>
      <c r="T94" s="53"/>
      <c r="U94" s="10"/>
      <c r="V94" s="10"/>
    </row>
    <row r="95">
      <c r="E95" s="46" t="s">
        <v>104</v>
      </c>
      <c r="K95" s="54">
        <v>500000.0</v>
      </c>
      <c r="L95" s="17"/>
      <c r="M95" s="55">
        <v>1000000.0</v>
      </c>
      <c r="N95" s="17"/>
      <c r="O95" s="55">
        <v>5000000.0</v>
      </c>
      <c r="Q95" s="53"/>
      <c r="R95" s="53"/>
      <c r="S95" s="53"/>
      <c r="T95" s="53"/>
      <c r="U95" s="10"/>
      <c r="V95" s="10"/>
    </row>
    <row r="96">
      <c r="Q96" s="53"/>
      <c r="R96" s="53"/>
      <c r="S96" s="53"/>
      <c r="T96" s="53"/>
      <c r="U96" s="10"/>
      <c r="V96" s="10"/>
    </row>
    <row r="97">
      <c r="E97" s="4" t="s">
        <v>128</v>
      </c>
      <c r="Q97" s="53"/>
      <c r="R97" s="53"/>
      <c r="S97" s="53"/>
      <c r="T97" s="53"/>
      <c r="U97" s="10"/>
      <c r="V97" s="10"/>
    </row>
    <row r="98">
      <c r="E98" s="46" t="s">
        <v>104</v>
      </c>
      <c r="O98" s="54">
        <v>5000000.0</v>
      </c>
      <c r="Q98" s="53"/>
      <c r="R98" s="53"/>
      <c r="S98" s="53"/>
      <c r="T98" s="53"/>
      <c r="U98" s="10"/>
      <c r="V98" s="10"/>
    </row>
    <row r="99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10"/>
      <c r="V99" s="10"/>
    </row>
    <row r="106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10"/>
      <c r="V106" s="10"/>
    </row>
    <row r="107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10"/>
      <c r="V107" s="10"/>
    </row>
    <row r="108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10"/>
      <c r="V108" s="10"/>
    </row>
    <row r="109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10"/>
      <c r="V109" s="10"/>
    </row>
    <row r="110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10"/>
      <c r="V110" s="10"/>
    </row>
    <row r="111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10"/>
      <c r="V111" s="10"/>
    </row>
    <row r="11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10"/>
      <c r="V112" s="10"/>
    </row>
    <row r="11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10"/>
      <c r="V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  <col customWidth="1" min="6" max="6" width="23.43"/>
    <col customWidth="1" min="10" max="10" width="19.86"/>
    <col customWidth="1" min="11" max="11" width="11.86"/>
    <col customWidth="1" min="12" max="12" width="11.14"/>
    <col customWidth="1" min="13" max="13" width="8.71"/>
    <col customWidth="1" min="14" max="14" width="11.14"/>
    <col customWidth="1" min="15" max="15" width="8.71"/>
    <col customWidth="1" min="16" max="16" width="11.14"/>
  </cols>
  <sheetData>
    <row r="1">
      <c r="A1" s="1" t="s">
        <v>0</v>
      </c>
      <c r="B1" s="2" t="s">
        <v>1</v>
      </c>
      <c r="E1" s="2" t="s">
        <v>2</v>
      </c>
      <c r="F1" s="2" t="s">
        <v>3</v>
      </c>
      <c r="H1" s="2" t="s">
        <v>4</v>
      </c>
      <c r="J1" s="2" t="s">
        <v>5</v>
      </c>
      <c r="K1" s="2" t="s">
        <v>6</v>
      </c>
    </row>
    <row r="2">
      <c r="A2" s="3" t="s">
        <v>7</v>
      </c>
      <c r="B2" s="4" t="s">
        <v>8</v>
      </c>
      <c r="E2" s="2" t="s">
        <v>9</v>
      </c>
      <c r="F2" s="2" t="s">
        <v>10</v>
      </c>
    </row>
    <row r="3">
      <c r="A3" s="1" t="s">
        <v>11</v>
      </c>
      <c r="B3" s="2" t="s">
        <v>12</v>
      </c>
      <c r="E3" s="2" t="s">
        <v>13</v>
      </c>
      <c r="F3" s="2" t="s">
        <v>14</v>
      </c>
      <c r="H3" s="2" t="s">
        <v>15</v>
      </c>
      <c r="K3" s="5"/>
    </row>
    <row r="4">
      <c r="E4" s="2" t="s">
        <v>16</v>
      </c>
      <c r="F4" s="6" t="s">
        <v>17</v>
      </c>
      <c r="K4" s="5"/>
    </row>
    <row r="5">
      <c r="A5" s="1" t="s">
        <v>18</v>
      </c>
      <c r="B5" s="7" t="s">
        <v>19</v>
      </c>
      <c r="C5" s="7"/>
      <c r="F5" s="6" t="s">
        <v>20</v>
      </c>
      <c r="K5" s="5"/>
    </row>
    <row r="6">
      <c r="K6" s="5"/>
    </row>
    <row r="7">
      <c r="A7" s="2" t="s">
        <v>21</v>
      </c>
      <c r="B7" s="2" t="s">
        <v>22</v>
      </c>
      <c r="K7" s="5"/>
    </row>
    <row r="8">
      <c r="A8" s="1" t="s">
        <v>23</v>
      </c>
      <c r="B8" s="8">
        <v>0.5</v>
      </c>
    </row>
    <row r="9">
      <c r="A9" s="2" t="s">
        <v>24</v>
      </c>
      <c r="B9" s="9">
        <v>10.0</v>
      </c>
    </row>
    <row r="10">
      <c r="A10" s="2" t="s">
        <v>25</v>
      </c>
      <c r="B10" s="10">
        <f>(B8*B9)/100</f>
        <v>0.05</v>
      </c>
    </row>
    <row r="11">
      <c r="A11" s="2" t="s">
        <v>26</v>
      </c>
      <c r="B11" s="10">
        <f>B10*100</f>
        <v>5</v>
      </c>
    </row>
    <row r="12">
      <c r="A12" s="2" t="s">
        <v>27</v>
      </c>
      <c r="B12" s="11">
        <v>10.0</v>
      </c>
      <c r="E12" s="2"/>
    </row>
    <row r="13">
      <c r="A13" s="2" t="s">
        <v>28</v>
      </c>
      <c r="B13" s="12">
        <f>B12/B10</f>
        <v>200</v>
      </c>
      <c r="E13" s="2"/>
      <c r="G13" s="1" t="s">
        <v>29</v>
      </c>
      <c r="H13" s="1" t="s">
        <v>30</v>
      </c>
      <c r="I13" s="1" t="s">
        <v>31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36</v>
      </c>
      <c r="O13" s="1" t="s">
        <v>37</v>
      </c>
      <c r="P13" s="1" t="s">
        <v>38</v>
      </c>
    </row>
    <row r="14">
      <c r="A14" s="2" t="s">
        <v>39</v>
      </c>
      <c r="B14" s="10">
        <f>(((C14*C21)+(C14*C20)+(C14*C40))/C32)*B12</f>
        <v>41.6</v>
      </c>
      <c r="C14" s="2">
        <v>1.0</v>
      </c>
      <c r="D14" s="2" t="s">
        <v>40</v>
      </c>
      <c r="F14" s="2" t="s">
        <v>41</v>
      </c>
      <c r="G14" s="13">
        <v>1.0</v>
      </c>
      <c r="H14" s="13">
        <v>0.9</v>
      </c>
      <c r="I14" s="13">
        <v>0.25</v>
      </c>
      <c r="J14" s="13">
        <v>0.1</v>
      </c>
      <c r="K14" s="13">
        <v>0.0</v>
      </c>
      <c r="L14" s="13">
        <v>0.0</v>
      </c>
      <c r="M14" s="13">
        <v>0.0</v>
      </c>
      <c r="N14" s="13">
        <v>0.0</v>
      </c>
      <c r="O14" s="13">
        <v>0.0</v>
      </c>
      <c r="P14" s="13">
        <v>0.0</v>
      </c>
    </row>
    <row r="15">
      <c r="A15" s="2" t="s">
        <v>42</v>
      </c>
      <c r="B15" s="10">
        <f>(B14*(-1))+((B11)*C14)</f>
        <v>-36.6</v>
      </c>
    </row>
    <row r="16">
      <c r="A16" s="2" t="s">
        <v>43</v>
      </c>
      <c r="B16">
        <f>60</f>
        <v>60</v>
      </c>
    </row>
    <row r="17">
      <c r="A17" s="2" t="s">
        <v>44</v>
      </c>
      <c r="B17" s="10">
        <f>(B16/50)*10</f>
        <v>12</v>
      </c>
    </row>
    <row r="18">
      <c r="A18" s="14"/>
      <c r="B18" s="14"/>
      <c r="C18" s="14"/>
    </row>
    <row r="19">
      <c r="A19" s="15" t="s">
        <v>45</v>
      </c>
      <c r="B19" s="2" t="s">
        <v>46</v>
      </c>
    </row>
    <row r="20">
      <c r="A20" s="2" t="s">
        <v>47</v>
      </c>
      <c r="C20" s="9">
        <v>4.0</v>
      </c>
    </row>
    <row r="21">
      <c r="A21" s="2" t="s">
        <v>48</v>
      </c>
      <c r="C21" s="9">
        <v>10.0</v>
      </c>
    </row>
    <row r="22">
      <c r="A22" s="2" t="s">
        <v>49</v>
      </c>
      <c r="C22" s="16">
        <v>1.0</v>
      </c>
      <c r="E22" s="2"/>
    </row>
    <row r="23">
      <c r="A23" s="2" t="s">
        <v>50</v>
      </c>
      <c r="C23" s="16">
        <v>1.0</v>
      </c>
      <c r="G23" s="2"/>
    </row>
    <row r="24">
      <c r="A24" s="2" t="s">
        <v>51</v>
      </c>
      <c r="C24" s="16">
        <v>3.0</v>
      </c>
      <c r="G24" s="2"/>
    </row>
    <row r="25">
      <c r="A25" s="2" t="s">
        <v>52</v>
      </c>
      <c r="C25" s="16">
        <v>5.0</v>
      </c>
      <c r="E25" s="2"/>
    </row>
    <row r="26">
      <c r="A26" s="2" t="s">
        <v>53</v>
      </c>
      <c r="C26" s="9">
        <v>8.0</v>
      </c>
    </row>
    <row r="27">
      <c r="A27" s="2" t="s">
        <v>54</v>
      </c>
      <c r="C27" s="9">
        <v>12.0</v>
      </c>
    </row>
    <row r="28">
      <c r="A28" s="2" t="s">
        <v>55</v>
      </c>
      <c r="C28" s="9">
        <v>16.0</v>
      </c>
    </row>
    <row r="29">
      <c r="A29" s="2" t="s">
        <v>56</v>
      </c>
      <c r="C29" s="9">
        <v>20.0</v>
      </c>
    </row>
    <row r="30">
      <c r="A30" s="2" t="s">
        <v>57</v>
      </c>
      <c r="C30" s="9">
        <v>25.0</v>
      </c>
    </row>
    <row r="31">
      <c r="A31" s="4"/>
      <c r="C31" s="9"/>
    </row>
    <row r="32">
      <c r="A32" s="4" t="s">
        <v>58</v>
      </c>
      <c r="C32" s="9">
        <v>50.0</v>
      </c>
    </row>
    <row r="33">
      <c r="A33" s="2"/>
      <c r="B33" s="2" t="s">
        <v>59</v>
      </c>
      <c r="C33" s="17"/>
    </row>
    <row r="34">
      <c r="A34" s="2" t="s">
        <v>60</v>
      </c>
      <c r="B34" s="2">
        <v>14.0</v>
      </c>
      <c r="C34" s="18">
        <f t="shared" ref="C34:C40" si="1">$C$20+(B34*$C$22)+SUM($C$23:C24)</f>
        <v>22</v>
      </c>
    </row>
    <row r="35">
      <c r="A35" s="2" t="s">
        <v>61</v>
      </c>
      <c r="B35" s="2">
        <v>21.0</v>
      </c>
      <c r="C35" s="18">
        <f t="shared" si="1"/>
        <v>34</v>
      </c>
    </row>
    <row r="36">
      <c r="A36" s="2" t="s">
        <v>62</v>
      </c>
      <c r="B36" s="2">
        <v>30.0</v>
      </c>
      <c r="C36" s="18">
        <f t="shared" si="1"/>
        <v>51</v>
      </c>
      <c r="D36" s="2" t="s">
        <v>63</v>
      </c>
    </row>
    <row r="37">
      <c r="A37" s="2" t="s">
        <v>64</v>
      </c>
      <c r="B37" s="2">
        <v>45.0</v>
      </c>
      <c r="C37" s="18">
        <f t="shared" si="1"/>
        <v>78</v>
      </c>
    </row>
    <row r="38">
      <c r="A38" s="2" t="s">
        <v>65</v>
      </c>
      <c r="B38" s="2">
        <v>60.0</v>
      </c>
      <c r="C38" s="18">
        <f t="shared" si="1"/>
        <v>109</v>
      </c>
      <c r="D38" s="2" t="s">
        <v>66</v>
      </c>
    </row>
    <row r="39">
      <c r="A39" s="2" t="s">
        <v>67</v>
      </c>
      <c r="B39" s="2">
        <v>75.0</v>
      </c>
      <c r="C39" s="18">
        <f t="shared" si="1"/>
        <v>144</v>
      </c>
      <c r="D39" s="2" t="s">
        <v>68</v>
      </c>
    </row>
    <row r="40">
      <c r="A40" s="2" t="s">
        <v>69</v>
      </c>
      <c r="B40" s="2">
        <v>100.0</v>
      </c>
      <c r="C40" s="18">
        <f t="shared" si="1"/>
        <v>194</v>
      </c>
      <c r="D40" s="2" t="s">
        <v>70</v>
      </c>
    </row>
    <row r="41">
      <c r="A41" s="2" t="s">
        <v>71</v>
      </c>
      <c r="C41" s="19">
        <v>30.0</v>
      </c>
    </row>
    <row r="42">
      <c r="A42" s="2" t="s">
        <v>72</v>
      </c>
      <c r="C42">
        <f>C41/B13</f>
        <v>0.15</v>
      </c>
      <c r="D42" s="2" t="s">
        <v>73</v>
      </c>
    </row>
  </sheetData>
  <mergeCells count="1">
    <mergeCell ref="F1:G1"/>
  </mergeCells>
  <hyperlinks>
    <hyperlink r:id="rId1" ref="F4"/>
    <hyperlink r:id="rId2" ref="F5"/>
  </hyperlinks>
  <drawing r:id="rId3"/>
</worksheet>
</file>