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alk Through" sheetId="1" r:id="rId3"/>
    <sheet state="visible" name="Salaries (goal)" sheetId="2" r:id="rId4"/>
    <sheet state="visible" name="Marketing" sheetId="3" r:id="rId5"/>
    <sheet state="visible" name="Rewards" sheetId="4" r:id="rId6"/>
    <sheet state="visible" name="In-depth 1-yr expenses" sheetId="5" r:id="rId7"/>
    <sheet state="visible" name="Old Bus. Model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5">
      <text>
        <t xml:space="preserve">Concert tickets giveaway
	-Joe Nelson</t>
      </text>
    </comment>
    <comment authorId="0" ref="I12">
      <text>
        <t xml:space="preserve">Refuel emails
	-Joe Nelson</t>
      </text>
    </comment>
    <comment authorId="0" ref="I11">
      <text>
        <t xml:space="preserve">Panic (2/2)
	-Joe Nelson</t>
      </text>
    </comment>
    <comment authorId="0" ref="F11">
      <text>
        <t xml:space="preserve">Panic - May 11
	-Joe Nelson</t>
      </text>
    </comment>
  </commentList>
</comments>
</file>

<file path=xl/sharedStrings.xml><?xml version="1.0" encoding="utf-8"?>
<sst xmlns="http://schemas.openxmlformats.org/spreadsheetml/2006/main" count="538" uniqueCount="310">
  <si>
    <t>(Estimate)</t>
  </si>
  <si>
    <t>2017 Expenses</t>
  </si>
  <si>
    <t>Apr 2018</t>
  </si>
  <si>
    <t>May 2018</t>
  </si>
  <si>
    <t>June 2018</t>
  </si>
  <si>
    <t>July 2018</t>
  </si>
  <si>
    <t>Aug 2018</t>
  </si>
  <si>
    <t>Sept 2018 - Dec 2018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</si>
  <si>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</si>
  <si>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</si>
  <si>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</si>
  <si>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</si>
  <si>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</si>
  <si>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</si>
  <si>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</si>
  <si>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</si>
  <si>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</si>
  <si>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</si>
  <si>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</si>
  <si>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</si>
  <si>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Jan. '17</t>
  </si>
  <si>
    <t>TOTAL</t>
  </si>
  <si>
    <t>Feb. '17</t>
  </si>
  <si>
    <t>March '17</t>
  </si>
  <si>
    <t>Apr. '17</t>
  </si>
  <si>
    <t>May '17</t>
  </si>
  <si>
    <t>June '17</t>
  </si>
  <si>
    <t>July '17</t>
  </si>
  <si>
    <t>Aug. '17</t>
  </si>
  <si>
    <t>Sept '17</t>
  </si>
  <si>
    <t>Oct '17</t>
  </si>
  <si>
    <t>Nov. '17</t>
  </si>
  <si>
    <t>Dec. '17</t>
  </si>
  <si>
    <t>Total</t>
  </si>
  <si>
    <t>Salaries</t>
  </si>
  <si>
    <t>Jan 2019 - May 2019</t>
  </si>
  <si>
    <t>June 2019 - Aug 2019</t>
  </si>
  <si>
    <t>Sept 2019 - Dec 2019</t>
  </si>
  <si>
    <t>Jan 2020 - May 2020</t>
  </si>
  <si>
    <t>June 2020 - Aug 2020</t>
  </si>
  <si>
    <t>Sept 2020 - Dec 2020</t>
  </si>
  <si>
    <t>Jan 2021 - May 2021</t>
  </si>
  <si>
    <t>June 2021 - Aug 2021</t>
  </si>
  <si>
    <t>Sept 2021 - Dec 2021</t>
  </si>
  <si>
    <t>Jan 2022 - May 2022</t>
  </si>
  <si>
    <t>June 2022 - Aug 2022</t>
  </si>
  <si>
    <t>Sept 2022 - Dec 2022</t>
  </si>
  <si>
    <t>Jan 2023 - May 2023</t>
  </si>
  <si>
    <t>Joe</t>
  </si>
  <si>
    <t>Design Consulting</t>
  </si>
  <si>
    <t>Healthcare</t>
  </si>
  <si>
    <t>Marketing Consulting</t>
  </si>
  <si>
    <t>Office Space</t>
  </si>
  <si>
    <t>Reimbursements</t>
  </si>
  <si>
    <t>Kai</t>
  </si>
  <si>
    <t>- Includes marketing and tech/business Infra</t>
  </si>
  <si>
    <t>Igloo experience</t>
  </si>
  <si>
    <t>Social Media Marketing</t>
  </si>
  <si>
    <t>Giveaway Incentives (excluding rewards)</t>
  </si>
  <si>
    <t>Arpit</t>
  </si>
  <si>
    <t>* Healthcare multiplier less than 1.2 because interns do not get healtcare and two team members aren't on it either</t>
  </si>
  <si>
    <t>Best Estimate:</t>
  </si>
  <si>
    <t>2018 Expenses</t>
  </si>
  <si>
    <t>Jan. '18</t>
  </si>
  <si>
    <t>Feb '18</t>
  </si>
  <si>
    <t>Mar '18</t>
  </si>
  <si>
    <t>Apr. '18</t>
  </si>
  <si>
    <t>May '18</t>
  </si>
  <si>
    <t>June '18</t>
  </si>
  <si>
    <t>July '18</t>
  </si>
  <si>
    <t>Aug. '18</t>
  </si>
  <si>
    <t>Sept. '18</t>
  </si>
  <si>
    <t>Oct. '18</t>
  </si>
  <si>
    <t>Nov. '18</t>
  </si>
  <si>
    <t>Dec. '18</t>
  </si>
  <si>
    <t>Kazem</t>
  </si>
  <si>
    <t>(Real)</t>
  </si>
  <si>
    <t>Veserium Concert @ GW</t>
  </si>
  <si>
    <t>Becca</t>
  </si>
  <si>
    <t>Tech/Business Infra</t>
  </si>
  <si>
    <t>Marketing budget</t>
  </si>
  <si>
    <t>Laila</t>
  </si>
  <si>
    <t>In-app Rewards</t>
  </si>
  <si>
    <t>Robin</t>
  </si>
  <si>
    <t>Jenn</t>
  </si>
  <si>
    <t>Salaries:</t>
  </si>
  <si>
    <t>* May salaries includes a bump to Arpit's, Becca's, and Jenn's pay with H1B selection. Kazem's CPT expires halfway through month.</t>
  </si>
  <si>
    <t>Lowest estimate:</t>
  </si>
  <si>
    <t>Intern</t>
  </si>
  <si>
    <t>* June salaries includes the hiring of a full-time marketer and 2 interns</t>
  </si>
  <si>
    <t>(* No H1B &amp; salary inc.</t>
  </si>
  <si>
    <t>(April's team salary added for May, minus half of Kazem's monthly salary because he leaves halfway through May, plus April's salary x 7 (June through Dec.) + Marketer @ 5000/mo. starting June 1 for 7 total months. + interns)</t>
  </si>
  <si>
    <t>* July Salaries includes a bump to Robin's pay</t>
  </si>
  <si>
    <t>* No real usership:</t>
  </si>
  <si>
    <t>* August salaries sees the interns leaving halfway through month</t>
  </si>
  <si>
    <t>* Minimal Rewards</t>
  </si>
  <si>
    <t>Intern(s)</t>
  </si>
  <si>
    <t>* September salaries sees Kazem join the team once again and the hiring of a sales person (assuming product market fit) to help push revenue models</t>
  </si>
  <si>
    <t>CPM =</t>
  </si>
  <si>
    <t>Cost per 1,000 views</t>
  </si>
  <si>
    <t>* Decrease in Infra</t>
  </si>
  <si>
    <t>Avg CPM</t>
  </si>
  <si>
    <t>2.32 on Google Search Network</t>
  </si>
  <si>
    <t>0.58 on Display network</t>
  </si>
  <si>
    <t>10.00-11.17 on FB ads</t>
  </si>
  <si>
    <t>5.00 on Insta</t>
  </si>
  <si>
    <t xml:space="preserve">CPC = </t>
  </si>
  <si>
    <t>Cost per click</t>
  </si>
  <si>
    <t>Avg CPC</t>
  </si>
  <si>
    <t xml:space="preserve">* November salaries sees the hiring of a sales person to help push revenue models (assuming product-market fit) </t>
  </si>
  <si>
    <t>0.99-1.72 on FB</t>
  </si>
  <si>
    <t xml:space="preserve">CPA = </t>
  </si>
  <si>
    <t>Total Impact</t>
  </si>
  <si>
    <t>Cost per action</t>
  </si>
  <si>
    <t>Avg CPA</t>
  </si>
  <si>
    <t>59.18 on Google advertising</t>
  </si>
  <si>
    <t>18.68 on FB</t>
  </si>
  <si>
    <t>Marketer</t>
  </si>
  <si>
    <t>Source:</t>
  </si>
  <si>
    <t>https://www.wordstream.com/blog/ws/2017/07/05/online-advertising-costs</t>
  </si>
  <si>
    <t>Suggestion:</t>
  </si>
  <si>
    <t>CPC</t>
  </si>
  <si>
    <t>https://blog.adstage.io/2017/09/18/facebook-cpms-increase-2017/</t>
  </si>
  <si>
    <r>
      <rPr>
        <b/>
      </rPr>
      <t>Healthcare:</t>
    </r>
    <r>
      <t xml:space="preserve"> (x0.15)</t>
    </r>
  </si>
  <si>
    <t>Our CPC Defininition:</t>
  </si>
  <si>
    <t>Any view of the event profile</t>
  </si>
  <si>
    <t xml:space="preserve">Our CPC = </t>
  </si>
  <si>
    <t>* Aug. increase due to new downloads, more in sept., oct., nov., decrease in usage at end of Dec. when students go on break</t>
  </si>
  <si>
    <t xml:space="preserve">Est. Ad Clicks/100 logins = </t>
  </si>
  <si>
    <t>* consulting, giveaways, and advertisements</t>
  </si>
  <si>
    <t xml:space="preserve">Rev./login = </t>
  </si>
  <si>
    <t xml:space="preserve">(Rev/100 logins) = </t>
  </si>
  <si>
    <t>* incentivizing usage. Note if we don't get significant usage, this will be closer to a total of maybe $5000 the whole year</t>
  </si>
  <si>
    <t>Sales</t>
  </si>
  <si>
    <t xml:space="preserve">Reward payout = </t>
  </si>
  <si>
    <t>Business Model</t>
  </si>
  <si>
    <t xml:space="preserve">Breakeven: logins needed/reward= </t>
  </si>
  <si>
    <t>Spring 2019</t>
  </si>
  <si>
    <t>Fall 2019</t>
  </si>
  <si>
    <t>Spring 2020</t>
  </si>
  <si>
    <t>Fall 2020</t>
  </si>
  <si>
    <t>Spring 2021</t>
  </si>
  <si>
    <t>Total Revenue</t>
  </si>
  <si>
    <t>Fall 2018</t>
  </si>
  <si>
    <t>Fall 2021</t>
  </si>
  <si>
    <t>Spring 2022</t>
  </si>
  <si>
    <t>Fall 2022</t>
  </si>
  <si>
    <t>Spring 2023</t>
  </si>
  <si>
    <t>Max. Expense to us per # students</t>
  </si>
  <si>
    <t># of Students</t>
  </si>
  <si>
    <t>% of Rewards paid by us</t>
  </si>
  <si>
    <t>Semesterly Profit with CPC/# students</t>
  </si>
  <si>
    <t>Est. points gained / semester</t>
  </si>
  <si>
    <t>Est. cost / student each semester</t>
  </si>
  <si>
    <t>(see below for details)</t>
  </si>
  <si>
    <t>1. Advertisements</t>
  </si>
  <si>
    <t>For reference: Cost Per Click (CPC) on FB = $0.99 to $1.72 and often more expensive with other services</t>
  </si>
  <si>
    <t>Number of Campuses</t>
  </si>
  <si>
    <t>Reward Structure:</t>
  </si>
  <si>
    <t>(days)</t>
  </si>
  <si>
    <t>Points upon signup</t>
  </si>
  <si>
    <t>Referal</t>
  </si>
  <si>
    <t>Reasonable</t>
  </si>
  <si>
    <t>2018 Fall</t>
  </si>
  <si>
    <t>2019 Spring</t>
  </si>
  <si>
    <t>2019 Fall</t>
  </si>
  <si>
    <t>2020 Spring</t>
  </si>
  <si>
    <t>2020 Fall</t>
  </si>
  <si>
    <t>2021 Spring</t>
  </si>
  <si>
    <t xml:space="preserve">Points/day = </t>
  </si>
  <si>
    <t># Total Students</t>
  </si>
  <si>
    <t>Students per Campus</t>
  </si>
  <si>
    <t>Designer</t>
  </si>
  <si>
    <t>Total Users</t>
  </si>
  <si>
    <t>7-day streak bonus points</t>
  </si>
  <si>
    <t># Schools launched at</t>
  </si>
  <si>
    <t>Dev</t>
  </si>
  <si>
    <t>14-day streak bonus points</t>
  </si>
  <si>
    <t>Best case scenario</t>
  </si>
  <si>
    <t>Revenue</t>
  </si>
  <si>
    <t>21-day streak bonus points</t>
  </si>
  <si>
    <t>30-day streak bonus</t>
  </si>
  <si>
    <t>45-day streak bonus</t>
  </si>
  <si>
    <t>60-day streak bonus</t>
  </si>
  <si>
    <t>Apr 2018 - Aug 2018</t>
  </si>
  <si>
    <t>Number of weeks in a semester</t>
  </si>
  <si>
    <t>* Revenue starting in the Spring</t>
  </si>
  <si>
    <t>75-day streak bonus</t>
  </si>
  <si>
    <t>Number of times opening app per week</t>
  </si>
  <si>
    <t>Number of app opens per semester</t>
  </si>
  <si>
    <t>Pct. of sessions with Ad clicked</t>
  </si>
  <si>
    <t>Number of Add clicks per semester</t>
  </si>
  <si>
    <t>Price per ad click</t>
  </si>
  <si>
    <t>2. University Product</t>
  </si>
  <si>
    <t>Number of campuses</t>
  </si>
  <si>
    <t>Paying Campuses</t>
  </si>
  <si>
    <t>Cost per campus</t>
  </si>
  <si>
    <t>100-day streak bonus</t>
  </si>
  <si>
    <t>Best Case</t>
  </si>
  <si>
    <t>Summer Intern</t>
  </si>
  <si>
    <t>* $12-15k per campus is to be expected, range is probably 5k-25k</t>
  </si>
  <si>
    <t>3. Agnes Careers</t>
  </si>
  <si>
    <t>* Revenue starting in the fall</t>
  </si>
  <si>
    <t>Total Students</t>
  </si>
  <si>
    <t>Points/$10 Reward</t>
  </si>
  <si>
    <t>days:</t>
  </si>
  <si>
    <t>Points for 14 consecutive days:</t>
  </si>
  <si>
    <t>Points for 21 consecutive days</t>
  </si>
  <si>
    <t>Points for 30 consecutive days</t>
  </si>
  <si>
    <t>1 reward</t>
  </si>
  <si>
    <t>Points for 45 consecutive days</t>
  </si>
  <si>
    <t>Number of Companies</t>
  </si>
  <si>
    <t>Points for 60 consecutive days</t>
  </si>
  <si>
    <t>2 rewards</t>
  </si>
  <si>
    <t>Points for 75 consecutive days</t>
  </si>
  <si>
    <t>Number of Paying INCs</t>
  </si>
  <si>
    <t>3 rewards</t>
  </si>
  <si>
    <t>Points for 100 consecutive days</t>
  </si>
  <si>
    <t>Cost per INC</t>
  </si>
  <si>
    <t>4 rewards</t>
  </si>
  <si>
    <t>Consecutive days for 1 reward</t>
  </si>
  <si>
    <t>Rev/Reward ratio</t>
  </si>
  <si>
    <t>(1.0 = breaking even, &gt;1 = profit, &lt;1 = loss)</t>
  </si>
  <si>
    <t>* Piazza’s new tool isn’t its first attempt to raise its profile with companies, 350 of which now pay the company between $2,000 and “six figures” annually depending on their size and needs. - https://techcrunch.com/2015/09/09/piazza-rolls-out-recruiting-tool-to-identify-superstar-programming-student/</t>
  </si>
  <si>
    <t>* Piazza seems to have about 1.8M users</t>
  </si>
  <si>
    <t>4. CRM-style tool for Orgs</t>
  </si>
  <si>
    <t>* We're exploring what it might look like for more organizations to manage their outreach and communications with groups using an integrated tracking system</t>
  </si>
  <si>
    <t>Projected Profits</t>
  </si>
  <si>
    <t>First half of 2021</t>
  </si>
  <si>
    <t>Expenses</t>
  </si>
  <si>
    <t>Revenues</t>
  </si>
  <si>
    <t>Profit</t>
  </si>
  <si>
    <t>Best Estimate (Apr 18 - Apr 19)</t>
  </si>
  <si>
    <t>HR/Accounting</t>
  </si>
  <si>
    <t>Sept 18</t>
  </si>
  <si>
    <t>Physical Office</t>
  </si>
  <si>
    <t>Tech/business Infrastructure</t>
  </si>
  <si>
    <t>Marketing</t>
  </si>
  <si>
    <t>Consulting (design, marketing, legal)</t>
  </si>
  <si>
    <t>(monthly)</t>
  </si>
  <si>
    <t>2021 Fall</t>
  </si>
  <si>
    <t>2022 Spring</t>
  </si>
  <si>
    <t>2022 Fall</t>
  </si>
  <si>
    <t>2023 Spring</t>
  </si>
  <si>
    <t>New Positions</t>
  </si>
  <si>
    <t>Devs</t>
  </si>
  <si>
    <t>Jan/Jan/Jan</t>
  </si>
  <si>
    <t>Jan/Jan</t>
  </si>
  <si>
    <t>Jan/Jan/Jan/Jan/Jan</t>
  </si>
  <si>
    <t>Marketers</t>
  </si>
  <si>
    <t>Mar</t>
  </si>
  <si>
    <t>Mar/Mar/Mar</t>
  </si>
  <si>
    <t>Designers</t>
  </si>
  <si>
    <t>Jan</t>
  </si>
  <si>
    <t>Feb/Feb</t>
  </si>
  <si>
    <t>Nov</t>
  </si>
  <si>
    <t>Apr</t>
  </si>
  <si>
    <t>Sept</t>
  </si>
  <si>
    <t>REVENUES:</t>
  </si>
  <si>
    <t>Agnes Careers</t>
  </si>
  <si>
    <t>Annual Rev./Student, 1 company</t>
  </si>
  <si>
    <t># Companies</t>
  </si>
  <si>
    <t>Projected Revenue</t>
  </si>
  <si>
    <t>Best Case Revenue:</t>
  </si>
  <si>
    <t>* Differences in this budget versus the last one sent: this one includes healthcare, a pushed up consulting timeline, and in-app rewards</t>
  </si>
  <si>
    <t>(Cost/Company)</t>
  </si>
  <si>
    <t>University Product</t>
  </si>
  <si>
    <t>Number of Universities Paying</t>
  </si>
  <si>
    <t>Cost per University</t>
  </si>
  <si>
    <t>Ad Revenue</t>
  </si>
  <si>
    <t>Clicks per student per 100 days</t>
  </si>
  <si>
    <t>Bulk Data</t>
  </si>
  <si>
    <t>Conference</t>
  </si>
  <si>
    <t>Low End</t>
  </si>
  <si>
    <t>High End</t>
  </si>
  <si>
    <t>Jan 2017 - Dec 2017</t>
  </si>
  <si>
    <t>Jan 2018 - Dec 2018</t>
  </si>
  <si>
    <t>Jan 2019 - Dec 2019</t>
  </si>
  <si>
    <t xml:space="preserve">Numbers (Fall 2015): </t>
  </si>
  <si>
    <t>Number of College Students</t>
  </si>
  <si>
    <t>https://nces.ed.gov/programs/coe/indicator_csb.asp</t>
  </si>
  <si>
    <t># full-time 4-year undergrads</t>
  </si>
  <si>
    <t># Total Students (LE)</t>
  </si>
  <si>
    <t># Schools launched at (LE)</t>
  </si>
  <si>
    <t># Total Students (HE)</t>
  </si>
  <si>
    <t># Schools launched at (HE)</t>
  </si>
  <si>
    <t>1. Agnes Careers</t>
  </si>
  <si>
    <t>Annual Rev./Student, 1 company (LE)</t>
  </si>
  <si>
    <t>Annual Rev./Student, 1 company (RE)</t>
  </si>
  <si>
    <t># Paying Companies (low estimate)</t>
  </si>
  <si>
    <t>Projected Revenue (LE)</t>
  </si>
  <si>
    <t># Paying Companies (realistic estimate)</t>
  </si>
  <si>
    <t>Projected Revenue (RE)</t>
  </si>
  <si>
    <t>Number of Universities Paying (Low Est.)</t>
  </si>
  <si>
    <t>Revenue (LE)</t>
  </si>
  <si>
    <t>Revenue (RE)</t>
  </si>
  <si>
    <t>3. Ad Revenue</t>
  </si>
  <si>
    <t>CPC (cost per click)</t>
  </si>
  <si>
    <t>4. Bulk Data</t>
  </si>
  <si>
    <t>TOTAL REVS (LE)</t>
  </si>
  <si>
    <t>ANNUAL TOTAL REVS (LE)</t>
  </si>
  <si>
    <t>TOTAL REVS (RE)</t>
  </si>
  <si>
    <t>ANNUAL TOTAL REVS (RE)</t>
  </si>
  <si>
    <t>EXPENSES:</t>
  </si>
  <si>
    <t>Apr-Aug 18</t>
  </si>
  <si>
    <t>Class of 2019</t>
  </si>
  <si>
    <t>Class of 2020</t>
  </si>
  <si>
    <t>Class of 2021</t>
  </si>
  <si>
    <t>Class of 2022</t>
  </si>
  <si>
    <t>Class of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</si>
</sst>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mmm d"/>
    <numFmt numFmtId="166" formatCode="0.0"/>
    <numFmt numFmtId="167" formatCode="mmm d"/>
    <numFmt numFmtId="168" formatCode="&quot;$&quot;#,##0.000"/>
  </numFmts>
  <fonts count="16">
    <font>
      <sz val="10.0"/>
      <color rgb="FF000000"/>
      <name val="Arial"/>
    </font>
    <font/>
    <font>
      <name val="Arial"/>
    </font>
    <font>
      <sz val="12.0"/>
      <color rgb="FF000000"/>
      <name val="Calibri"/>
    </font>
    <font>
      <b/>
      <sz val="10.0"/>
      <name val="Arial"/>
    </font>
    <font>
      <sz val="10.0"/>
      <name val="Arial"/>
    </font>
    <font>
      <b/>
      <sz val="12.0"/>
      <color rgb="FF000000"/>
      <name val="Calibri"/>
    </font>
    <font>
      <b/>
    </font>
    <font>
      <sz val="12.0"/>
      <name val="Calibri"/>
    </font>
    <font>
      <b/>
      <color rgb="FF333745"/>
      <name val="&quot;Open Sans&quot;"/>
    </font>
    <font>
      <u/>
      <color rgb="FF0000FF"/>
    </font>
    <font>
      <sz val="10.0"/>
      <color rgb="FFF7981D"/>
      <name val="Arial"/>
    </font>
    <font>
      <color rgb="FFFFFFFF"/>
    </font>
    <font>
      <sz val="10.0"/>
      <color rgb="FF38761D"/>
      <name val="Arial"/>
    </font>
    <font>
      <u/>
    </font>
    <font>
      <u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</fills>
  <borders count="17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0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0" numFmtId="164" xfId="0" applyAlignment="1" applyFont="1" applyNumberFormat="1">
      <alignment horizontal="center" readingOrder="0"/>
    </xf>
    <xf borderId="4" fillId="0" fontId="0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5" numFmtId="164" xfId="0" applyFont="1" applyNumberFormat="1"/>
    <xf borderId="0" fillId="0" fontId="5" numFmtId="0" xfId="0" applyFont="1"/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0" numFmtId="164" xfId="0" applyAlignment="1" applyFont="1" applyNumberFormat="1">
      <alignment readingOrder="0"/>
    </xf>
    <xf borderId="5" fillId="0" fontId="6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right"/>
    </xf>
    <xf borderId="0" fillId="0" fontId="1" numFmtId="164" xfId="0" applyFont="1" applyNumberFormat="1"/>
    <xf borderId="0" fillId="0" fontId="3" numFmtId="164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right" readingOrder="0" vertical="top"/>
    </xf>
    <xf borderId="1" fillId="0" fontId="2" numFmtId="164" xfId="0" applyBorder="1" applyFont="1" applyNumberFormat="1"/>
    <xf borderId="0" fillId="0" fontId="4" numFmtId="164" xfId="0" applyAlignment="1" applyFont="1" applyNumberFormat="1">
      <alignment horizontal="right" vertical="bottom"/>
    </xf>
    <xf borderId="5" fillId="0" fontId="6" numFmtId="164" xfId="0" applyAlignment="1" applyBorder="1" applyFont="1" applyNumberFormat="1">
      <alignment horizontal="right"/>
    </xf>
    <xf borderId="0" fillId="0" fontId="3" numFmtId="0" xfId="0" applyFont="1"/>
    <xf borderId="1" fillId="0" fontId="3" numFmtId="164" xfId="0" applyAlignment="1" applyBorder="1" applyFont="1" applyNumberFormat="1">
      <alignment horizontal="right"/>
    </xf>
    <xf borderId="3" fillId="0" fontId="4" numFmtId="164" xfId="0" applyBorder="1" applyFont="1" applyNumberFormat="1"/>
    <xf borderId="6" fillId="0" fontId="6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3" fillId="0" fontId="5" numFmtId="0" xfId="0" applyAlignment="1" applyBorder="1" applyFont="1">
      <alignment horizontal="center" readingOrder="0"/>
    </xf>
    <xf borderId="0" fillId="0" fontId="6" numFmtId="164" xfId="0" applyAlignment="1" applyFont="1" applyNumberFormat="1">
      <alignment horizontal="right" vertical="bottom"/>
    </xf>
    <xf borderId="3" fillId="0" fontId="0" numFmtId="49" xfId="0" applyAlignment="1" applyBorder="1" applyFont="1" applyNumberFormat="1">
      <alignment horizontal="center" readingOrder="0"/>
    </xf>
    <xf borderId="4" fillId="0" fontId="0" numFmtId="164" xfId="0" applyAlignment="1" applyBorder="1" applyFont="1" applyNumberFormat="1">
      <alignment horizontal="right" readingOrder="0" shrinkToFit="0" vertical="bottom" wrapText="0"/>
    </xf>
    <xf borderId="1" fillId="0" fontId="6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horizontal="center" readingOrder="0"/>
    </xf>
    <xf borderId="0" fillId="0" fontId="5" numFmtId="164" xfId="0" applyFont="1" applyNumberFormat="1"/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8" numFmtId="164" xfId="0" applyAlignment="1" applyFont="1" applyNumberFormat="1">
      <alignment readingOrder="0"/>
    </xf>
    <xf borderId="0" fillId="0" fontId="8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7" numFmtId="164" xfId="0" applyFont="1" applyNumberFormat="1"/>
    <xf borderId="0" fillId="0" fontId="0" numFmtId="164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readingOrder="0"/>
    </xf>
    <xf borderId="0" fillId="2" fontId="0" numFmtId="164" xfId="0" applyFill="1" applyFont="1" applyNumberFormat="1"/>
    <xf borderId="0" fillId="0" fontId="4" numFmtId="164" xfId="0" applyFont="1" applyNumberFormat="1"/>
    <xf borderId="3" fillId="0" fontId="4" numFmtId="164" xfId="0" applyBorder="1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0" fillId="2" fontId="1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6" xfId="0" applyFont="1" applyNumberFormat="1"/>
    <xf borderId="0" fillId="0" fontId="5" numFmtId="164" xfId="0" applyAlignment="1" applyFont="1" applyNumberFormat="1">
      <alignment horizontal="center"/>
    </xf>
    <xf borderId="0" fillId="0" fontId="1" numFmtId="9" xfId="0" applyAlignment="1" applyFont="1" applyNumberFormat="1">
      <alignment horizontal="center" readingOrder="0"/>
    </xf>
    <xf borderId="0" fillId="3" fontId="1" numFmtId="0" xfId="0" applyFill="1" applyFont="1"/>
    <xf borderId="0" fillId="0" fontId="1" numFmtId="0" xfId="0" applyAlignment="1" applyFont="1">
      <alignment horizontal="right" readingOrder="0"/>
    </xf>
    <xf borderId="8" fillId="2" fontId="12" numFmtId="0" xfId="0" applyAlignment="1" applyBorder="1" applyFont="1">
      <alignment readingOrder="0"/>
    </xf>
    <xf borderId="8" fillId="0" fontId="1" numFmtId="0" xfId="0" applyBorder="1" applyFont="1"/>
    <xf borderId="3" fillId="3" fontId="1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7" fillId="0" fontId="1" numFmtId="166" xfId="0" applyAlignment="1" applyBorder="1" applyFont="1" applyNumberFormat="1">
      <alignment readingOrder="0"/>
    </xf>
    <xf borderId="9" fillId="0" fontId="1" numFmtId="0" xfId="0" applyAlignment="1" applyBorder="1" applyFont="1">
      <alignment horizontal="right" readingOrder="0"/>
    </xf>
    <xf borderId="0" fillId="0" fontId="1" numFmtId="3" xfId="0" applyAlignment="1" applyFont="1" applyNumberFormat="1">
      <alignment horizontal="center" readingOrder="0"/>
    </xf>
    <xf borderId="1" fillId="0" fontId="1" numFmtId="3" xfId="0" applyAlignment="1" applyBorder="1" applyFont="1" applyNumberFormat="1">
      <alignment horizontal="center" readingOrder="0"/>
    </xf>
    <xf borderId="10" fillId="0" fontId="1" numFmtId="0" xfId="0" applyAlignment="1" applyBorder="1" applyFont="1">
      <alignment horizontal="right" readingOrder="0"/>
    </xf>
    <xf borderId="8" fillId="0" fontId="1" numFmtId="3" xfId="0" applyAlignment="1" applyBorder="1" applyFont="1" applyNumberFormat="1">
      <alignment horizontal="center" readingOrder="0"/>
    </xf>
    <xf borderId="0" fillId="0" fontId="5" numFmtId="1" xfId="0" applyAlignment="1" applyFont="1" applyNumberFormat="1">
      <alignment horizontal="center"/>
    </xf>
    <xf borderId="11" fillId="0" fontId="1" numFmtId="3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readingOrder="0"/>
    </xf>
    <xf borderId="0" fillId="0" fontId="5" numFmtId="164" xfId="0" applyAlignment="1" applyFont="1" applyNumberFormat="1">
      <alignment horizontal="center" readingOrder="0"/>
    </xf>
    <xf borderId="12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12" fillId="0" fontId="7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/>
    </xf>
    <xf borderId="14" fillId="0" fontId="7" numFmtId="0" xfId="0" applyAlignment="1" applyBorder="1" applyFont="1">
      <alignment readingOrder="0"/>
    </xf>
    <xf borderId="8" fillId="0" fontId="1" numFmtId="164" xfId="0" applyAlignment="1" applyBorder="1" applyFont="1" applyNumberFormat="1">
      <alignment horizontal="center" readingOrder="0"/>
    </xf>
    <xf borderId="8" fillId="0" fontId="1" numFmtId="164" xfId="0" applyAlignment="1" applyBorder="1" applyFont="1" applyNumberFormat="1">
      <alignment horizontal="center"/>
    </xf>
    <xf borderId="11" fillId="0" fontId="1" numFmtId="164" xfId="0" applyAlignment="1" applyBorder="1" applyFont="1" applyNumberFormat="1">
      <alignment horizontal="center"/>
    </xf>
    <xf borderId="0" fillId="0" fontId="7" numFmtId="0" xfId="0" applyFont="1"/>
    <xf borderId="0" fillId="0" fontId="7" numFmtId="166" xfId="0" applyFont="1" applyNumberFormat="1"/>
    <xf borderId="0" fillId="0" fontId="13" numFmtId="164" xfId="0" applyAlignment="1" applyFont="1" applyNumberFormat="1">
      <alignment horizontal="center"/>
    </xf>
    <xf borderId="0" fillId="4" fontId="7" numFmtId="0" xfId="0" applyAlignment="1" applyFill="1" applyFont="1">
      <alignment horizontal="right" readingOrder="0"/>
    </xf>
    <xf borderId="0" fillId="0" fontId="7" numFmtId="167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readingOrder="0"/>
    </xf>
    <xf borderId="0" fillId="0" fontId="7" numFmtId="0" xfId="0" applyAlignment="1" applyFont="1">
      <alignment horizontal="right" readingOrder="0"/>
    </xf>
    <xf borderId="0" fillId="0" fontId="7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7" numFmtId="0" xfId="0" applyAlignment="1" applyFill="1" applyFont="1">
      <alignment horizontal="right" readingOrder="0"/>
    </xf>
    <xf borderId="0" fillId="6" fontId="1" numFmtId="0" xfId="0" applyFill="1" applyFont="1"/>
    <xf borderId="0" fillId="6" fontId="1" numFmtId="164" xfId="0" applyAlignment="1" applyFont="1" applyNumberFormat="1">
      <alignment horizontal="center"/>
    </xf>
    <xf borderId="0" fillId="6" fontId="1" numFmtId="164" xfId="0" applyFont="1" applyNumberForma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left" readingOrder="0"/>
    </xf>
    <xf borderId="0" fillId="0" fontId="14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8" xfId="0" applyFont="1" applyNumberFormat="1"/>
    <xf borderId="0" fillId="0" fontId="7" numFmtId="164" xfId="0" applyFont="1" applyNumberFormat="1"/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7" numFmtId="164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0" fontId="6" numFmtId="164" xfId="0" applyAlignment="1" applyFont="1" applyNumberFormat="1">
      <alignment horizontal="right" vertical="bottom"/>
    </xf>
    <xf borderId="0" fillId="2" fontId="15" numFmtId="0" xfId="0" applyAlignment="1" applyFont="1">
      <alignment horizontal="left" readingOrder="0"/>
    </xf>
    <xf borderId="0" fillId="0" fontId="1" numFmtId="168" xfId="0" applyAlignment="1" applyFont="1" applyNumberFormat="1">
      <alignment readingOrder="0"/>
    </xf>
    <xf borderId="14" fillId="0" fontId="7" numFmtId="164" xfId="0" applyBorder="1" applyFont="1" applyNumberFormat="1"/>
    <xf borderId="15" fillId="0" fontId="7" numFmtId="164" xfId="0" applyBorder="1" applyFont="1" applyNumberFormat="1"/>
    <xf borderId="16" fillId="0" fontId="7" numFmtId="164" xfId="0" applyBorder="1" applyFont="1" applyNumberFormat="1"/>
    <xf borderId="0" fillId="0" fontId="1" numFmtId="0" xfId="0" applyAlignment="1" applyFont="1">
      <alignment horizontal="left" readingOrder="0"/>
    </xf>
    <xf borderId="14" fillId="0" fontId="7" numFmtId="164" xfId="0" applyBorder="1" applyFont="1" applyNumberFormat="1"/>
    <xf borderId="15" fillId="0" fontId="7" numFmtId="164" xfId="0" applyBorder="1" applyFont="1" applyNumberFormat="1"/>
    <xf borderId="16" fillId="0" fontId="7" numFmtId="164" xfId="0" applyBorder="1" applyFont="1" applyNumberFormat="1"/>
    <xf borderId="0" fillId="0" fontId="7" numFmtId="164" xfId="0" applyAlignment="1" applyFont="1" applyNumberFormat="1">
      <alignment horizontal="center"/>
    </xf>
    <xf borderId="3" fillId="0" fontId="7" numFmtId="0" xfId="0" applyAlignment="1" applyBorder="1" applyFont="1">
      <alignment horizontal="right" readingOrder="0"/>
    </xf>
    <xf borderId="14" fillId="0" fontId="7" numFmtId="164" xfId="0" applyAlignment="1" applyBorder="1" applyFont="1" applyNumberFormat="1">
      <alignment horizontal="center"/>
    </xf>
    <xf borderId="16" fillId="0" fontId="1" numFmtId="0" xfId="0" applyBorder="1" applyFont="1"/>
    <xf borderId="14" fillId="0" fontId="7" numFmtId="164" xfId="0" applyAlignment="1" applyBorder="1" applyFont="1" applyNumberFormat="1">
      <alignment horizontal="center"/>
    </xf>
    <xf borderId="3" fillId="0" fontId="7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dstream.com/blog/ws/2017/07/05/online-advertising-costs" TargetMode="External"/><Relationship Id="rId2" Type="http://schemas.openxmlformats.org/officeDocument/2006/relationships/hyperlink" Target="https://blog.adstage.io/2017/09/18/facebook-cpms-increase-2017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ces.ed.gov/programs/coe/indicator_csb.asp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71"/>
    <col customWidth="1" min="5" max="5" width="15.29"/>
    <col customWidth="1" min="11" max="11" width="15.0"/>
    <col customWidth="1" min="12" max="12" width="20.43"/>
    <col customWidth="1" min="13" max="13" width="17.14"/>
    <col customWidth="1" min="15" max="15" width="18.86"/>
  </cols>
  <sheetData>
    <row r="1">
      <c r="A1" s="5" t="s">
        <v>1</v>
      </c>
      <c r="B1" s="8" t="s">
        <v>20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9" t="s">
        <v>33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34</v>
      </c>
      <c r="B2" s="12">
        <v>28779.79</v>
      </c>
      <c r="C2" s="12">
        <v>34615.01</v>
      </c>
      <c r="D2" s="12">
        <v>33681.67</v>
      </c>
      <c r="E2" s="12">
        <v>31954.17</v>
      </c>
      <c r="F2" s="12">
        <v>28683.17</v>
      </c>
      <c r="G2" s="12">
        <v>34192.67</v>
      </c>
      <c r="H2" s="12">
        <v>44506.01</v>
      </c>
      <c r="I2" s="12">
        <v>42668.68</v>
      </c>
      <c r="J2" s="12">
        <v>43016.68</v>
      </c>
      <c r="K2" s="12">
        <v>46833.34</v>
      </c>
      <c r="L2" s="12">
        <v>43125.01</v>
      </c>
      <c r="M2" s="12">
        <v>41850.01</v>
      </c>
      <c r="N2" s="16">
        <f t="shared" ref="N2:N6" si="2">SUM(B2:M2)</f>
        <v>453906.21</v>
      </c>
      <c r="O2" s="11" t="s">
        <v>34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1" t="s">
        <v>50</v>
      </c>
      <c r="B3" s="22">
        <f t="shared" ref="B3:M3" si="1">B2*0.15</f>
        <v>4316.9685</v>
      </c>
      <c r="C3" s="22">
        <f t="shared" si="1"/>
        <v>5192.2515</v>
      </c>
      <c r="D3" s="22">
        <f t="shared" si="1"/>
        <v>5052.2505</v>
      </c>
      <c r="E3" s="22">
        <f t="shared" si="1"/>
        <v>4793.1255</v>
      </c>
      <c r="F3" s="22">
        <f t="shared" si="1"/>
        <v>4302.4755</v>
      </c>
      <c r="G3" s="22">
        <f t="shared" si="1"/>
        <v>5128.9005</v>
      </c>
      <c r="H3" s="22">
        <f t="shared" si="1"/>
        <v>6675.9015</v>
      </c>
      <c r="I3" s="22">
        <f t="shared" si="1"/>
        <v>6400.302</v>
      </c>
      <c r="J3" s="22">
        <f t="shared" si="1"/>
        <v>6452.502</v>
      </c>
      <c r="K3" s="22">
        <f t="shared" si="1"/>
        <v>7025.001</v>
      </c>
      <c r="L3" s="22">
        <f t="shared" si="1"/>
        <v>6468.7515</v>
      </c>
      <c r="M3" s="22">
        <f t="shared" si="1"/>
        <v>6277.5015</v>
      </c>
      <c r="N3" s="16">
        <f t="shared" si="2"/>
        <v>68085.9315</v>
      </c>
      <c r="O3" s="11" t="s">
        <v>50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11" t="s">
        <v>52</v>
      </c>
      <c r="B4" s="22">
        <v>2564.48</v>
      </c>
      <c r="C4" s="22">
        <v>2564.48</v>
      </c>
      <c r="D4" s="22">
        <v>2844.48</v>
      </c>
      <c r="E4" s="22">
        <v>2564.48</v>
      </c>
      <c r="F4" s="22">
        <v>2581.64</v>
      </c>
      <c r="G4" s="22">
        <v>2365.63</v>
      </c>
      <c r="H4" s="22">
        <v>2252.88</v>
      </c>
      <c r="I4" s="22">
        <v>2252.88</v>
      </c>
      <c r="J4" s="22">
        <v>2252.88</v>
      </c>
      <c r="K4" s="22">
        <v>2252.88</v>
      </c>
      <c r="L4" s="22">
        <v>2252.88</v>
      </c>
      <c r="M4" s="22">
        <v>2252.88</v>
      </c>
      <c r="N4" s="16">
        <f t="shared" si="2"/>
        <v>29002.47</v>
      </c>
      <c r="O4" s="11" t="s">
        <v>52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11" t="s">
        <v>53</v>
      </c>
      <c r="B5" s="22">
        <v>761.48</v>
      </c>
      <c r="C5" s="22">
        <v>1723.79</v>
      </c>
      <c r="D5" s="22">
        <v>734.51</v>
      </c>
      <c r="E5" s="22">
        <v>551.81</v>
      </c>
      <c r="F5" s="22">
        <v>1736.51</v>
      </c>
      <c r="G5" s="22">
        <v>2210.49</v>
      </c>
      <c r="H5" s="22">
        <v>1892.67</v>
      </c>
      <c r="I5" s="22">
        <v>4052.29</v>
      </c>
      <c r="J5" s="22">
        <v>701.88</v>
      </c>
      <c r="K5" s="22">
        <v>2249.05</v>
      </c>
      <c r="L5" s="22">
        <v>896.99</v>
      </c>
      <c r="M5" s="22">
        <v>2807.06</v>
      </c>
      <c r="N5" s="16">
        <f t="shared" si="2"/>
        <v>20318.53</v>
      </c>
      <c r="O5" s="11" t="s">
        <v>53</v>
      </c>
      <c r="P5" s="28" t="s">
        <v>55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30" t="s">
        <v>33</v>
      </c>
      <c r="B6" s="32">
        <f t="shared" ref="B6:M6" si="3">SUM(B2:B5)</f>
        <v>36422.7185</v>
      </c>
      <c r="C6" s="32">
        <f t="shared" si="3"/>
        <v>44095.5315</v>
      </c>
      <c r="D6" s="32">
        <f t="shared" si="3"/>
        <v>42312.9105</v>
      </c>
      <c r="E6" s="32">
        <f t="shared" si="3"/>
        <v>39863.5855</v>
      </c>
      <c r="F6" s="32">
        <f t="shared" si="3"/>
        <v>37303.7955</v>
      </c>
      <c r="G6" s="32">
        <f t="shared" si="3"/>
        <v>43897.6905</v>
      </c>
      <c r="H6" s="32">
        <f t="shared" si="3"/>
        <v>55327.4615</v>
      </c>
      <c r="I6" s="32">
        <f t="shared" si="3"/>
        <v>55374.152</v>
      </c>
      <c r="J6" s="32">
        <f t="shared" si="3"/>
        <v>52423.942</v>
      </c>
      <c r="K6" s="32">
        <f t="shared" si="3"/>
        <v>58360.271</v>
      </c>
      <c r="L6" s="32">
        <f t="shared" si="3"/>
        <v>52743.6315</v>
      </c>
      <c r="M6" s="32">
        <f t="shared" si="3"/>
        <v>53187.4515</v>
      </c>
      <c r="N6" s="36">
        <f t="shared" si="2"/>
        <v>571313.1415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8" t="s">
        <v>60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9" t="s">
        <v>61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5" t="s">
        <v>62</v>
      </c>
      <c r="B10" s="39" t="s">
        <v>63</v>
      </c>
      <c r="C10" s="39" t="s">
        <v>64</v>
      </c>
      <c r="D10" s="39" t="s">
        <v>65</v>
      </c>
      <c r="E10" s="8" t="s">
        <v>66</v>
      </c>
      <c r="F10" s="8" t="s">
        <v>67</v>
      </c>
      <c r="G10" s="8" t="s">
        <v>68</v>
      </c>
      <c r="H10" s="8" t="s">
        <v>69</v>
      </c>
      <c r="I10" s="41" t="s">
        <v>70</v>
      </c>
      <c r="J10" s="41" t="s">
        <v>71</v>
      </c>
      <c r="K10" s="41" t="s">
        <v>72</v>
      </c>
      <c r="L10" s="41" t="s">
        <v>73</v>
      </c>
      <c r="M10" s="41" t="s">
        <v>74</v>
      </c>
      <c r="N10" s="9" t="s">
        <v>33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9" t="s">
        <v>34</v>
      </c>
      <c r="B11" s="42">
        <v>41850.01</v>
      </c>
      <c r="C11" s="42">
        <v>41850.01</v>
      </c>
      <c r="D11" s="42">
        <v>41853.01</v>
      </c>
      <c r="E11" s="45">
        <f>'In-depth 1-yr expenses'!B2</f>
        <v>41851</v>
      </c>
      <c r="F11" s="45">
        <f>'In-depth 1-yr expenses'!C2</f>
        <v>43642.16667</v>
      </c>
      <c r="G11" s="45">
        <f>'In-depth 1-yr expenses'!D2</f>
        <v>49433.33333</v>
      </c>
      <c r="H11" s="45">
        <f>'In-depth 1-yr expenses'!E2</f>
        <v>50100</v>
      </c>
      <c r="I11" s="45">
        <f>'In-depth 1-yr expenses'!F2</f>
        <v>48766.66667</v>
      </c>
      <c r="J11" s="45">
        <f>'In-depth 1-yr expenses'!G2</f>
        <v>54933.33333</v>
      </c>
      <c r="K11" s="45">
        <f>'In-depth 1-yr expenses'!H2</f>
        <v>54933.33333</v>
      </c>
      <c r="L11" s="45">
        <f>'In-depth 1-yr expenses'!I2</f>
        <v>60350</v>
      </c>
      <c r="M11" s="45">
        <f>'In-depth 1-yr expenses'!J2</f>
        <v>60350</v>
      </c>
      <c r="N11" s="16">
        <f t="shared" ref="N11:N18" si="5">SUM(B11:M11)</f>
        <v>589912.8633</v>
      </c>
      <c r="O11" s="9" t="s">
        <v>34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9" t="s">
        <v>50</v>
      </c>
      <c r="B12" s="16">
        <f t="shared" ref="B12:M12" si="4">B11*0.15</f>
        <v>6277.5015</v>
      </c>
      <c r="C12" s="16">
        <f t="shared" si="4"/>
        <v>6277.5015</v>
      </c>
      <c r="D12" s="16">
        <f t="shared" si="4"/>
        <v>6277.9515</v>
      </c>
      <c r="E12" s="45">
        <f t="shared" si="4"/>
        <v>6277.65</v>
      </c>
      <c r="F12" s="45">
        <f t="shared" si="4"/>
        <v>6546.325</v>
      </c>
      <c r="G12" s="45">
        <f t="shared" si="4"/>
        <v>7415</v>
      </c>
      <c r="H12" s="45">
        <f t="shared" si="4"/>
        <v>7515</v>
      </c>
      <c r="I12" s="45">
        <f t="shared" si="4"/>
        <v>7315</v>
      </c>
      <c r="J12" s="45">
        <f t="shared" si="4"/>
        <v>8240</v>
      </c>
      <c r="K12" s="45">
        <f t="shared" si="4"/>
        <v>8240</v>
      </c>
      <c r="L12" s="45">
        <f t="shared" si="4"/>
        <v>9052.5</v>
      </c>
      <c r="M12" s="45">
        <f t="shared" si="4"/>
        <v>9052.5</v>
      </c>
      <c r="N12" s="16">
        <f t="shared" si="5"/>
        <v>88486.9295</v>
      </c>
      <c r="O12" s="9" t="s">
        <v>50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9" t="s">
        <v>52</v>
      </c>
      <c r="B13" s="22">
        <v>2252.88</v>
      </c>
      <c r="C13" s="22">
        <v>2252.88</v>
      </c>
      <c r="D13" s="22">
        <v>2252.88</v>
      </c>
      <c r="E13" s="22">
        <v>2252.88</v>
      </c>
      <c r="F13" s="22">
        <v>2252.88</v>
      </c>
      <c r="G13" s="22">
        <v>2252.88</v>
      </c>
      <c r="H13" s="22">
        <v>2252.88</v>
      </c>
      <c r="I13" s="22">
        <v>2252.88</v>
      </c>
      <c r="J13" s="22">
        <v>2252.88</v>
      </c>
      <c r="K13" s="22">
        <v>2252.88</v>
      </c>
      <c r="L13" s="22">
        <v>2252.88</v>
      </c>
      <c r="M13" s="22">
        <v>2252.88</v>
      </c>
      <c r="N13" s="16">
        <f t="shared" si="5"/>
        <v>27034.56</v>
      </c>
      <c r="O13" s="9" t="s">
        <v>52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9" t="s">
        <v>53</v>
      </c>
      <c r="B14" s="53">
        <v>1594.92</v>
      </c>
      <c r="C14" s="53">
        <v>2843.14</v>
      </c>
      <c r="D14" s="53">
        <v>1453.33</v>
      </c>
      <c r="E14" s="54">
        <v>2000.0</v>
      </c>
      <c r="F14" s="54">
        <v>2000.0</v>
      </c>
      <c r="G14" s="54">
        <v>2000.0</v>
      </c>
      <c r="H14" s="54">
        <v>2000.0</v>
      </c>
      <c r="I14" s="54">
        <v>2000.0</v>
      </c>
      <c r="J14" s="54">
        <v>2000.0</v>
      </c>
      <c r="K14" s="54">
        <v>2000.0</v>
      </c>
      <c r="L14" s="54">
        <v>2000.0</v>
      </c>
      <c r="M14" s="54">
        <v>2000.0</v>
      </c>
      <c r="N14" s="16">
        <f t="shared" si="5"/>
        <v>23891.39</v>
      </c>
      <c r="O14" s="9" t="s">
        <v>53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9" t="s">
        <v>79</v>
      </c>
      <c r="B15" s="54">
        <v>1000.0</v>
      </c>
      <c r="C15" s="54">
        <v>1000.0</v>
      </c>
      <c r="D15" s="54">
        <v>1000.0</v>
      </c>
      <c r="E15" s="54">
        <v>1000.0</v>
      </c>
      <c r="F15" s="54">
        <v>1000.0</v>
      </c>
      <c r="G15" s="54">
        <v>1000.0</v>
      </c>
      <c r="H15" s="54">
        <v>1000.0</v>
      </c>
      <c r="I15" s="54">
        <v>2000.0</v>
      </c>
      <c r="J15" s="54">
        <v>2500.0</v>
      </c>
      <c r="K15" s="54">
        <v>3000.0</v>
      </c>
      <c r="L15" s="54">
        <v>3000.0</v>
      </c>
      <c r="M15" s="54">
        <v>2000.0</v>
      </c>
      <c r="N15" s="45">
        <f t="shared" si="5"/>
        <v>19500</v>
      </c>
      <c r="O15" s="9" t="s">
        <v>79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9" t="s">
        <v>80</v>
      </c>
      <c r="B16" s="54">
        <v>0.0</v>
      </c>
      <c r="C16" s="54">
        <v>0.0</v>
      </c>
      <c r="D16" s="54">
        <v>0.0</v>
      </c>
      <c r="E16" s="45">
        <f>Marketing!E7</f>
        <v>1600</v>
      </c>
      <c r="F16" s="45">
        <f>Marketing!F7</f>
        <v>6500</v>
      </c>
      <c r="G16" s="45">
        <f>Marketing!G7</f>
        <v>5500</v>
      </c>
      <c r="H16" s="45">
        <f>Marketing!H7</f>
        <v>8000</v>
      </c>
      <c r="I16" s="45">
        <f>Marketing!I7</f>
        <v>15000</v>
      </c>
      <c r="J16" s="45">
        <f>Marketing!J7</f>
        <v>8500</v>
      </c>
      <c r="K16" s="45">
        <f>Marketing!K7</f>
        <v>500</v>
      </c>
      <c r="L16" s="45">
        <f>Marketing!L7</f>
        <v>2000</v>
      </c>
      <c r="M16" s="45">
        <f>Marketing!M7</f>
        <v>2000</v>
      </c>
      <c r="N16" s="45">
        <f t="shared" si="5"/>
        <v>49600</v>
      </c>
      <c r="O16" s="9" t="s">
        <v>80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9" t="s">
        <v>82</v>
      </c>
      <c r="B17" s="54">
        <v>0.0</v>
      </c>
      <c r="C17" s="54">
        <v>0.0</v>
      </c>
      <c r="D17" s="54">
        <v>0.0</v>
      </c>
      <c r="E17" s="45">
        <f>'In-depth 1-yr expenses'!B8</f>
        <v>0</v>
      </c>
      <c r="F17" s="45">
        <f>'In-depth 1-yr expenses'!C8</f>
        <v>0</v>
      </c>
      <c r="G17" s="45">
        <f>'In-depth 1-yr expenses'!D8</f>
        <v>0</v>
      </c>
      <c r="H17" s="45">
        <f>'In-depth 1-yr expenses'!E8</f>
        <v>0</v>
      </c>
      <c r="I17" s="45">
        <f>'In-depth 1-yr expenses'!F8</f>
        <v>0</v>
      </c>
      <c r="J17" s="55">
        <f>60000*0.01</f>
        <v>600</v>
      </c>
      <c r="K17" s="55">
        <f>60000*0.22</f>
        <v>13200</v>
      </c>
      <c r="L17" s="45">
        <f>60000*0.32</f>
        <v>19200</v>
      </c>
      <c r="M17" s="45">
        <f>60000-(SUM(J17:L17))</f>
        <v>27000</v>
      </c>
      <c r="N17" s="45">
        <f t="shared" si="5"/>
        <v>60000</v>
      </c>
      <c r="O17" s="9" t="s">
        <v>82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30" t="s">
        <v>33</v>
      </c>
      <c r="B18" s="56">
        <f t="shared" ref="B18:M18" si="6">SUM(B11:B17)</f>
        <v>52975.3115</v>
      </c>
      <c r="C18" s="56">
        <f t="shared" si="6"/>
        <v>54223.5315</v>
      </c>
      <c r="D18" s="56">
        <f t="shared" si="6"/>
        <v>52837.1715</v>
      </c>
      <c r="E18" s="56">
        <f t="shared" si="6"/>
        <v>54981.53</v>
      </c>
      <c r="F18" s="56">
        <f t="shared" si="6"/>
        <v>61941.37167</v>
      </c>
      <c r="G18" s="56">
        <f t="shared" si="6"/>
        <v>67601.21333</v>
      </c>
      <c r="H18" s="56">
        <f t="shared" si="6"/>
        <v>70867.88</v>
      </c>
      <c r="I18" s="56">
        <f t="shared" si="6"/>
        <v>77334.54667</v>
      </c>
      <c r="J18" s="56">
        <f t="shared" si="6"/>
        <v>79026.21333</v>
      </c>
      <c r="K18" s="56">
        <f t="shared" si="6"/>
        <v>84126.21333</v>
      </c>
      <c r="L18" s="56">
        <f t="shared" si="6"/>
        <v>97855.38</v>
      </c>
      <c r="M18" s="56">
        <f t="shared" si="6"/>
        <v>104655.38</v>
      </c>
      <c r="N18" s="57">
        <f t="shared" si="5"/>
        <v>858425.7428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58" t="s">
        <v>85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8" t="s">
        <v>86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58" t="s">
        <v>87</v>
      </c>
      <c r="N20" s="57">
        <f>N18+M25</f>
        <v>775789.9095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28" t="s">
        <v>89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8" t="s">
        <v>90</v>
      </c>
      <c r="M21" s="45">
        <f>E11+((E11+5400)*7)+(3750*4)-SUM(F11:M11)-(3750/2)+16640</f>
        <v>-20135.83333</v>
      </c>
      <c r="N21" s="59" t="s">
        <v>91</v>
      </c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28" t="s">
        <v>92</v>
      </c>
      <c r="B22" s="17"/>
      <c r="C22" s="17"/>
      <c r="D22" s="17"/>
      <c r="E22" s="17"/>
      <c r="F22" s="17"/>
      <c r="G22" s="17"/>
      <c r="H22" s="17"/>
      <c r="I22" s="17"/>
      <c r="J22" s="17"/>
      <c r="L22" s="28" t="s">
        <v>93</v>
      </c>
      <c r="M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28" t="s">
        <v>94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60" t="s">
        <v>95</v>
      </c>
      <c r="M23" s="45">
        <f>5000-SUM(J17:M17)</f>
        <v>-55000</v>
      </c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28" t="s">
        <v>97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60" t="s">
        <v>100</v>
      </c>
      <c r="M24" s="45">
        <f>(1000*5)-SUM(I15:M15)</f>
        <v>-7500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28" t="s">
        <v>109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60" t="s">
        <v>112</v>
      </c>
      <c r="M25" s="45">
        <f>SUM(M21:M24)</f>
        <v>-82635.83333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28" t="s">
        <v>123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58" t="s">
        <v>79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28" t="s">
        <v>127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58" t="s">
        <v>80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28" t="s">
        <v>129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6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58" t="s">
        <v>82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28" t="s">
        <v>132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9" t="s">
        <v>61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5" t="s">
        <v>135</v>
      </c>
      <c r="B35" s="39" t="s">
        <v>63</v>
      </c>
      <c r="C35" s="39" t="s">
        <v>64</v>
      </c>
      <c r="D35" s="39" t="s">
        <v>65</v>
      </c>
      <c r="E35" s="8" t="s">
        <v>66</v>
      </c>
      <c r="F35" s="8" t="s">
        <v>67</v>
      </c>
      <c r="G35" s="8" t="s">
        <v>68</v>
      </c>
      <c r="H35" s="8" t="s">
        <v>69</v>
      </c>
      <c r="I35" s="41" t="s">
        <v>70</v>
      </c>
      <c r="J35" s="41" t="s">
        <v>71</v>
      </c>
      <c r="K35" s="41" t="s">
        <v>72</v>
      </c>
      <c r="L35" s="41" t="s">
        <v>73</v>
      </c>
      <c r="M35" s="41" t="s">
        <v>74</v>
      </c>
      <c r="N35" s="39" t="s">
        <v>137</v>
      </c>
      <c r="O35" s="39" t="s">
        <v>138</v>
      </c>
      <c r="P35" s="39" t="s">
        <v>139</v>
      </c>
      <c r="Q35" s="39" t="s">
        <v>140</v>
      </c>
      <c r="R35" s="39" t="s">
        <v>141</v>
      </c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5" t="s">
        <v>142</v>
      </c>
      <c r="B36" s="70">
        <f t="shared" ref="B36:R36" si="7">B44+B56+B64</f>
        <v>0</v>
      </c>
      <c r="C36" s="70">
        <f t="shared" si="7"/>
        <v>0</v>
      </c>
      <c r="D36" s="70">
        <f t="shared" si="7"/>
        <v>0</v>
      </c>
      <c r="E36" s="70">
        <f t="shared" si="7"/>
        <v>0</v>
      </c>
      <c r="F36" s="70">
        <f t="shared" si="7"/>
        <v>0</v>
      </c>
      <c r="G36" s="70">
        <f t="shared" si="7"/>
        <v>0</v>
      </c>
      <c r="H36" s="70">
        <f t="shared" si="7"/>
        <v>0</v>
      </c>
      <c r="I36" s="70">
        <f t="shared" si="7"/>
        <v>0</v>
      </c>
      <c r="J36" s="70">
        <f t="shared" si="7"/>
        <v>0</v>
      </c>
      <c r="K36" s="70">
        <f t="shared" si="7"/>
        <v>0</v>
      </c>
      <c r="L36" s="70">
        <f t="shared" si="7"/>
        <v>0</v>
      </c>
      <c r="M36" s="70">
        <f t="shared" si="7"/>
        <v>0</v>
      </c>
      <c r="N36" s="70">
        <f t="shared" si="7"/>
        <v>20371.905</v>
      </c>
      <c r="O36" s="70">
        <f t="shared" si="7"/>
        <v>120000</v>
      </c>
      <c r="P36" s="70">
        <f t="shared" si="7"/>
        <v>210000</v>
      </c>
      <c r="Q36" s="70">
        <f t="shared" si="7"/>
        <v>945000</v>
      </c>
      <c r="R36" s="70">
        <f t="shared" si="7"/>
        <v>1320000</v>
      </c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9" t="s">
        <v>154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58" t="s">
        <v>155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28" t="s">
        <v>156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7"/>
      <c r="B40" s="39" t="s">
        <v>63</v>
      </c>
      <c r="C40" s="39" t="s">
        <v>64</v>
      </c>
      <c r="D40" s="39" t="s">
        <v>65</v>
      </c>
      <c r="E40" s="8" t="s">
        <v>66</v>
      </c>
      <c r="F40" s="8" t="s">
        <v>67</v>
      </c>
      <c r="G40" s="8" t="s">
        <v>68</v>
      </c>
      <c r="H40" s="8" t="s">
        <v>69</v>
      </c>
      <c r="I40" s="41" t="s">
        <v>70</v>
      </c>
      <c r="J40" s="41" t="s">
        <v>71</v>
      </c>
      <c r="K40" s="41" t="s">
        <v>72</v>
      </c>
      <c r="L40" s="41" t="s">
        <v>73</v>
      </c>
      <c r="M40" s="41" t="s">
        <v>74</v>
      </c>
      <c r="N40" s="39" t="s">
        <v>137</v>
      </c>
      <c r="O40" s="39" t="s">
        <v>138</v>
      </c>
      <c r="P40" s="39" t="s">
        <v>139</v>
      </c>
      <c r="Q40" s="39" t="s">
        <v>140</v>
      </c>
      <c r="R40" s="39" t="s">
        <v>141</v>
      </c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9" t="s">
        <v>157</v>
      </c>
      <c r="B41" s="9">
        <v>3.0</v>
      </c>
      <c r="C41" s="9">
        <v>3.0</v>
      </c>
      <c r="D41" s="9">
        <v>3.0</v>
      </c>
      <c r="E41" s="9">
        <v>3.0</v>
      </c>
      <c r="F41" s="9">
        <v>3.0</v>
      </c>
      <c r="G41" s="9">
        <v>3.0</v>
      </c>
      <c r="H41" s="9">
        <v>3.0</v>
      </c>
      <c r="I41" s="9">
        <v>3.0</v>
      </c>
      <c r="J41" s="9">
        <v>3.0</v>
      </c>
      <c r="K41" s="9">
        <v>3.0</v>
      </c>
      <c r="L41" s="9">
        <v>3.0</v>
      </c>
      <c r="M41" s="9">
        <v>3.0</v>
      </c>
      <c r="N41" s="9">
        <v>3.0</v>
      </c>
      <c r="O41" s="9">
        <v>20.0</v>
      </c>
      <c r="P41" s="9">
        <v>20.0</v>
      </c>
      <c r="Q41" s="9">
        <v>50.0</v>
      </c>
      <c r="R41" s="9">
        <v>50.0</v>
      </c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28" t="s">
        <v>171</v>
      </c>
      <c r="B42" s="9">
        <v>465.0</v>
      </c>
      <c r="C42" s="9">
        <v>470.0</v>
      </c>
      <c r="D42" s="9">
        <v>485.0</v>
      </c>
      <c r="E42" s="9">
        <v>500.0</v>
      </c>
      <c r="F42" s="9">
        <v>520.0</v>
      </c>
      <c r="G42" s="9">
        <v>520.0</v>
      </c>
      <c r="H42" s="9">
        <v>520.0</v>
      </c>
      <c r="I42" s="9">
        <v>660.0</v>
      </c>
      <c r="J42" s="9">
        <v>800.0</v>
      </c>
      <c r="K42" s="9">
        <f t="shared" ref="K42:L42" si="8">J42*1.35</f>
        <v>1080</v>
      </c>
      <c r="L42" s="9">
        <f t="shared" si="8"/>
        <v>1458</v>
      </c>
      <c r="M42" s="9">
        <f>L42*1.15</f>
        <v>1676.7</v>
      </c>
      <c r="N42" s="10">
        <f>N43/N41</f>
        <v>2263.545</v>
      </c>
      <c r="O42" s="9">
        <v>2000.0</v>
      </c>
      <c r="P42" s="9">
        <v>3500.0</v>
      </c>
      <c r="Q42" s="9">
        <v>4500.0</v>
      </c>
      <c r="R42" s="9">
        <v>5000.0</v>
      </c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9" t="s">
        <v>173</v>
      </c>
      <c r="B43" s="10">
        <f t="shared" ref="B43:M43" si="9">B41*B42</f>
        <v>1395</v>
      </c>
      <c r="C43" s="10">
        <f t="shared" si="9"/>
        <v>1410</v>
      </c>
      <c r="D43" s="10">
        <f t="shared" si="9"/>
        <v>1455</v>
      </c>
      <c r="E43" s="10">
        <f t="shared" si="9"/>
        <v>1500</v>
      </c>
      <c r="F43" s="10">
        <f t="shared" si="9"/>
        <v>1560</v>
      </c>
      <c r="G43" s="10">
        <f t="shared" si="9"/>
        <v>1560</v>
      </c>
      <c r="H43" s="10">
        <f t="shared" si="9"/>
        <v>1560</v>
      </c>
      <c r="I43" s="10">
        <f t="shared" si="9"/>
        <v>1980</v>
      </c>
      <c r="J43" s="10">
        <f t="shared" si="9"/>
        <v>2400</v>
      </c>
      <c r="K43" s="10">
        <f t="shared" si="9"/>
        <v>3240</v>
      </c>
      <c r="L43" s="10">
        <f t="shared" si="9"/>
        <v>4374</v>
      </c>
      <c r="M43" s="84">
        <f t="shared" si="9"/>
        <v>5030.1</v>
      </c>
      <c r="N43" s="84">
        <f>M43*1.35</f>
        <v>6790.635</v>
      </c>
      <c r="O43" s="10">
        <f t="shared" ref="O43:R43" si="10">O41*O42</f>
        <v>40000</v>
      </c>
      <c r="P43" s="10">
        <f t="shared" si="10"/>
        <v>70000</v>
      </c>
      <c r="Q43" s="10">
        <f t="shared" si="10"/>
        <v>225000</v>
      </c>
      <c r="R43" s="10">
        <f t="shared" si="10"/>
        <v>250000</v>
      </c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9" t="s">
        <v>179</v>
      </c>
      <c r="B44" s="87">
        <v>0.0</v>
      </c>
      <c r="C44" s="87">
        <v>0.0</v>
      </c>
      <c r="D44" s="87">
        <v>0.0</v>
      </c>
      <c r="E44" s="87">
        <v>0.0</v>
      </c>
      <c r="F44" s="87">
        <v>0.0</v>
      </c>
      <c r="G44" s="87">
        <v>0.0</v>
      </c>
      <c r="H44" s="87">
        <v>0.0</v>
      </c>
      <c r="I44" s="87">
        <v>0.0</v>
      </c>
      <c r="J44" s="87">
        <v>0.0</v>
      </c>
      <c r="K44" s="87">
        <v>0.0</v>
      </c>
      <c r="L44" s="87">
        <v>0.0</v>
      </c>
      <c r="M44" s="87">
        <v>0.0</v>
      </c>
      <c r="N44" s="70">
        <f t="shared" ref="N44:R44" si="11">N43*$C$49*$C$50</f>
        <v>20371.905</v>
      </c>
      <c r="O44" s="70">
        <f t="shared" si="11"/>
        <v>120000</v>
      </c>
      <c r="P44" s="70">
        <f t="shared" si="11"/>
        <v>210000</v>
      </c>
      <c r="Q44" s="70">
        <f t="shared" si="11"/>
        <v>675000</v>
      </c>
      <c r="R44" s="70">
        <f t="shared" si="11"/>
        <v>750000</v>
      </c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9" t="s">
        <v>185</v>
      </c>
      <c r="C45" s="9">
        <v>15.0</v>
      </c>
      <c r="D45" s="10"/>
      <c r="E45" s="10"/>
      <c r="F45" s="10"/>
      <c r="G45" s="10"/>
      <c r="H45" s="10"/>
      <c r="I45" s="10"/>
      <c r="J45" s="10"/>
      <c r="K45" s="10"/>
      <c r="L45" s="91" t="s">
        <v>186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9" t="s">
        <v>188</v>
      </c>
      <c r="C46" s="9">
        <v>2.0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9" t="s">
        <v>189</v>
      </c>
      <c r="C47" s="9">
        <f>C45*C46</f>
        <v>30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9" t="s">
        <v>190</v>
      </c>
      <c r="C48" s="9">
        <f>2/10</f>
        <v>0.2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9" t="s">
        <v>191</v>
      </c>
      <c r="C49" s="10">
        <f>C48*C47</f>
        <v>6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9" t="s">
        <v>192</v>
      </c>
      <c r="C50" s="87">
        <v>0.5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58" t="s">
        <v>193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7"/>
      <c r="B52" s="39" t="s">
        <v>63</v>
      </c>
      <c r="C52" s="39" t="s">
        <v>64</v>
      </c>
      <c r="D52" s="39" t="s">
        <v>65</v>
      </c>
      <c r="E52" s="8" t="s">
        <v>66</v>
      </c>
      <c r="F52" s="8" t="s">
        <v>67</v>
      </c>
      <c r="G52" s="8" t="s">
        <v>68</v>
      </c>
      <c r="H52" s="8" t="s">
        <v>69</v>
      </c>
      <c r="I52" s="41" t="s">
        <v>70</v>
      </c>
      <c r="J52" s="41" t="s">
        <v>71</v>
      </c>
      <c r="K52" s="41" t="s">
        <v>72</v>
      </c>
      <c r="L52" s="41" t="s">
        <v>73</v>
      </c>
      <c r="M52" s="41" t="s">
        <v>74</v>
      </c>
      <c r="N52" s="39" t="s">
        <v>137</v>
      </c>
      <c r="O52" s="39" t="s">
        <v>138</v>
      </c>
      <c r="P52" s="39" t="s">
        <v>139</v>
      </c>
      <c r="Q52" s="39" t="s">
        <v>140</v>
      </c>
      <c r="R52" s="39" t="s">
        <v>141</v>
      </c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9" t="s">
        <v>194</v>
      </c>
      <c r="B53" s="9">
        <v>0.0</v>
      </c>
      <c r="C53" s="9">
        <v>0.0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5.0</v>
      </c>
      <c r="P53" s="9">
        <v>5.0</v>
      </c>
      <c r="Q53" s="9">
        <v>15.0</v>
      </c>
      <c r="R53" s="9">
        <v>15.0</v>
      </c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9" t="s">
        <v>195</v>
      </c>
      <c r="B54" s="9">
        <v>0.0</v>
      </c>
      <c r="C54" s="9">
        <v>0.0</v>
      </c>
      <c r="D54" s="9">
        <v>0.0</v>
      </c>
      <c r="E54" s="9">
        <v>0.0</v>
      </c>
      <c r="F54" s="9">
        <v>0.0</v>
      </c>
      <c r="G54" s="9">
        <v>0.0</v>
      </c>
      <c r="H54" s="9">
        <v>0.0</v>
      </c>
      <c r="I54" s="9">
        <v>0.0</v>
      </c>
      <c r="J54" s="9">
        <v>0.0</v>
      </c>
      <c r="K54" s="9">
        <v>0.0</v>
      </c>
      <c r="L54" s="9">
        <v>0.0</v>
      </c>
      <c r="M54" s="9">
        <v>0.0</v>
      </c>
      <c r="N54" s="9">
        <v>0.0</v>
      </c>
      <c r="O54" s="9">
        <v>0.0</v>
      </c>
      <c r="P54" s="9">
        <v>0.0</v>
      </c>
      <c r="Q54" s="9">
        <v>10.0</v>
      </c>
      <c r="R54" s="9">
        <v>10.0</v>
      </c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9" t="s">
        <v>196</v>
      </c>
      <c r="B55" s="87">
        <v>12000.0</v>
      </c>
      <c r="C55" s="87">
        <v>12000.0</v>
      </c>
      <c r="D55" s="87">
        <v>12000.0</v>
      </c>
      <c r="E55" s="87">
        <v>12000.0</v>
      </c>
      <c r="F55" s="87">
        <v>12000.0</v>
      </c>
      <c r="G55" s="87">
        <v>12000.0</v>
      </c>
      <c r="H55" s="87">
        <v>12000.0</v>
      </c>
      <c r="I55" s="87">
        <v>12000.0</v>
      </c>
      <c r="J55" s="87">
        <v>12000.0</v>
      </c>
      <c r="K55" s="87">
        <v>12000.0</v>
      </c>
      <c r="L55" s="87">
        <v>12000.0</v>
      </c>
      <c r="M55" s="87">
        <v>12000.0</v>
      </c>
      <c r="N55" s="87">
        <v>12000.0</v>
      </c>
      <c r="O55" s="87">
        <v>12000.0</v>
      </c>
      <c r="P55" s="87">
        <v>12000.0</v>
      </c>
      <c r="Q55" s="87">
        <v>12000.0</v>
      </c>
      <c r="R55" s="87">
        <v>12000.0</v>
      </c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9" t="s">
        <v>179</v>
      </c>
      <c r="B56" s="70">
        <f t="shared" ref="B56:R56" si="12">B54*B55</f>
        <v>0</v>
      </c>
      <c r="C56" s="70">
        <f t="shared" si="12"/>
        <v>0</v>
      </c>
      <c r="D56" s="70">
        <f t="shared" si="12"/>
        <v>0</v>
      </c>
      <c r="E56" s="70">
        <f t="shared" si="12"/>
        <v>0</v>
      </c>
      <c r="F56" s="70">
        <f t="shared" si="12"/>
        <v>0</v>
      </c>
      <c r="G56" s="70">
        <f t="shared" si="12"/>
        <v>0</v>
      </c>
      <c r="H56" s="70">
        <f t="shared" si="12"/>
        <v>0</v>
      </c>
      <c r="I56" s="70">
        <f t="shared" si="12"/>
        <v>0</v>
      </c>
      <c r="J56" s="70">
        <f t="shared" si="12"/>
        <v>0</v>
      </c>
      <c r="K56" s="70">
        <f t="shared" si="12"/>
        <v>0</v>
      </c>
      <c r="L56" s="70">
        <f t="shared" si="12"/>
        <v>0</v>
      </c>
      <c r="M56" s="70">
        <f t="shared" si="12"/>
        <v>0</v>
      </c>
      <c r="N56" s="70">
        <f t="shared" si="12"/>
        <v>0</v>
      </c>
      <c r="O56" s="70">
        <f t="shared" si="12"/>
        <v>0</v>
      </c>
      <c r="P56" s="70">
        <f t="shared" si="12"/>
        <v>0</v>
      </c>
      <c r="Q56" s="70">
        <f t="shared" si="12"/>
        <v>120000</v>
      </c>
      <c r="R56" s="70">
        <f t="shared" si="12"/>
        <v>120000</v>
      </c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91" t="s">
        <v>200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91"/>
      <c r="P57" s="91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58" t="s">
        <v>201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91" t="s">
        <v>202</v>
      </c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7"/>
      <c r="B59" s="39" t="s">
        <v>63</v>
      </c>
      <c r="C59" s="39" t="s">
        <v>64</v>
      </c>
      <c r="D59" s="39" t="s">
        <v>65</v>
      </c>
      <c r="E59" s="8" t="s">
        <v>66</v>
      </c>
      <c r="F59" s="8" t="s">
        <v>67</v>
      </c>
      <c r="G59" s="8" t="s">
        <v>68</v>
      </c>
      <c r="H59" s="8" t="s">
        <v>69</v>
      </c>
      <c r="I59" s="41" t="s">
        <v>70</v>
      </c>
      <c r="J59" s="41" t="s">
        <v>71</v>
      </c>
      <c r="K59" s="41" t="s">
        <v>72</v>
      </c>
      <c r="L59" s="41" t="s">
        <v>73</v>
      </c>
      <c r="M59" s="41" t="s">
        <v>74</v>
      </c>
      <c r="N59" s="39" t="s">
        <v>137</v>
      </c>
      <c r="O59" s="39" t="s">
        <v>138</v>
      </c>
      <c r="P59" s="39" t="s">
        <v>139</v>
      </c>
      <c r="Q59" s="39" t="s">
        <v>140</v>
      </c>
      <c r="R59" s="39" t="s">
        <v>141</v>
      </c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28" t="s">
        <v>203</v>
      </c>
      <c r="B60" s="10">
        <f t="shared" ref="B60:R60" si="13">B43</f>
        <v>1395</v>
      </c>
      <c r="C60" s="10">
        <f t="shared" si="13"/>
        <v>1410</v>
      </c>
      <c r="D60" s="10">
        <f t="shared" si="13"/>
        <v>1455</v>
      </c>
      <c r="E60" s="10">
        <f t="shared" si="13"/>
        <v>1500</v>
      </c>
      <c r="F60" s="10">
        <f t="shared" si="13"/>
        <v>1560</v>
      </c>
      <c r="G60" s="10">
        <f t="shared" si="13"/>
        <v>1560</v>
      </c>
      <c r="H60" s="10">
        <f t="shared" si="13"/>
        <v>1560</v>
      </c>
      <c r="I60" s="10">
        <f t="shared" si="13"/>
        <v>1980</v>
      </c>
      <c r="J60" s="10">
        <f t="shared" si="13"/>
        <v>2400</v>
      </c>
      <c r="K60" s="10">
        <f t="shared" si="13"/>
        <v>3240</v>
      </c>
      <c r="L60" s="10">
        <f t="shared" si="13"/>
        <v>4374</v>
      </c>
      <c r="M60" s="84">
        <f t="shared" si="13"/>
        <v>5030.1</v>
      </c>
      <c r="N60" s="84">
        <f t="shared" si="13"/>
        <v>6790.635</v>
      </c>
      <c r="O60" s="10">
        <f t="shared" si="13"/>
        <v>40000</v>
      </c>
      <c r="P60" s="10">
        <f t="shared" si="13"/>
        <v>70000</v>
      </c>
      <c r="Q60" s="10">
        <f t="shared" si="13"/>
        <v>225000</v>
      </c>
      <c r="R60" s="10">
        <f t="shared" si="13"/>
        <v>250000</v>
      </c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28" t="s">
        <v>211</v>
      </c>
      <c r="B61" s="9">
        <v>0.0</v>
      </c>
      <c r="C61" s="9">
        <v>0.0</v>
      </c>
      <c r="D61" s="9">
        <v>0.0</v>
      </c>
      <c r="E61" s="9">
        <v>0.0</v>
      </c>
      <c r="F61" s="9">
        <v>0.0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9">
        <v>0.0</v>
      </c>
      <c r="M61" s="9">
        <v>0.0</v>
      </c>
      <c r="N61" s="9">
        <v>0.0</v>
      </c>
      <c r="O61" s="9">
        <v>0.0</v>
      </c>
      <c r="P61" s="9">
        <v>5.0</v>
      </c>
      <c r="Q61" s="9">
        <v>20.0</v>
      </c>
      <c r="R61" s="9">
        <v>50.0</v>
      </c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28" t="s">
        <v>215</v>
      </c>
      <c r="B62" s="10">
        <f>B61</f>
        <v>0</v>
      </c>
      <c r="C62" s="9">
        <v>0.0</v>
      </c>
      <c r="D62" s="9">
        <v>0.0</v>
      </c>
      <c r="E62" s="9">
        <v>0.0</v>
      </c>
      <c r="F62" s="9">
        <v>0.0</v>
      </c>
      <c r="G62" s="9">
        <v>0.0</v>
      </c>
      <c r="H62" s="9">
        <v>0.0</v>
      </c>
      <c r="I62" s="9">
        <v>0.0</v>
      </c>
      <c r="J62" s="9">
        <v>0.0</v>
      </c>
      <c r="K62" s="9">
        <v>0.0</v>
      </c>
      <c r="L62" s="9">
        <v>0.0</v>
      </c>
      <c r="M62" s="9">
        <v>0.0</v>
      </c>
      <c r="N62" s="9">
        <v>0.0</v>
      </c>
      <c r="O62" s="9">
        <v>0.0</v>
      </c>
      <c r="P62" s="9">
        <v>0.0</v>
      </c>
      <c r="Q62" s="9">
        <v>15.0</v>
      </c>
      <c r="R62" s="9">
        <v>45.0</v>
      </c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28" t="s">
        <v>218</v>
      </c>
      <c r="B63" s="87">
        <v>10000.0</v>
      </c>
      <c r="C63" s="87">
        <v>10000.0</v>
      </c>
      <c r="D63" s="87">
        <v>10000.0</v>
      </c>
      <c r="E63" s="87">
        <v>10000.0</v>
      </c>
      <c r="F63" s="87">
        <v>10000.0</v>
      </c>
      <c r="G63" s="87">
        <v>10000.0</v>
      </c>
      <c r="H63" s="87">
        <v>10000.0</v>
      </c>
      <c r="I63" s="87">
        <v>10000.0</v>
      </c>
      <c r="J63" s="87">
        <v>10000.0</v>
      </c>
      <c r="K63" s="87">
        <v>10000.0</v>
      </c>
      <c r="L63" s="87">
        <v>10000.0</v>
      </c>
      <c r="M63" s="87">
        <v>10000.0</v>
      </c>
      <c r="N63" s="87">
        <v>10000.0</v>
      </c>
      <c r="O63" s="87">
        <v>10000.0</v>
      </c>
      <c r="P63" s="87">
        <v>10000.0</v>
      </c>
      <c r="Q63" s="87">
        <v>10000.0</v>
      </c>
      <c r="R63" s="87">
        <v>10000.0</v>
      </c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9" t="s">
        <v>179</v>
      </c>
      <c r="B64" s="70">
        <f t="shared" ref="B64:R64" si="14">B63*B62</f>
        <v>0</v>
      </c>
      <c r="C64" s="70">
        <f t="shared" si="14"/>
        <v>0</v>
      </c>
      <c r="D64" s="70">
        <f t="shared" si="14"/>
        <v>0</v>
      </c>
      <c r="E64" s="70">
        <f t="shared" si="14"/>
        <v>0</v>
      </c>
      <c r="F64" s="70">
        <f t="shared" si="14"/>
        <v>0</v>
      </c>
      <c r="G64" s="70">
        <f t="shared" si="14"/>
        <v>0</v>
      </c>
      <c r="H64" s="70">
        <f t="shared" si="14"/>
        <v>0</v>
      </c>
      <c r="I64" s="70">
        <f t="shared" si="14"/>
        <v>0</v>
      </c>
      <c r="J64" s="70">
        <f t="shared" si="14"/>
        <v>0</v>
      </c>
      <c r="K64" s="70">
        <f t="shared" si="14"/>
        <v>0</v>
      </c>
      <c r="L64" s="70">
        <f t="shared" si="14"/>
        <v>0</v>
      </c>
      <c r="M64" s="70">
        <f t="shared" si="14"/>
        <v>0</v>
      </c>
      <c r="N64" s="70">
        <f t="shared" si="14"/>
        <v>0</v>
      </c>
      <c r="O64" s="70">
        <f t="shared" si="14"/>
        <v>0</v>
      </c>
      <c r="P64" s="70">
        <f t="shared" si="14"/>
        <v>0</v>
      </c>
      <c r="Q64" s="70">
        <f t="shared" si="14"/>
        <v>150000</v>
      </c>
      <c r="R64" s="70">
        <f t="shared" si="14"/>
        <v>450000</v>
      </c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28" t="s">
        <v>223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28" t="s">
        <v>224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58" t="s">
        <v>225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28" t="s">
        <v>226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5" t="s">
        <v>227</v>
      </c>
      <c r="B70" s="39">
        <v>2018.0</v>
      </c>
      <c r="C70" s="39">
        <v>2019.0</v>
      </c>
      <c r="D70" s="39">
        <v>2020.0</v>
      </c>
      <c r="E70" s="39" t="s">
        <v>228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28" t="s">
        <v>229</v>
      </c>
      <c r="B71" s="70">
        <f>N18</f>
        <v>858425.7428</v>
      </c>
      <c r="C71" s="70">
        <f>('Old Bus. Model'!C56*(5/13))+('Old Bus. Model'!E56*(7/13))</f>
        <v>1635787.77</v>
      </c>
      <c r="D71" s="70">
        <f>('Old Bus. Model'!E56*(7/13))+('Old Bus. Model'!G56*(5/13))</f>
        <v>2638769.29</v>
      </c>
      <c r="E71" s="70">
        <f>('Old Bus. Model'!G56*(7/13)+('Old Bus. Model'!I56*(5/13)))/2</f>
        <v>2033792.503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28" t="s">
        <v>230</v>
      </c>
      <c r="B72" s="70">
        <f>SUM(B36:M36)</f>
        <v>0</v>
      </c>
      <c r="C72" s="70">
        <f>SUM(N36:O36)</f>
        <v>140371.905</v>
      </c>
      <c r="D72" s="70">
        <f t="shared" ref="D72:E72" si="15">SUM(P36:Q36)</f>
        <v>1155000</v>
      </c>
      <c r="E72" s="70">
        <f t="shared" si="15"/>
        <v>2265000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60" t="s">
        <v>231</v>
      </c>
      <c r="B73" s="70">
        <f t="shared" ref="B73:E73" si="16">B72-B71</f>
        <v>-858425.7428</v>
      </c>
      <c r="C73" s="70">
        <f t="shared" si="16"/>
        <v>-1495415.865</v>
      </c>
      <c r="D73" s="70">
        <f t="shared" si="16"/>
        <v>-1483769.29</v>
      </c>
      <c r="E73" s="100">
        <f t="shared" si="16"/>
        <v>231207.497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</row>
    <row r="100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</row>
    <row r="1006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</row>
    <row r="1007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</row>
  </sheetData>
  <mergeCells count="9">
    <mergeCell ref="L45:M45"/>
    <mergeCell ref="O58:P58"/>
    <mergeCell ref="N21:R23"/>
    <mergeCell ref="A45:B45"/>
    <mergeCell ref="A48:B48"/>
    <mergeCell ref="A49:B49"/>
    <mergeCell ref="A47:B47"/>
    <mergeCell ref="A50:B50"/>
    <mergeCell ref="A46:B46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7" max="16" width="19.14"/>
    <col customWidth="1" min="17" max="17" width="18.57"/>
    <col customWidth="1" min="18" max="18" width="19.43"/>
    <col customWidth="1" min="19" max="19" width="19.14"/>
    <col customWidth="1" min="20" max="20" width="18.57"/>
  </cols>
  <sheetData>
    <row r="1" ht="8.25" customHeight="1">
      <c r="B1" s="1"/>
      <c r="C1" s="1"/>
      <c r="D1" s="1"/>
      <c r="E1" s="1"/>
      <c r="F1" s="1"/>
      <c r="G1" s="2">
        <v>4.0</v>
      </c>
      <c r="H1" s="2">
        <v>5.0</v>
      </c>
      <c r="I1" s="2">
        <v>3.0</v>
      </c>
      <c r="J1" s="2">
        <v>4.0</v>
      </c>
      <c r="K1" s="2">
        <v>5.0</v>
      </c>
      <c r="L1" s="2">
        <v>3.0</v>
      </c>
      <c r="M1" s="2">
        <v>4.0</v>
      </c>
      <c r="N1" s="2">
        <v>5.0</v>
      </c>
      <c r="O1" s="2">
        <v>3.0</v>
      </c>
      <c r="P1" s="2">
        <v>4.0</v>
      </c>
      <c r="Q1" s="2">
        <v>5.0</v>
      </c>
      <c r="R1" s="2">
        <v>3.0</v>
      </c>
      <c r="S1" s="2">
        <v>4.0</v>
      </c>
      <c r="T1" s="2">
        <v>5.0</v>
      </c>
    </row>
    <row r="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3" t="s">
        <v>7</v>
      </c>
      <c r="H2" s="13" t="s">
        <v>35</v>
      </c>
      <c r="I2" s="13" t="s">
        <v>36</v>
      </c>
      <c r="J2" s="13" t="s">
        <v>37</v>
      </c>
      <c r="K2" s="13" t="s">
        <v>38</v>
      </c>
      <c r="L2" s="13" t="s">
        <v>39</v>
      </c>
      <c r="M2" s="13" t="s">
        <v>40</v>
      </c>
      <c r="N2" s="13" t="s">
        <v>41</v>
      </c>
      <c r="O2" s="13" t="s">
        <v>42</v>
      </c>
      <c r="P2" s="13" t="s">
        <v>43</v>
      </c>
      <c r="Q2" s="13" t="s">
        <v>44</v>
      </c>
      <c r="R2" s="13" t="s">
        <v>45</v>
      </c>
      <c r="S2" s="13" t="s">
        <v>46</v>
      </c>
      <c r="T2" s="13" t="s">
        <v>47</v>
      </c>
    </row>
    <row r="3">
      <c r="A3" s="15" t="s">
        <v>48</v>
      </c>
      <c r="B3" s="18">
        <f t="shared" ref="B3:F3" si="1">(65000/12)+50</f>
        <v>5466.666667</v>
      </c>
      <c r="C3" s="18">
        <f t="shared" si="1"/>
        <v>5466.666667</v>
      </c>
      <c r="D3" s="18">
        <f t="shared" si="1"/>
        <v>5466.666667</v>
      </c>
      <c r="E3" s="18">
        <f t="shared" si="1"/>
        <v>5466.666667</v>
      </c>
      <c r="F3" s="18">
        <f t="shared" si="1"/>
        <v>5466.666667</v>
      </c>
      <c r="G3" s="18">
        <f t="shared" ref="G3:H3" si="2">(65600/12)*G1</f>
        <v>21866.66667</v>
      </c>
      <c r="H3" s="18">
        <f t="shared" si="2"/>
        <v>27333.33333</v>
      </c>
      <c r="I3" s="18">
        <f t="shared" ref="I3:K3" si="3">(75000/12)*I1</f>
        <v>18750</v>
      </c>
      <c r="J3" s="18">
        <f t="shared" si="3"/>
        <v>25000</v>
      </c>
      <c r="K3" s="18">
        <f t="shared" si="3"/>
        <v>31250</v>
      </c>
      <c r="L3" s="18">
        <f t="shared" ref="L3:N3" si="4">((75000*(1.05^1))/12)*L1</f>
        <v>19687.5</v>
      </c>
      <c r="M3" s="18">
        <f t="shared" si="4"/>
        <v>26250</v>
      </c>
      <c r="N3" s="18">
        <f t="shared" si="4"/>
        <v>32812.5</v>
      </c>
      <c r="O3" s="18">
        <f t="shared" ref="O3:Q3" si="5">((75000*(1.05^2))/12)*O1</f>
        <v>20671.875</v>
      </c>
      <c r="P3" s="18">
        <f t="shared" si="5"/>
        <v>27562.5</v>
      </c>
      <c r="Q3" s="18">
        <f t="shared" si="5"/>
        <v>34453.125</v>
      </c>
      <c r="R3" s="18">
        <f t="shared" ref="R3:T3" si="6">((75000*(1.05^3))/12)*R1</f>
        <v>21705.46875</v>
      </c>
      <c r="S3" s="18">
        <f t="shared" si="6"/>
        <v>28940.625</v>
      </c>
      <c r="T3" s="18">
        <f t="shared" si="6"/>
        <v>36175.78125</v>
      </c>
      <c r="U3" s="26"/>
      <c r="V3" s="26"/>
    </row>
    <row r="4">
      <c r="A4" s="15" t="s">
        <v>54</v>
      </c>
      <c r="B4" s="18">
        <f t="shared" ref="B4:F4" si="7">(65000/12)+50</f>
        <v>5466.666667</v>
      </c>
      <c r="C4" s="18">
        <f t="shared" si="7"/>
        <v>5466.666667</v>
      </c>
      <c r="D4" s="18">
        <f t="shared" si="7"/>
        <v>5466.666667</v>
      </c>
      <c r="E4" s="18">
        <f t="shared" si="7"/>
        <v>5466.666667</v>
      </c>
      <c r="F4" s="18">
        <f t="shared" si="7"/>
        <v>5466.666667</v>
      </c>
      <c r="G4" s="18">
        <f t="shared" ref="G4:H4" si="8">(65600/12)*G1</f>
        <v>21866.66667</v>
      </c>
      <c r="H4" s="18">
        <f t="shared" si="8"/>
        <v>27333.33333</v>
      </c>
      <c r="I4" s="18">
        <f t="shared" ref="I4:K4" si="9">(75000/12)*I1</f>
        <v>18750</v>
      </c>
      <c r="J4" s="18">
        <f t="shared" si="9"/>
        <v>25000</v>
      </c>
      <c r="K4" s="18">
        <f t="shared" si="9"/>
        <v>31250</v>
      </c>
      <c r="L4" s="18">
        <f t="shared" ref="L4:N4" si="10">((75000*(1.05^1))/12)*L1</f>
        <v>19687.5</v>
      </c>
      <c r="M4" s="18">
        <f t="shared" si="10"/>
        <v>26250</v>
      </c>
      <c r="N4" s="18">
        <f t="shared" si="10"/>
        <v>32812.5</v>
      </c>
      <c r="O4" s="18">
        <f t="shared" ref="O4:Q4" si="11">((75000*(1.05^2))/12)*O1</f>
        <v>20671.875</v>
      </c>
      <c r="P4" s="18">
        <f t="shared" si="11"/>
        <v>27562.5</v>
      </c>
      <c r="Q4" s="18">
        <f t="shared" si="11"/>
        <v>34453.125</v>
      </c>
      <c r="R4" s="18">
        <f t="shared" ref="R4:T4" si="12">((75000*(1.05^3))/12)*R1</f>
        <v>21705.46875</v>
      </c>
      <c r="S4" s="18">
        <f t="shared" si="12"/>
        <v>28940.625</v>
      </c>
      <c r="T4" s="18">
        <f t="shared" si="12"/>
        <v>36175.78125</v>
      </c>
      <c r="U4" s="26"/>
      <c r="V4" s="26"/>
    </row>
    <row r="5">
      <c r="A5" s="15" t="s">
        <v>59</v>
      </c>
      <c r="B5" s="18">
        <f>67000/12</f>
        <v>5583.333333</v>
      </c>
      <c r="C5" s="18">
        <f t="shared" ref="C5:F5" si="13">83000/12</f>
        <v>6916.666667</v>
      </c>
      <c r="D5" s="18">
        <f t="shared" si="13"/>
        <v>6916.666667</v>
      </c>
      <c r="E5" s="18">
        <f t="shared" si="13"/>
        <v>6916.666667</v>
      </c>
      <c r="F5" s="18">
        <f t="shared" si="13"/>
        <v>6916.666667</v>
      </c>
      <c r="G5" s="18">
        <f t="shared" ref="G5:H5" si="14">(83000/12)*G1</f>
        <v>27666.66667</v>
      </c>
      <c r="H5" s="18">
        <f t="shared" si="14"/>
        <v>34583.33333</v>
      </c>
      <c r="I5" s="18">
        <f t="shared" ref="I5:K5" si="15">(85000/12)*I1</f>
        <v>21250</v>
      </c>
      <c r="J5" s="18">
        <f t="shared" si="15"/>
        <v>28333.33333</v>
      </c>
      <c r="K5" s="18">
        <f t="shared" si="15"/>
        <v>35416.66667</v>
      </c>
      <c r="L5" s="18">
        <f t="shared" ref="L5:N5" si="16">((85000*(1.05^1))/12)*L1</f>
        <v>22312.5</v>
      </c>
      <c r="M5" s="18">
        <f t="shared" si="16"/>
        <v>29750</v>
      </c>
      <c r="N5" s="18">
        <f t="shared" si="16"/>
        <v>37187.5</v>
      </c>
      <c r="O5" s="18">
        <f t="shared" ref="O5:Q5" si="17">((85000*(1.05^2))/12)*O1</f>
        <v>23428.125</v>
      </c>
      <c r="P5" s="18">
        <f t="shared" si="17"/>
        <v>31237.5</v>
      </c>
      <c r="Q5" s="18">
        <f t="shared" si="17"/>
        <v>39046.875</v>
      </c>
      <c r="R5" s="18">
        <f t="shared" ref="R5:T5" si="18">((85000*(1.05^3))/12)*R1</f>
        <v>24599.53125</v>
      </c>
      <c r="S5" s="18">
        <f t="shared" si="18"/>
        <v>32799.375</v>
      </c>
      <c r="T5" s="18">
        <f t="shared" si="18"/>
        <v>40999.21875</v>
      </c>
      <c r="U5" s="26"/>
      <c r="V5" s="26"/>
    </row>
    <row r="6">
      <c r="A6" s="15" t="s">
        <v>75</v>
      </c>
      <c r="B6" s="44">
        <v>3751.0</v>
      </c>
      <c r="C6" s="18">
        <f>B6/2</f>
        <v>1875.5</v>
      </c>
      <c r="D6" s="44">
        <v>0.0</v>
      </c>
      <c r="E6" s="44">
        <v>0.0</v>
      </c>
      <c r="F6" s="44">
        <v>0.0</v>
      </c>
      <c r="G6" s="18">
        <f t="shared" ref="G6:H6" si="19">(90000/12)*G1</f>
        <v>30000</v>
      </c>
      <c r="H6" s="18">
        <f t="shared" si="19"/>
        <v>37500</v>
      </c>
      <c r="I6" s="18">
        <f t="shared" ref="I6:K6" si="20">(92000/12)*I1</f>
        <v>23000</v>
      </c>
      <c r="J6" s="18">
        <f t="shared" si="20"/>
        <v>30666.66667</v>
      </c>
      <c r="K6" s="18">
        <f t="shared" si="20"/>
        <v>38333.33333</v>
      </c>
      <c r="L6" s="18">
        <f t="shared" ref="L6:N6" si="21">((92000*(1.05^1))/12)*L1</f>
        <v>24150</v>
      </c>
      <c r="M6" s="18">
        <f t="shared" si="21"/>
        <v>32200</v>
      </c>
      <c r="N6" s="18">
        <f t="shared" si="21"/>
        <v>40250</v>
      </c>
      <c r="O6" s="18">
        <f t="shared" ref="O6:Q6" si="22">((92000*(1.05^2))/12)*O1</f>
        <v>25357.5</v>
      </c>
      <c r="P6" s="18">
        <f t="shared" si="22"/>
        <v>33810</v>
      </c>
      <c r="Q6" s="18">
        <f t="shared" si="22"/>
        <v>42262.5</v>
      </c>
      <c r="R6" s="18">
        <f t="shared" ref="R6:T6" si="23">((92000*(1.05^3))/12)*R1</f>
        <v>26625.375</v>
      </c>
      <c r="S6" s="18">
        <f t="shared" si="23"/>
        <v>35500.5</v>
      </c>
      <c r="T6" s="18">
        <f t="shared" si="23"/>
        <v>44375.625</v>
      </c>
      <c r="U6" s="26"/>
      <c r="V6" s="26"/>
    </row>
    <row r="7">
      <c r="A7" s="15" t="s">
        <v>78</v>
      </c>
      <c r="B7" s="18">
        <f>67000/12</f>
        <v>5583.333333</v>
      </c>
      <c r="C7" s="18">
        <f t="shared" ref="C7:F7" si="24">80000/12</f>
        <v>6666.666667</v>
      </c>
      <c r="D7" s="18">
        <f t="shared" si="24"/>
        <v>6666.666667</v>
      </c>
      <c r="E7" s="18">
        <f t="shared" si="24"/>
        <v>6666.666667</v>
      </c>
      <c r="F7" s="18">
        <f t="shared" si="24"/>
        <v>6666.666667</v>
      </c>
      <c r="G7" s="18">
        <f t="shared" ref="G7:H7" si="25">(80000/12)*G1</f>
        <v>26666.66667</v>
      </c>
      <c r="H7" s="18">
        <f t="shared" si="25"/>
        <v>33333.33333</v>
      </c>
      <c r="I7" s="18">
        <f t="shared" ref="I7:K7" si="26">(82000/12)*I1</f>
        <v>20500</v>
      </c>
      <c r="J7" s="18">
        <f t="shared" si="26"/>
        <v>27333.33333</v>
      </c>
      <c r="K7" s="18">
        <f t="shared" si="26"/>
        <v>34166.66667</v>
      </c>
      <c r="L7" s="18">
        <f t="shared" ref="L7:N7" si="27">((82000*(1.05^1))/12)*L1</f>
        <v>21525</v>
      </c>
      <c r="M7" s="18">
        <f t="shared" si="27"/>
        <v>28700</v>
      </c>
      <c r="N7" s="18">
        <f t="shared" si="27"/>
        <v>35875</v>
      </c>
      <c r="O7" s="18">
        <f t="shared" ref="O7:Q7" si="28">((82000*(1.05^2))/12)*O1</f>
        <v>22601.25</v>
      </c>
      <c r="P7" s="18">
        <f t="shared" si="28"/>
        <v>30135</v>
      </c>
      <c r="Q7" s="18">
        <f t="shared" si="28"/>
        <v>37668.75</v>
      </c>
      <c r="R7" s="18">
        <f t="shared" ref="R7:T7" si="29">((82000*(1.05^3))/12)*R1</f>
        <v>23731.3125</v>
      </c>
      <c r="S7" s="18">
        <f t="shared" si="29"/>
        <v>31641.75</v>
      </c>
      <c r="T7" s="18">
        <f t="shared" si="29"/>
        <v>39552.1875</v>
      </c>
      <c r="U7" s="26"/>
      <c r="V7" s="26"/>
    </row>
    <row r="8">
      <c r="A8" s="15" t="s">
        <v>81</v>
      </c>
      <c r="B8" s="18">
        <f t="shared" ref="B8:F8" si="30">65000/12</f>
        <v>5416.666667</v>
      </c>
      <c r="C8" s="18">
        <f t="shared" si="30"/>
        <v>5416.666667</v>
      </c>
      <c r="D8" s="18">
        <f t="shared" si="30"/>
        <v>5416.666667</v>
      </c>
      <c r="E8" s="18">
        <f t="shared" si="30"/>
        <v>5416.666667</v>
      </c>
      <c r="F8" s="18">
        <f t="shared" si="30"/>
        <v>5416.666667</v>
      </c>
      <c r="G8" s="18">
        <f t="shared" ref="G8:H8" si="31">(65000/12)*G1</f>
        <v>21666.66667</v>
      </c>
      <c r="H8" s="18">
        <f t="shared" si="31"/>
        <v>27083.33333</v>
      </c>
      <c r="I8" s="18">
        <f t="shared" ref="I8:K8" si="32">(75000/12)*I1</f>
        <v>18750</v>
      </c>
      <c r="J8" s="18">
        <f t="shared" si="32"/>
        <v>25000</v>
      </c>
      <c r="K8" s="18">
        <f t="shared" si="32"/>
        <v>31250</v>
      </c>
      <c r="L8" s="18">
        <f t="shared" ref="L8:N8" si="33">((75000*(1.05^1))/12)*L1</f>
        <v>19687.5</v>
      </c>
      <c r="M8" s="18">
        <f t="shared" si="33"/>
        <v>26250</v>
      </c>
      <c r="N8" s="18">
        <f t="shared" si="33"/>
        <v>32812.5</v>
      </c>
      <c r="O8" s="18">
        <f t="shared" ref="O8:Q8" si="34">((75000*(1.05^2))/12)*O1</f>
        <v>20671.875</v>
      </c>
      <c r="P8" s="18">
        <f t="shared" si="34"/>
        <v>27562.5</v>
      </c>
      <c r="Q8" s="18">
        <f t="shared" si="34"/>
        <v>34453.125</v>
      </c>
      <c r="R8" s="18">
        <f t="shared" ref="R8:T8" si="35">((75000*(1.05^3))/12)*R1</f>
        <v>21705.46875</v>
      </c>
      <c r="S8" s="18">
        <f t="shared" si="35"/>
        <v>28940.625</v>
      </c>
      <c r="T8" s="18">
        <f t="shared" si="35"/>
        <v>36175.78125</v>
      </c>
      <c r="U8" s="26"/>
      <c r="V8" s="26"/>
    </row>
    <row r="9">
      <c r="A9" s="15" t="s">
        <v>83</v>
      </c>
      <c r="B9" s="18">
        <f t="shared" ref="B9:D9" si="36">62000/12</f>
        <v>5166.666667</v>
      </c>
      <c r="C9" s="18">
        <f t="shared" si="36"/>
        <v>5166.666667</v>
      </c>
      <c r="D9" s="18">
        <f t="shared" si="36"/>
        <v>5166.666667</v>
      </c>
      <c r="E9" s="18">
        <f t="shared" ref="E9:F9" si="37">70000/12</f>
        <v>5833.333333</v>
      </c>
      <c r="F9" s="18">
        <f t="shared" si="37"/>
        <v>5833.333333</v>
      </c>
      <c r="G9" s="18">
        <f t="shared" ref="G9:H9" si="38">(70000/12)*G1</f>
        <v>23333.33333</v>
      </c>
      <c r="H9" s="18">
        <f t="shared" si="38"/>
        <v>29166.66667</v>
      </c>
      <c r="I9" s="18">
        <f t="shared" ref="I9:K9" si="39">(82000/12)*I1</f>
        <v>20500</v>
      </c>
      <c r="J9" s="18">
        <f t="shared" si="39"/>
        <v>27333.33333</v>
      </c>
      <c r="K9" s="18">
        <f t="shared" si="39"/>
        <v>34166.66667</v>
      </c>
      <c r="L9" s="18">
        <f t="shared" ref="L9:N9" si="40">((82000*(1.05^1))/12)*L1</f>
        <v>21525</v>
      </c>
      <c r="M9" s="18">
        <f t="shared" si="40"/>
        <v>28700</v>
      </c>
      <c r="N9" s="18">
        <f t="shared" si="40"/>
        <v>35875</v>
      </c>
      <c r="O9" s="18">
        <f t="shared" ref="O9:Q9" si="41">((82000*(1.05^2))/12)*O1</f>
        <v>22601.25</v>
      </c>
      <c r="P9" s="18">
        <f t="shared" si="41"/>
        <v>30135</v>
      </c>
      <c r="Q9" s="18">
        <f t="shared" si="41"/>
        <v>37668.75</v>
      </c>
      <c r="R9" s="18">
        <f t="shared" ref="R9:T9" si="42">((82000*(1.05^3))/12)*R1</f>
        <v>23731.3125</v>
      </c>
      <c r="S9" s="18">
        <f t="shared" si="42"/>
        <v>31641.75</v>
      </c>
      <c r="T9" s="18">
        <f t="shared" si="42"/>
        <v>39552.1875</v>
      </c>
      <c r="U9" s="26"/>
      <c r="V9" s="26"/>
    </row>
    <row r="10">
      <c r="A10" s="15" t="s">
        <v>84</v>
      </c>
      <c r="B10" s="18">
        <f>65000/12</f>
        <v>5416.666667</v>
      </c>
      <c r="C10" s="18">
        <f t="shared" ref="C10:F10" si="43">80000/12</f>
        <v>6666.666667</v>
      </c>
      <c r="D10" s="18">
        <f t="shared" si="43"/>
        <v>6666.666667</v>
      </c>
      <c r="E10" s="18">
        <f t="shared" si="43"/>
        <v>6666.666667</v>
      </c>
      <c r="F10" s="18">
        <f t="shared" si="43"/>
        <v>6666.666667</v>
      </c>
      <c r="G10" s="18">
        <f t="shared" ref="G10:H10" si="44">(80000/12)*G1</f>
        <v>26666.66667</v>
      </c>
      <c r="H10" s="18">
        <f t="shared" si="44"/>
        <v>33333.33333</v>
      </c>
      <c r="I10" s="18">
        <f t="shared" ref="I10:K10" si="45">(82000/12)*I1</f>
        <v>20500</v>
      </c>
      <c r="J10" s="18">
        <f t="shared" si="45"/>
        <v>27333.33333</v>
      </c>
      <c r="K10" s="18">
        <f t="shared" si="45"/>
        <v>34166.66667</v>
      </c>
      <c r="L10" s="18">
        <f t="shared" ref="L10:N10" si="46">((82000*(1.05^1))/12)*L1</f>
        <v>21525</v>
      </c>
      <c r="M10" s="18">
        <f t="shared" si="46"/>
        <v>28700</v>
      </c>
      <c r="N10" s="18">
        <f t="shared" si="46"/>
        <v>35875</v>
      </c>
      <c r="O10" s="18">
        <f t="shared" ref="O10:Q10" si="47">((82000*(1.05^2))/12)*O1</f>
        <v>22601.25</v>
      </c>
      <c r="P10" s="18">
        <f t="shared" si="47"/>
        <v>30135</v>
      </c>
      <c r="Q10" s="18">
        <f t="shared" si="47"/>
        <v>37668.75</v>
      </c>
      <c r="R10" s="18">
        <f t="shared" ref="R10:T10" si="48">((82000*(1.05^3))/12)*R1</f>
        <v>23731.3125</v>
      </c>
      <c r="S10" s="18">
        <f t="shared" si="48"/>
        <v>31641.75</v>
      </c>
      <c r="T10" s="18">
        <f t="shared" si="48"/>
        <v>39552.1875</v>
      </c>
      <c r="U10" s="26"/>
      <c r="V10" s="26"/>
    </row>
    <row r="11">
      <c r="A11" s="13" t="s">
        <v>88</v>
      </c>
      <c r="B11" s="18"/>
      <c r="C11" s="18"/>
      <c r="D11" s="18">
        <f t="shared" ref="D11:E11" si="49">16*(2000/12)</f>
        <v>2666.666667</v>
      </c>
      <c r="E11" s="18">
        <f t="shared" si="49"/>
        <v>2666.666667</v>
      </c>
      <c r="F11" s="18">
        <f>(16*(2000/12))/2</f>
        <v>1333.333333</v>
      </c>
      <c r="G11" s="44">
        <v>0.0</v>
      </c>
      <c r="H11" s="44">
        <v>0.0</v>
      </c>
      <c r="I11" s="18">
        <f t="shared" ref="I11:I12" si="51">(17.5*(2000/12)*2.5)</f>
        <v>7291.666667</v>
      </c>
      <c r="J11" s="44">
        <v>0.0</v>
      </c>
      <c r="K11" s="44">
        <v>0.0</v>
      </c>
      <c r="L11" s="18">
        <f t="shared" ref="L11:L12" si="52">(17.5*(2000/12)*2.5)</f>
        <v>7291.666667</v>
      </c>
      <c r="M11" s="44">
        <v>0.0</v>
      </c>
      <c r="N11" s="44">
        <v>0.0</v>
      </c>
      <c r="O11" s="18">
        <f t="shared" ref="O11:O12" si="53">(17.5*(2000/12)*2.5)</f>
        <v>7291.666667</v>
      </c>
      <c r="P11" s="44">
        <v>0.0</v>
      </c>
      <c r="Q11" s="44">
        <v>0.0</v>
      </c>
      <c r="R11" s="18">
        <f t="shared" ref="R11:R12" si="54">(17.5*(2000/12)*2.5)</f>
        <v>7291.666667</v>
      </c>
      <c r="S11" s="44">
        <v>0.0</v>
      </c>
      <c r="T11" s="44">
        <v>0.0</v>
      </c>
      <c r="U11" s="18"/>
      <c r="V11" s="26"/>
    </row>
    <row r="12">
      <c r="A12" s="13" t="s">
        <v>96</v>
      </c>
      <c r="B12" s="18"/>
      <c r="C12" s="18"/>
      <c r="D12" s="18"/>
      <c r="E12" s="18"/>
      <c r="F12" s="18"/>
      <c r="G12" s="44">
        <f t="shared" ref="G12:H12" si="50">6*(12*5*4.5)*G1</f>
        <v>6480</v>
      </c>
      <c r="H12" s="44">
        <f t="shared" si="50"/>
        <v>8100</v>
      </c>
      <c r="I12" s="18">
        <f t="shared" si="51"/>
        <v>7291.666667</v>
      </c>
      <c r="J12" s="44">
        <v>0.0</v>
      </c>
      <c r="K12" s="44">
        <v>0.0</v>
      </c>
      <c r="L12" s="18">
        <f t="shared" si="52"/>
        <v>7291.666667</v>
      </c>
      <c r="M12" s="44">
        <v>0.0</v>
      </c>
      <c r="N12" s="44">
        <v>0.0</v>
      </c>
      <c r="O12" s="18">
        <f t="shared" si="53"/>
        <v>7291.666667</v>
      </c>
      <c r="P12" s="44">
        <v>0.0</v>
      </c>
      <c r="Q12" s="44">
        <v>0.0</v>
      </c>
      <c r="R12" s="18">
        <f t="shared" si="54"/>
        <v>7291.666667</v>
      </c>
      <c r="S12" s="44">
        <v>0.0</v>
      </c>
      <c r="T12" s="44">
        <v>0.0</v>
      </c>
      <c r="U12" s="18"/>
      <c r="V12" s="26"/>
    </row>
    <row r="13">
      <c r="A13" s="13" t="s">
        <v>117</v>
      </c>
      <c r="B13" s="18"/>
      <c r="C13" s="44"/>
      <c r="D13" s="44">
        <f t="shared" ref="D13:F13" si="55">60000/12</f>
        <v>5000</v>
      </c>
      <c r="E13" s="44">
        <f t="shared" si="55"/>
        <v>5000</v>
      </c>
      <c r="F13" s="44">
        <f t="shared" si="55"/>
        <v>5000</v>
      </c>
      <c r="G13" s="18">
        <f>(60000/12)*G$1</f>
        <v>20000</v>
      </c>
      <c r="H13" s="18">
        <f t="shared" ref="H13:I13" si="56">((65000*(1.05^1))/12)*H$1</f>
        <v>28437.5</v>
      </c>
      <c r="I13" s="18">
        <f t="shared" si="56"/>
        <v>17062.5</v>
      </c>
      <c r="J13" s="18">
        <f t="shared" ref="J13:L13" si="57">((65000*(1.05^2))/12)*J$1</f>
        <v>23887.5</v>
      </c>
      <c r="K13" s="18">
        <f t="shared" si="57"/>
        <v>29859.375</v>
      </c>
      <c r="L13" s="18">
        <f t="shared" si="57"/>
        <v>17915.625</v>
      </c>
      <c r="M13" s="18">
        <f t="shared" ref="M13:O13" si="58">((65000*(1.05^3))/12)*M$1</f>
        <v>25081.875</v>
      </c>
      <c r="N13" s="18">
        <f t="shared" si="58"/>
        <v>31352.34375</v>
      </c>
      <c r="O13" s="18">
        <f t="shared" si="58"/>
        <v>18811.40625</v>
      </c>
      <c r="P13" s="18">
        <f t="shared" ref="P13:R13" si="59">((65000*(1.05^4))/12)*P$1</f>
        <v>26335.96875</v>
      </c>
      <c r="Q13" s="18">
        <f t="shared" si="59"/>
        <v>32919.96094</v>
      </c>
      <c r="R13" s="18">
        <f t="shared" si="59"/>
        <v>19751.97656</v>
      </c>
      <c r="S13" s="18">
        <f t="shared" ref="S13:T13" si="60">((65000*(1.05^5))/12)*S$1</f>
        <v>27652.76719</v>
      </c>
      <c r="T13" s="18">
        <f t="shared" si="60"/>
        <v>34565.95898</v>
      </c>
      <c r="U13" s="26"/>
      <c r="V13" s="26"/>
    </row>
    <row r="14">
      <c r="A14" s="13" t="s">
        <v>133</v>
      </c>
      <c r="B14" s="18"/>
      <c r="C14" s="18"/>
      <c r="D14" s="18"/>
      <c r="E14" s="18"/>
      <c r="F14" s="18"/>
      <c r="G14" s="18">
        <f>(65000/12)*G1/2</f>
        <v>10833.33333</v>
      </c>
      <c r="H14" s="18">
        <f t="shared" ref="H14:J14" si="61">(65000/12)*H$1</f>
        <v>27083.33333</v>
      </c>
      <c r="I14" s="18">
        <f t="shared" si="61"/>
        <v>16250</v>
      </c>
      <c r="J14" s="18">
        <f t="shared" si="61"/>
        <v>21666.66667</v>
      </c>
      <c r="K14" s="18">
        <f t="shared" ref="K14:M14" si="62">((65000*(1.05^1))/12)*K$1</f>
        <v>28437.5</v>
      </c>
      <c r="L14" s="18">
        <f t="shared" si="62"/>
        <v>17062.5</v>
      </c>
      <c r="M14" s="18">
        <f t="shared" si="62"/>
        <v>22750</v>
      </c>
      <c r="N14" s="18">
        <f t="shared" ref="N14:P14" si="63">((65000*(1.05^2))/12)*N$1</f>
        <v>29859.375</v>
      </c>
      <c r="O14" s="18">
        <f t="shared" si="63"/>
        <v>17915.625</v>
      </c>
      <c r="P14" s="18">
        <f t="shared" si="63"/>
        <v>23887.5</v>
      </c>
      <c r="Q14" s="18">
        <f t="shared" ref="Q14:S14" si="64">((65000*(1.05^3))/12)*Q$1</f>
        <v>31352.34375</v>
      </c>
      <c r="R14" s="18">
        <f t="shared" si="64"/>
        <v>18811.40625</v>
      </c>
      <c r="S14" s="18">
        <f t="shared" si="64"/>
        <v>25081.875</v>
      </c>
      <c r="T14" s="18">
        <f t="shared" ref="T14:T15" si="69">((65000*(1.05^4))/12)*T$1</f>
        <v>32919.96094</v>
      </c>
      <c r="U14" s="26"/>
      <c r="V14" s="26"/>
    </row>
    <row r="15">
      <c r="A15" s="13" t="s">
        <v>133</v>
      </c>
      <c r="B15" s="18"/>
      <c r="C15" s="18"/>
      <c r="D15" s="18"/>
      <c r="E15" s="18"/>
      <c r="F15" s="18"/>
      <c r="G15" s="18"/>
      <c r="H15" s="18">
        <f>((65000/12)*2)</f>
        <v>10833.33333</v>
      </c>
      <c r="I15" s="18">
        <f t="shared" ref="I15:J15" si="65">(65000/12)*I$1</f>
        <v>16250</v>
      </c>
      <c r="J15" s="18">
        <f t="shared" si="65"/>
        <v>21666.66667</v>
      </c>
      <c r="K15" s="18">
        <f t="shared" ref="K15:M15" si="66">((65000*(1.05^1))/12)*K$1</f>
        <v>28437.5</v>
      </c>
      <c r="L15" s="18">
        <f t="shared" si="66"/>
        <v>17062.5</v>
      </c>
      <c r="M15" s="18">
        <f t="shared" si="66"/>
        <v>22750</v>
      </c>
      <c r="N15" s="18">
        <f t="shared" ref="N15:P15" si="67">((65000*(1.05^2))/12)*N$1</f>
        <v>29859.375</v>
      </c>
      <c r="O15" s="18">
        <f t="shared" si="67"/>
        <v>17915.625</v>
      </c>
      <c r="P15" s="18">
        <f t="shared" si="67"/>
        <v>23887.5</v>
      </c>
      <c r="Q15" s="18">
        <f t="shared" ref="Q15:S15" si="68">((65000*(1.05^3))/12)*Q$1</f>
        <v>31352.34375</v>
      </c>
      <c r="R15" s="18">
        <f t="shared" si="68"/>
        <v>18811.40625</v>
      </c>
      <c r="S15" s="18">
        <f t="shared" si="68"/>
        <v>25081.875</v>
      </c>
      <c r="T15" s="18">
        <f t="shared" si="69"/>
        <v>32919.96094</v>
      </c>
      <c r="U15" s="26"/>
      <c r="V15" s="26"/>
    </row>
    <row r="16">
      <c r="A16" s="13" t="s">
        <v>117</v>
      </c>
      <c r="B16" s="18"/>
      <c r="C16" s="18"/>
      <c r="D16" s="18"/>
      <c r="E16" s="18"/>
      <c r="F16" s="18"/>
      <c r="G16" s="18"/>
      <c r="H16" s="18">
        <f>(60000/12)*3</f>
        <v>15000</v>
      </c>
      <c r="I16" s="18">
        <f t="shared" ref="I16:J16" si="70">(60000/12)*I$1</f>
        <v>15000</v>
      </c>
      <c r="J16" s="18">
        <f t="shared" si="70"/>
        <v>20000</v>
      </c>
      <c r="K16" s="18">
        <f t="shared" ref="K16:M16" si="71">((60000*(1.05^1))/12)*K$1</f>
        <v>26250</v>
      </c>
      <c r="L16" s="18">
        <f t="shared" si="71"/>
        <v>15750</v>
      </c>
      <c r="M16" s="18">
        <f t="shared" si="71"/>
        <v>21000</v>
      </c>
      <c r="N16" s="18">
        <f t="shared" ref="N16:P16" si="72">((60000*(1.05^2))/12)*N$1</f>
        <v>27562.5</v>
      </c>
      <c r="O16" s="18">
        <f t="shared" si="72"/>
        <v>16537.5</v>
      </c>
      <c r="P16" s="18">
        <f t="shared" si="72"/>
        <v>22050</v>
      </c>
      <c r="Q16" s="18">
        <f t="shared" ref="Q16:S16" si="73">((60000*(1.05^3))/12)*Q$1</f>
        <v>28940.625</v>
      </c>
      <c r="R16" s="18">
        <f t="shared" si="73"/>
        <v>17364.375</v>
      </c>
      <c r="S16" s="18">
        <f t="shared" si="73"/>
        <v>23152.5</v>
      </c>
      <c r="T16" s="18">
        <f>((60000*(1.05^4))/12)*T$1</f>
        <v>30387.65625</v>
      </c>
      <c r="U16" s="26"/>
      <c r="V16" s="26"/>
    </row>
    <row r="17">
      <c r="A17" s="13" t="s">
        <v>172</v>
      </c>
      <c r="B17" s="18"/>
      <c r="C17" s="18"/>
      <c r="D17" s="18"/>
      <c r="E17" s="18"/>
      <c r="F17" s="18"/>
      <c r="G17" s="18"/>
      <c r="H17" s="18">
        <f t="shared" ref="H17:J17" si="74">(75000/12)*H$1</f>
        <v>31250</v>
      </c>
      <c r="I17" s="18">
        <f t="shared" si="74"/>
        <v>18750</v>
      </c>
      <c r="J17" s="18">
        <f t="shared" si="74"/>
        <v>25000</v>
      </c>
      <c r="K17" s="18">
        <f t="shared" ref="K17:M17" si="75">((75000*(1.05^1))/12)*K$1</f>
        <v>32812.5</v>
      </c>
      <c r="L17" s="18">
        <f t="shared" si="75"/>
        <v>19687.5</v>
      </c>
      <c r="M17" s="18">
        <f t="shared" si="75"/>
        <v>26250</v>
      </c>
      <c r="N17" s="18">
        <f t="shared" ref="N17:P17" si="76">((75000*(1.05^2))/12)*N$1</f>
        <v>34453.125</v>
      </c>
      <c r="O17" s="18">
        <f t="shared" si="76"/>
        <v>20671.875</v>
      </c>
      <c r="P17" s="18">
        <f t="shared" si="76"/>
        <v>27562.5</v>
      </c>
      <c r="Q17" s="18">
        <f t="shared" ref="Q17:S17" si="77">((75000*(1.05^3))/12)*Q$1</f>
        <v>36175.78125</v>
      </c>
      <c r="R17" s="18">
        <f t="shared" si="77"/>
        <v>21705.46875</v>
      </c>
      <c r="S17" s="18">
        <f t="shared" si="77"/>
        <v>28940.625</v>
      </c>
      <c r="T17" s="18">
        <f>((75000*(1.05^4))/12)*T$1</f>
        <v>37984.57031</v>
      </c>
      <c r="U17" s="26"/>
      <c r="V17" s="26"/>
    </row>
    <row r="18">
      <c r="A18" s="13" t="s">
        <v>176</v>
      </c>
      <c r="B18" s="18"/>
      <c r="C18" s="18"/>
      <c r="D18" s="18"/>
      <c r="E18" s="18"/>
      <c r="F18" s="18"/>
      <c r="G18" s="18"/>
      <c r="H18" s="18">
        <f t="shared" ref="H18:J18" si="78">(80000/12)*H$1</f>
        <v>33333.33333</v>
      </c>
      <c r="I18" s="18">
        <f t="shared" si="78"/>
        <v>20000</v>
      </c>
      <c r="J18" s="18">
        <f t="shared" si="78"/>
        <v>26666.66667</v>
      </c>
      <c r="K18" s="18">
        <f t="shared" ref="K18:M18" si="79">((80000*(1.05^1))/12)*K$1</f>
        <v>35000</v>
      </c>
      <c r="L18" s="18">
        <f t="shared" si="79"/>
        <v>21000</v>
      </c>
      <c r="M18" s="18">
        <f t="shared" si="79"/>
        <v>28000</v>
      </c>
      <c r="N18" s="18">
        <f t="shared" ref="N18:P18" si="80">((80000*(1.05^2))/12)*N$1</f>
        <v>36750</v>
      </c>
      <c r="O18" s="18">
        <f t="shared" si="80"/>
        <v>22050</v>
      </c>
      <c r="P18" s="18">
        <f t="shared" si="80"/>
        <v>29400</v>
      </c>
      <c r="Q18" s="18">
        <f t="shared" ref="Q18:S18" si="81">((80000*(1.05^3))/12)*Q$1</f>
        <v>38587.5</v>
      </c>
      <c r="R18" s="18">
        <f t="shared" si="81"/>
        <v>23152.5</v>
      </c>
      <c r="S18" s="18">
        <f t="shared" si="81"/>
        <v>30870</v>
      </c>
      <c r="T18" s="18">
        <f t="shared" ref="T18:T20" si="86">((80000*(1.05^4))/12)*T$1</f>
        <v>40516.875</v>
      </c>
      <c r="U18" s="26"/>
      <c r="V18" s="26"/>
    </row>
    <row r="19">
      <c r="A19" s="13" t="s">
        <v>176</v>
      </c>
      <c r="B19" s="18"/>
      <c r="C19" s="18"/>
      <c r="D19" s="18"/>
      <c r="E19" s="18"/>
      <c r="F19" s="18"/>
      <c r="G19" s="18"/>
      <c r="H19" s="18">
        <f t="shared" ref="H19:J19" si="82">(80000/12)*H$1</f>
        <v>33333.33333</v>
      </c>
      <c r="I19" s="18">
        <f t="shared" si="82"/>
        <v>20000</v>
      </c>
      <c r="J19" s="18">
        <f t="shared" si="82"/>
        <v>26666.66667</v>
      </c>
      <c r="K19" s="18">
        <f t="shared" ref="K19:M19" si="83">((80000*(1.05^1))/12)*K$1</f>
        <v>35000</v>
      </c>
      <c r="L19" s="18">
        <f t="shared" si="83"/>
        <v>21000</v>
      </c>
      <c r="M19" s="18">
        <f t="shared" si="83"/>
        <v>28000</v>
      </c>
      <c r="N19" s="18">
        <f t="shared" ref="N19:P19" si="84">((80000*(1.05^2))/12)*N$1</f>
        <v>36750</v>
      </c>
      <c r="O19" s="18">
        <f t="shared" si="84"/>
        <v>22050</v>
      </c>
      <c r="P19" s="18">
        <f t="shared" si="84"/>
        <v>29400</v>
      </c>
      <c r="Q19" s="18">
        <f t="shared" ref="Q19:S19" si="85">((80000*(1.05^3))/12)*Q$1</f>
        <v>38587.5</v>
      </c>
      <c r="R19" s="18">
        <f t="shared" si="85"/>
        <v>23152.5</v>
      </c>
      <c r="S19" s="18">
        <f t="shared" si="85"/>
        <v>30870</v>
      </c>
      <c r="T19" s="18">
        <f t="shared" si="86"/>
        <v>40516.875</v>
      </c>
      <c r="U19" s="26"/>
      <c r="V19" s="26"/>
    </row>
    <row r="20">
      <c r="A20" s="13" t="s">
        <v>176</v>
      </c>
      <c r="B20" s="18"/>
      <c r="C20" s="18"/>
      <c r="D20" s="18"/>
      <c r="E20" s="18"/>
      <c r="F20" s="18"/>
      <c r="G20" s="18"/>
      <c r="H20" s="18">
        <f t="shared" ref="H20:J20" si="87">(80000/12)*H$1</f>
        <v>33333.33333</v>
      </c>
      <c r="I20" s="18">
        <f t="shared" si="87"/>
        <v>20000</v>
      </c>
      <c r="J20" s="18">
        <f t="shared" si="87"/>
        <v>26666.66667</v>
      </c>
      <c r="K20" s="18">
        <f t="shared" ref="K20:M20" si="88">((80000*(1.05^1))/12)*K$1</f>
        <v>35000</v>
      </c>
      <c r="L20" s="18">
        <f t="shared" si="88"/>
        <v>21000</v>
      </c>
      <c r="M20" s="18">
        <f t="shared" si="88"/>
        <v>28000</v>
      </c>
      <c r="N20" s="18">
        <f t="shared" ref="N20:P20" si="89">((80000*(1.05^2))/12)*N$1</f>
        <v>36750</v>
      </c>
      <c r="O20" s="18">
        <f t="shared" si="89"/>
        <v>22050</v>
      </c>
      <c r="P20" s="18">
        <f t="shared" si="89"/>
        <v>29400</v>
      </c>
      <c r="Q20" s="18">
        <f t="shared" ref="Q20:S20" si="90">((80000*(1.05^3))/12)*Q$1</f>
        <v>38587.5</v>
      </c>
      <c r="R20" s="18">
        <f t="shared" si="90"/>
        <v>23152.5</v>
      </c>
      <c r="S20" s="18">
        <f t="shared" si="90"/>
        <v>30870</v>
      </c>
      <c r="T20" s="18">
        <f t="shared" si="86"/>
        <v>40516.875</v>
      </c>
      <c r="U20" s="26"/>
      <c r="V20" s="26"/>
    </row>
    <row r="21">
      <c r="A21" s="13" t="s">
        <v>199</v>
      </c>
      <c r="B21" s="18"/>
      <c r="C21" s="18"/>
      <c r="D21" s="18"/>
      <c r="E21" s="18"/>
      <c r="F21" s="18"/>
      <c r="G21" s="18"/>
      <c r="H21" s="18"/>
      <c r="I21" s="18">
        <f>(17.5*(2000/12)*2.5)</f>
        <v>7291.666667</v>
      </c>
      <c r="J21" s="44">
        <v>0.0</v>
      </c>
      <c r="K21" s="44">
        <v>0.0</v>
      </c>
      <c r="L21" s="18">
        <f>(17.5*(2000/12)*2.5)</f>
        <v>7291.666667</v>
      </c>
      <c r="M21" s="44">
        <v>0.0</v>
      </c>
      <c r="N21" s="44">
        <v>0.0</v>
      </c>
      <c r="O21" s="18">
        <f>(17.5*(2000/12)*2.5)</f>
        <v>7291.666667</v>
      </c>
      <c r="P21" s="44">
        <v>0.0</v>
      </c>
      <c r="Q21" s="44">
        <v>0.0</v>
      </c>
      <c r="R21" s="18">
        <f>(17.5*(2000/12)*2.5)</f>
        <v>7291.666667</v>
      </c>
      <c r="S21" s="44">
        <v>0.0</v>
      </c>
      <c r="T21" s="44">
        <v>0.0</v>
      </c>
      <c r="U21" s="26"/>
      <c r="V21" s="26"/>
    </row>
    <row r="22">
      <c r="A22" s="13" t="s">
        <v>176</v>
      </c>
      <c r="B22" s="18"/>
      <c r="C22" s="18"/>
      <c r="D22" s="18"/>
      <c r="E22" s="18"/>
      <c r="F22" s="18"/>
      <c r="G22" s="18"/>
      <c r="H22" s="18"/>
      <c r="I22" s="18"/>
      <c r="J22" s="18"/>
      <c r="K22" s="44">
        <f t="shared" ref="K22:M22" si="91">(80000/12)*K$1</f>
        <v>33333.33333</v>
      </c>
      <c r="L22" s="44">
        <f t="shared" si="91"/>
        <v>20000</v>
      </c>
      <c r="M22" s="44">
        <f t="shared" si="91"/>
        <v>26666.66667</v>
      </c>
      <c r="N22" s="44">
        <f t="shared" ref="N22:P22" si="92">((80000*(1.05^1))/12)*N$1</f>
        <v>35000</v>
      </c>
      <c r="O22" s="44">
        <f t="shared" si="92"/>
        <v>21000</v>
      </c>
      <c r="P22" s="44">
        <f t="shared" si="92"/>
        <v>28000</v>
      </c>
      <c r="Q22" s="44">
        <f t="shared" ref="Q22:S22" si="93">((80000*(1.05^2))/12)*Q$1</f>
        <v>36750</v>
      </c>
      <c r="R22" s="44">
        <f t="shared" si="93"/>
        <v>22050</v>
      </c>
      <c r="S22" s="44">
        <f t="shared" si="93"/>
        <v>29400</v>
      </c>
      <c r="T22" s="44">
        <f t="shared" ref="T22:T24" si="97">((80000*(1.05^3))/12)*T$1</f>
        <v>38587.5</v>
      </c>
      <c r="U22" s="26"/>
      <c r="V22" s="26"/>
    </row>
    <row r="23">
      <c r="A23" s="13" t="s">
        <v>176</v>
      </c>
      <c r="B23" s="18"/>
      <c r="C23" s="18"/>
      <c r="D23" s="18"/>
      <c r="E23" s="18"/>
      <c r="F23" s="18"/>
      <c r="G23" s="18"/>
      <c r="H23" s="18"/>
      <c r="I23" s="18"/>
      <c r="J23" s="18"/>
      <c r="K23" s="44">
        <f t="shared" ref="K23:M23" si="94">(80000/12)*K$1</f>
        <v>33333.33333</v>
      </c>
      <c r="L23" s="44">
        <f t="shared" si="94"/>
        <v>20000</v>
      </c>
      <c r="M23" s="44">
        <f t="shared" si="94"/>
        <v>26666.66667</v>
      </c>
      <c r="N23" s="44">
        <f t="shared" ref="N23:P23" si="95">((80000*(1.05^1))/12)*N$1</f>
        <v>35000</v>
      </c>
      <c r="O23" s="44">
        <f t="shared" si="95"/>
        <v>21000</v>
      </c>
      <c r="P23" s="44">
        <f t="shared" si="95"/>
        <v>28000</v>
      </c>
      <c r="Q23" s="44">
        <f t="shared" ref="Q23:S23" si="96">((80000*(1.05^2))/12)*Q$1</f>
        <v>36750</v>
      </c>
      <c r="R23" s="44">
        <f t="shared" si="96"/>
        <v>22050</v>
      </c>
      <c r="S23" s="44">
        <f t="shared" si="96"/>
        <v>29400</v>
      </c>
      <c r="T23" s="44">
        <f t="shared" si="97"/>
        <v>38587.5</v>
      </c>
      <c r="U23" s="26"/>
      <c r="V23" s="26"/>
    </row>
    <row r="24">
      <c r="A24" s="13" t="s">
        <v>176</v>
      </c>
      <c r="B24" s="18"/>
      <c r="C24" s="18"/>
      <c r="D24" s="18"/>
      <c r="E24" s="18"/>
      <c r="F24" s="18"/>
      <c r="G24" s="18"/>
      <c r="H24" s="18"/>
      <c r="I24" s="18"/>
      <c r="J24" s="18"/>
      <c r="K24" s="44">
        <f t="shared" ref="K24:M24" si="98">(80000/12)*K$1</f>
        <v>33333.33333</v>
      </c>
      <c r="L24" s="44">
        <f t="shared" si="98"/>
        <v>20000</v>
      </c>
      <c r="M24" s="44">
        <f t="shared" si="98"/>
        <v>26666.66667</v>
      </c>
      <c r="N24" s="44">
        <f t="shared" ref="N24:P24" si="99">((80000*(1.05^1))/12)*N$1</f>
        <v>35000</v>
      </c>
      <c r="O24" s="44">
        <f t="shared" si="99"/>
        <v>21000</v>
      </c>
      <c r="P24" s="44">
        <f t="shared" si="99"/>
        <v>28000</v>
      </c>
      <c r="Q24" s="44">
        <f t="shared" ref="Q24:S24" si="100">((80000*(1.05^2))/12)*Q$1</f>
        <v>36750</v>
      </c>
      <c r="R24" s="44">
        <f t="shared" si="100"/>
        <v>22050</v>
      </c>
      <c r="S24" s="44">
        <f t="shared" si="100"/>
        <v>29400</v>
      </c>
      <c r="T24" s="44">
        <f t="shared" si="97"/>
        <v>38587.5</v>
      </c>
      <c r="U24" s="26"/>
      <c r="V24" s="26"/>
    </row>
    <row r="25">
      <c r="A25" s="13" t="s">
        <v>117</v>
      </c>
      <c r="B25" s="18"/>
      <c r="C25" s="18"/>
      <c r="D25" s="18"/>
      <c r="E25" s="18"/>
      <c r="F25" s="18"/>
      <c r="G25" s="18"/>
      <c r="H25" s="18"/>
      <c r="I25" s="18"/>
      <c r="J25" s="18"/>
      <c r="K25" s="44">
        <f t="shared" ref="K25:K26" si="104">(60000/12)*3</f>
        <v>15000</v>
      </c>
      <c r="L25" s="44">
        <f t="shared" ref="L25:M25" si="101">(60000/12)*L$1</f>
        <v>15000</v>
      </c>
      <c r="M25" s="44">
        <f t="shared" si="101"/>
        <v>20000</v>
      </c>
      <c r="N25" s="44">
        <f t="shared" ref="N25:P25" si="102">((60000*(1.05^1))/12)*N$1</f>
        <v>26250</v>
      </c>
      <c r="O25" s="44">
        <f t="shared" si="102"/>
        <v>15750</v>
      </c>
      <c r="P25" s="44">
        <f t="shared" si="102"/>
        <v>21000</v>
      </c>
      <c r="Q25" s="44">
        <f t="shared" ref="Q25:S25" si="103">((60000*(1.05^2))/12)*Q$1</f>
        <v>27562.5</v>
      </c>
      <c r="R25" s="44">
        <f t="shared" si="103"/>
        <v>16537.5</v>
      </c>
      <c r="S25" s="44">
        <f t="shared" si="103"/>
        <v>22050</v>
      </c>
      <c r="T25" s="44">
        <f t="shared" ref="T25:T26" si="108">((60000*(1.05^3))/12)*T$1</f>
        <v>28940.625</v>
      </c>
      <c r="U25" s="26"/>
      <c r="V25" s="26"/>
    </row>
    <row r="26">
      <c r="A26" s="13" t="s">
        <v>117</v>
      </c>
      <c r="B26" s="18"/>
      <c r="C26" s="18"/>
      <c r="D26" s="18"/>
      <c r="E26" s="18"/>
      <c r="F26" s="18"/>
      <c r="G26" s="18"/>
      <c r="H26" s="18"/>
      <c r="I26" s="18"/>
      <c r="J26" s="18"/>
      <c r="K26" s="44">
        <f t="shared" si="104"/>
        <v>15000</v>
      </c>
      <c r="L26" s="44">
        <f t="shared" ref="L26:M26" si="105">(60000/12)*L$1</f>
        <v>15000</v>
      </c>
      <c r="M26" s="44">
        <f t="shared" si="105"/>
        <v>20000</v>
      </c>
      <c r="N26" s="44">
        <f t="shared" ref="N26:P26" si="106">((60000*(1.05^1))/12)*N$1</f>
        <v>26250</v>
      </c>
      <c r="O26" s="44">
        <f t="shared" si="106"/>
        <v>15750</v>
      </c>
      <c r="P26" s="44">
        <f t="shared" si="106"/>
        <v>21000</v>
      </c>
      <c r="Q26" s="44">
        <f t="shared" ref="Q26:S26" si="107">((60000*(1.05^2))/12)*Q$1</f>
        <v>27562.5</v>
      </c>
      <c r="R26" s="44">
        <f t="shared" si="107"/>
        <v>16537.5</v>
      </c>
      <c r="S26" s="44">
        <f t="shared" si="107"/>
        <v>22050</v>
      </c>
      <c r="T26" s="44">
        <f t="shared" si="108"/>
        <v>28940.625</v>
      </c>
      <c r="U26" s="26"/>
      <c r="V26" s="26"/>
    </row>
    <row r="27">
      <c r="A27" s="13" t="s">
        <v>172</v>
      </c>
      <c r="B27" s="18"/>
      <c r="C27" s="18"/>
      <c r="D27" s="18"/>
      <c r="E27" s="18"/>
      <c r="F27" s="18"/>
      <c r="G27" s="18"/>
      <c r="H27" s="18"/>
      <c r="I27" s="18"/>
      <c r="J27" s="18"/>
      <c r="K27" s="44">
        <f>(72000/12)*4</f>
        <v>24000</v>
      </c>
      <c r="L27" s="44">
        <f t="shared" ref="L27:M27" si="109">(72000/12)*L$1</f>
        <v>18000</v>
      </c>
      <c r="M27" s="44">
        <f t="shared" si="109"/>
        <v>24000</v>
      </c>
      <c r="N27" s="44">
        <f t="shared" ref="N27:P27" si="110">((72000*(1.05^1))/12)*N$1</f>
        <v>31500</v>
      </c>
      <c r="O27" s="44">
        <f t="shared" si="110"/>
        <v>18900</v>
      </c>
      <c r="P27" s="44">
        <f t="shared" si="110"/>
        <v>25200</v>
      </c>
      <c r="Q27" s="44">
        <f t="shared" ref="Q27:S27" si="111">((72000*(1.05^2))/12)*Q$1</f>
        <v>33075</v>
      </c>
      <c r="R27" s="44">
        <f t="shared" si="111"/>
        <v>19845</v>
      </c>
      <c r="S27" s="44">
        <f t="shared" si="111"/>
        <v>26460</v>
      </c>
      <c r="T27" s="44">
        <f>((72000*(1.05^3))/12)*T$1</f>
        <v>34728.75</v>
      </c>
      <c r="U27" s="26"/>
      <c r="V27" s="26"/>
    </row>
    <row r="28">
      <c r="A28" s="13" t="s">
        <v>133</v>
      </c>
      <c r="B28" s="18"/>
      <c r="C28" s="18"/>
      <c r="D28" s="18"/>
      <c r="E28" s="18"/>
      <c r="F28" s="18"/>
      <c r="G28" s="18"/>
      <c r="H28" s="18"/>
      <c r="I28" s="18"/>
      <c r="J28" s="18"/>
      <c r="K28" s="44">
        <f>(65000/12)*3</f>
        <v>16250</v>
      </c>
      <c r="L28" s="44">
        <f t="shared" ref="L28:M28" si="112">(65000/12)*L1</f>
        <v>16250</v>
      </c>
      <c r="M28" s="44">
        <f t="shared" si="112"/>
        <v>21666.66667</v>
      </c>
      <c r="N28" s="44">
        <f t="shared" ref="N28:P28" si="113">((65000*(1.05^1))/12)*N1</f>
        <v>28437.5</v>
      </c>
      <c r="O28" s="44">
        <f t="shared" si="113"/>
        <v>17062.5</v>
      </c>
      <c r="P28" s="44">
        <f t="shared" si="113"/>
        <v>22750</v>
      </c>
      <c r="Q28" s="44">
        <f t="shared" ref="Q28:S28" si="114">((65000*(1.05^2))/12)*Q1</f>
        <v>29859.375</v>
      </c>
      <c r="R28" s="44">
        <f t="shared" si="114"/>
        <v>17915.625</v>
      </c>
      <c r="S28" s="44">
        <f t="shared" si="114"/>
        <v>23887.5</v>
      </c>
      <c r="T28" s="44">
        <f>((65000*(1.05^3))/12)*T1</f>
        <v>31352.34375</v>
      </c>
      <c r="U28" s="26"/>
      <c r="V28" s="26"/>
    </row>
    <row r="29">
      <c r="A29" s="13" t="s">
        <v>233</v>
      </c>
      <c r="B29" s="18"/>
      <c r="C29" s="18"/>
      <c r="D29" s="18"/>
      <c r="E29" s="18"/>
      <c r="F29" s="18"/>
      <c r="G29" s="18"/>
      <c r="H29" s="18"/>
      <c r="I29" s="18"/>
      <c r="J29" s="18"/>
      <c r="K29" s="44">
        <f t="shared" ref="K29:M29" si="115">(70000/12)*K$1</f>
        <v>29166.66667</v>
      </c>
      <c r="L29" s="44">
        <f t="shared" si="115"/>
        <v>17500</v>
      </c>
      <c r="M29" s="44">
        <f t="shared" si="115"/>
        <v>23333.33333</v>
      </c>
      <c r="N29" s="44">
        <f t="shared" ref="N29:P29" si="116">((70000*(1.05^1))/12)*N$1</f>
        <v>30625</v>
      </c>
      <c r="O29" s="44">
        <f t="shared" si="116"/>
        <v>18375</v>
      </c>
      <c r="P29" s="44">
        <f t="shared" si="116"/>
        <v>24500</v>
      </c>
      <c r="Q29" s="44">
        <f t="shared" ref="Q29:S29" si="117">((70000*(1.05^2))/12)*Q$1</f>
        <v>32156.25</v>
      </c>
      <c r="R29" s="44">
        <f t="shared" si="117"/>
        <v>19293.75</v>
      </c>
      <c r="S29" s="44">
        <f t="shared" si="117"/>
        <v>25725</v>
      </c>
      <c r="T29" s="44">
        <f>((70000*(1.05^3))/12)*T$1</f>
        <v>33764.0625</v>
      </c>
      <c r="U29" s="26"/>
      <c r="V29" s="26"/>
    </row>
    <row r="30">
      <c r="A30" s="13" t="s">
        <v>199</v>
      </c>
      <c r="B30" s="18"/>
      <c r="C30" s="18"/>
      <c r="D30" s="18"/>
      <c r="E30" s="18"/>
      <c r="F30" s="18"/>
      <c r="G30" s="18"/>
      <c r="H30" s="18"/>
      <c r="I30" s="18"/>
      <c r="J30" s="18"/>
      <c r="K30" s="44"/>
      <c r="L30" s="18">
        <f t="shared" ref="L30:L32" si="118">(17.5*(2000/12)*2.5)</f>
        <v>7291.666667</v>
      </c>
      <c r="M30" s="44">
        <v>0.0</v>
      </c>
      <c r="N30" s="44">
        <v>0.0</v>
      </c>
      <c r="O30" s="18">
        <f t="shared" ref="O30:O32" si="119">(17.5*(2000/12)*2.5)</f>
        <v>7291.666667</v>
      </c>
      <c r="P30" s="44">
        <v>0.0</v>
      </c>
      <c r="Q30" s="44">
        <v>0.0</v>
      </c>
      <c r="R30" s="18">
        <f t="shared" ref="R30:R32" si="120">(17.5*(2000/12)*2.5)</f>
        <v>7291.666667</v>
      </c>
      <c r="S30" s="44">
        <v>0.0</v>
      </c>
      <c r="T30" s="44">
        <v>0.0</v>
      </c>
      <c r="U30" s="18"/>
      <c r="V30" s="44"/>
      <c r="W30" s="44"/>
    </row>
    <row r="31">
      <c r="A31" s="13" t="s">
        <v>199</v>
      </c>
      <c r="B31" s="18"/>
      <c r="C31" s="18"/>
      <c r="D31" s="18"/>
      <c r="E31" s="18"/>
      <c r="F31" s="18"/>
      <c r="G31" s="18"/>
      <c r="H31" s="18"/>
      <c r="I31" s="18"/>
      <c r="J31" s="18"/>
      <c r="K31" s="44"/>
      <c r="L31" s="18">
        <f t="shared" si="118"/>
        <v>7291.666667</v>
      </c>
      <c r="M31" s="44">
        <v>0.0</v>
      </c>
      <c r="N31" s="44">
        <v>0.0</v>
      </c>
      <c r="O31" s="18">
        <f t="shared" si="119"/>
        <v>7291.666667</v>
      </c>
      <c r="P31" s="44">
        <v>0.0</v>
      </c>
      <c r="Q31" s="44">
        <v>0.0</v>
      </c>
      <c r="R31" s="18">
        <f t="shared" si="120"/>
        <v>7291.666667</v>
      </c>
      <c r="S31" s="44">
        <v>0.0</v>
      </c>
      <c r="T31" s="44">
        <v>0.0</v>
      </c>
      <c r="U31" s="18"/>
      <c r="V31" s="44"/>
      <c r="W31" s="44"/>
    </row>
    <row r="32">
      <c r="A32" s="13" t="s">
        <v>199</v>
      </c>
      <c r="B32" s="18"/>
      <c r="C32" s="18"/>
      <c r="D32" s="18"/>
      <c r="E32" s="18"/>
      <c r="F32" s="18"/>
      <c r="G32" s="18"/>
      <c r="H32" s="18"/>
      <c r="I32" s="18"/>
      <c r="J32" s="18"/>
      <c r="K32" s="44"/>
      <c r="L32" s="18">
        <f t="shared" si="118"/>
        <v>7291.666667</v>
      </c>
      <c r="M32" s="44">
        <v>0.0</v>
      </c>
      <c r="N32" s="44">
        <v>0.0</v>
      </c>
      <c r="O32" s="18">
        <f t="shared" si="119"/>
        <v>7291.666667</v>
      </c>
      <c r="P32" s="44">
        <v>0.0</v>
      </c>
      <c r="Q32" s="44">
        <v>0.0</v>
      </c>
      <c r="R32" s="18">
        <f t="shared" si="120"/>
        <v>7291.666667</v>
      </c>
      <c r="S32" s="44">
        <v>0.0</v>
      </c>
      <c r="T32" s="44">
        <v>0.0</v>
      </c>
      <c r="U32" s="18"/>
      <c r="V32" s="44"/>
      <c r="W32" s="44"/>
    </row>
    <row r="33">
      <c r="A33" s="13" t="s">
        <v>133</v>
      </c>
      <c r="B33" s="18"/>
      <c r="C33" s="18"/>
      <c r="D33" s="18"/>
      <c r="E33" s="18"/>
      <c r="F33" s="18"/>
      <c r="G33" s="18"/>
      <c r="H33" s="18"/>
      <c r="I33" s="18"/>
      <c r="J33" s="18"/>
      <c r="K33" s="44"/>
      <c r="L33" s="18"/>
      <c r="M33" s="18">
        <f t="shared" ref="M33:O33" si="121">(65000/12)*M$1</f>
        <v>21666.66667</v>
      </c>
      <c r="N33" s="18">
        <f t="shared" si="121"/>
        <v>27083.33333</v>
      </c>
      <c r="O33" s="18">
        <f t="shared" si="121"/>
        <v>16250</v>
      </c>
      <c r="P33" s="18">
        <f t="shared" ref="P33:R33" si="122">((65000*(1.05^1))/12)*P$1</f>
        <v>22750</v>
      </c>
      <c r="Q33" s="18">
        <f t="shared" si="122"/>
        <v>28437.5</v>
      </c>
      <c r="R33" s="18">
        <f t="shared" si="122"/>
        <v>17062.5</v>
      </c>
      <c r="S33" s="18">
        <f t="shared" ref="S33:T33" si="123">((65000*(1.05^2))/12)*S$1</f>
        <v>23887.5</v>
      </c>
      <c r="T33" s="18">
        <f t="shared" si="123"/>
        <v>29859.375</v>
      </c>
      <c r="U33" s="26"/>
      <c r="V33" s="26"/>
    </row>
    <row r="34">
      <c r="A34" s="13" t="s">
        <v>176</v>
      </c>
      <c r="B34" s="18"/>
      <c r="C34" s="18"/>
      <c r="D34" s="18"/>
      <c r="E34" s="18"/>
      <c r="F34" s="18"/>
      <c r="G34" s="18"/>
      <c r="H34" s="18"/>
      <c r="I34" s="18"/>
      <c r="J34" s="18"/>
      <c r="K34" s="44"/>
      <c r="L34" s="18"/>
      <c r="M34" s="18"/>
      <c r="N34" s="18">
        <f t="shared" ref="N34:P34" si="124">(80000/12)*N$1</f>
        <v>33333.33333</v>
      </c>
      <c r="O34" s="18">
        <f t="shared" si="124"/>
        <v>20000</v>
      </c>
      <c r="P34" s="18">
        <f t="shared" si="124"/>
        <v>26666.66667</v>
      </c>
      <c r="Q34" s="18">
        <f t="shared" ref="Q34:S34" si="125">((80000*1.05)/12)*Q$1</f>
        <v>35000</v>
      </c>
      <c r="R34" s="18">
        <f t="shared" si="125"/>
        <v>21000</v>
      </c>
      <c r="S34" s="18">
        <f t="shared" si="125"/>
        <v>28000</v>
      </c>
      <c r="T34" s="18">
        <f t="shared" ref="T34:T35" si="128">((80000*(1.05^2))/12)*T$1</f>
        <v>36750</v>
      </c>
      <c r="U34" s="26"/>
      <c r="V34" s="26"/>
    </row>
    <row r="35">
      <c r="A35" s="13" t="s">
        <v>176</v>
      </c>
      <c r="B35" s="18"/>
      <c r="C35" s="18"/>
      <c r="D35" s="18"/>
      <c r="E35" s="18"/>
      <c r="F35" s="18"/>
      <c r="G35" s="18"/>
      <c r="H35" s="18"/>
      <c r="I35" s="18"/>
      <c r="J35" s="18"/>
      <c r="K35" s="44"/>
      <c r="L35" s="18"/>
      <c r="M35" s="18"/>
      <c r="N35" s="18">
        <f t="shared" ref="N35:P35" si="126">(80000/12)*N$1</f>
        <v>33333.33333</v>
      </c>
      <c r="O35" s="18">
        <f t="shared" si="126"/>
        <v>20000</v>
      </c>
      <c r="P35" s="18">
        <f t="shared" si="126"/>
        <v>26666.66667</v>
      </c>
      <c r="Q35" s="18">
        <f t="shared" ref="Q35:S35" si="127">((80000*1.05)/12)*Q$1</f>
        <v>35000</v>
      </c>
      <c r="R35" s="18">
        <f t="shared" si="127"/>
        <v>21000</v>
      </c>
      <c r="S35" s="18">
        <f t="shared" si="127"/>
        <v>28000</v>
      </c>
      <c r="T35" s="18">
        <f t="shared" si="128"/>
        <v>36750</v>
      </c>
      <c r="U35" s="26"/>
      <c r="V35" s="26"/>
    </row>
    <row r="36">
      <c r="A36" s="13" t="s">
        <v>117</v>
      </c>
      <c r="B36" s="18"/>
      <c r="C36" s="18"/>
      <c r="D36" s="18"/>
      <c r="E36" s="18"/>
      <c r="F36" s="18"/>
      <c r="G36" s="18"/>
      <c r="H36" s="18"/>
      <c r="I36" s="18"/>
      <c r="J36" s="18"/>
      <c r="K36" s="44"/>
      <c r="L36" s="18"/>
      <c r="M36" s="18"/>
      <c r="N36" s="18">
        <f t="shared" ref="N36:N38" si="131">(65000/12)*3</f>
        <v>16250</v>
      </c>
      <c r="O36" s="18">
        <f t="shared" ref="O36:P36" si="129">(65000/12)*O$1</f>
        <v>16250</v>
      </c>
      <c r="P36" s="18">
        <f t="shared" si="129"/>
        <v>21666.66667</v>
      </c>
      <c r="Q36" s="18">
        <f t="shared" ref="Q36:S36" si="130">((65000*1.05)/12)*Q$1</f>
        <v>28437.5</v>
      </c>
      <c r="R36" s="18">
        <f t="shared" si="130"/>
        <v>17062.5</v>
      </c>
      <c r="S36" s="18">
        <f t="shared" si="130"/>
        <v>22750</v>
      </c>
      <c r="T36" s="18">
        <f t="shared" ref="T36:T38" si="134">((65000*(1.05^2))/12)*T$1</f>
        <v>29859.375</v>
      </c>
      <c r="U36" s="26"/>
      <c r="V36" s="26"/>
    </row>
    <row r="37">
      <c r="A37" s="13" t="s">
        <v>117</v>
      </c>
      <c r="B37" s="18"/>
      <c r="C37" s="18"/>
      <c r="D37" s="18"/>
      <c r="E37" s="18"/>
      <c r="F37" s="18"/>
      <c r="G37" s="18"/>
      <c r="H37" s="18"/>
      <c r="I37" s="18"/>
      <c r="J37" s="18"/>
      <c r="K37" s="44"/>
      <c r="L37" s="18"/>
      <c r="M37" s="18"/>
      <c r="N37" s="18">
        <f t="shared" si="131"/>
        <v>16250</v>
      </c>
      <c r="O37" s="18">
        <f t="shared" ref="O37:P37" si="132">(65000/12)*O$1</f>
        <v>16250</v>
      </c>
      <c r="P37" s="18">
        <f t="shared" si="132"/>
        <v>21666.66667</v>
      </c>
      <c r="Q37" s="18">
        <f t="shared" ref="Q37:S37" si="133">((65000*1.05)/12)*Q$1</f>
        <v>28437.5</v>
      </c>
      <c r="R37" s="18">
        <f t="shared" si="133"/>
        <v>17062.5</v>
      </c>
      <c r="S37" s="18">
        <f t="shared" si="133"/>
        <v>22750</v>
      </c>
      <c r="T37" s="18">
        <f t="shared" si="134"/>
        <v>29859.375</v>
      </c>
      <c r="U37" s="26"/>
      <c r="V37" s="26"/>
    </row>
    <row r="38">
      <c r="A38" s="13" t="s">
        <v>117</v>
      </c>
      <c r="B38" s="18"/>
      <c r="C38" s="18"/>
      <c r="D38" s="18"/>
      <c r="E38" s="18"/>
      <c r="F38" s="18"/>
      <c r="G38" s="18"/>
      <c r="H38" s="18"/>
      <c r="I38" s="18"/>
      <c r="J38" s="18"/>
      <c r="K38" s="44"/>
      <c r="L38" s="18"/>
      <c r="M38" s="18"/>
      <c r="N38" s="18">
        <f t="shared" si="131"/>
        <v>16250</v>
      </c>
      <c r="O38" s="18">
        <f t="shared" ref="O38:P38" si="135">(65000/12)*O$1</f>
        <v>16250</v>
      </c>
      <c r="P38" s="18">
        <f t="shared" si="135"/>
        <v>21666.66667</v>
      </c>
      <c r="Q38" s="18">
        <f t="shared" ref="Q38:S38" si="136">((65000*1.05)/12)*Q$1</f>
        <v>28437.5</v>
      </c>
      <c r="R38" s="18">
        <f t="shared" si="136"/>
        <v>17062.5</v>
      </c>
      <c r="S38" s="18">
        <f t="shared" si="136"/>
        <v>22750</v>
      </c>
      <c r="T38" s="18">
        <f t="shared" si="134"/>
        <v>29859.375</v>
      </c>
      <c r="U38" s="26"/>
      <c r="V38" s="26"/>
    </row>
    <row r="39">
      <c r="A39" s="13" t="s">
        <v>133</v>
      </c>
      <c r="B39" s="18"/>
      <c r="C39" s="18"/>
      <c r="D39" s="18"/>
      <c r="E39" s="18"/>
      <c r="F39" s="18"/>
      <c r="G39" s="18"/>
      <c r="H39" s="18"/>
      <c r="I39" s="18"/>
      <c r="J39" s="18"/>
      <c r="K39" s="44"/>
      <c r="L39" s="18"/>
      <c r="M39" s="18"/>
      <c r="N39" s="18">
        <f t="shared" ref="N39:N41" si="139">(70000/12)*3</f>
        <v>17500</v>
      </c>
      <c r="O39" s="18">
        <f t="shared" ref="O39:P39" si="137">(70000/12)*O$1</f>
        <v>17500</v>
      </c>
      <c r="P39" s="18">
        <f t="shared" si="137"/>
        <v>23333.33333</v>
      </c>
      <c r="Q39" s="18">
        <f t="shared" ref="Q39:S39" si="138">((70000*1.05)/12)*3</f>
        <v>18375</v>
      </c>
      <c r="R39" s="18">
        <f t="shared" si="138"/>
        <v>18375</v>
      </c>
      <c r="S39" s="18">
        <f t="shared" si="138"/>
        <v>18375</v>
      </c>
      <c r="T39" s="18">
        <f t="shared" ref="T39:T41" si="142">((70000*(1.05^2))/12)*3</f>
        <v>19293.75</v>
      </c>
      <c r="U39" s="26"/>
      <c r="V39" s="26"/>
    </row>
    <row r="40">
      <c r="A40" s="13" t="s">
        <v>133</v>
      </c>
      <c r="B40" s="18"/>
      <c r="C40" s="18"/>
      <c r="D40" s="18"/>
      <c r="E40" s="18"/>
      <c r="F40" s="18"/>
      <c r="G40" s="18"/>
      <c r="H40" s="18"/>
      <c r="I40" s="18"/>
      <c r="J40" s="18"/>
      <c r="K40" s="44"/>
      <c r="L40" s="18"/>
      <c r="M40" s="18"/>
      <c r="N40" s="18">
        <f t="shared" si="139"/>
        <v>17500</v>
      </c>
      <c r="O40" s="18">
        <f t="shared" ref="O40:P40" si="140">(70000/12)*O$1</f>
        <v>17500</v>
      </c>
      <c r="P40" s="18">
        <f t="shared" si="140"/>
        <v>23333.33333</v>
      </c>
      <c r="Q40" s="18">
        <f t="shared" ref="Q40:S40" si="141">((70000*1.05)/12)*3</f>
        <v>18375</v>
      </c>
      <c r="R40" s="18">
        <f t="shared" si="141"/>
        <v>18375</v>
      </c>
      <c r="S40" s="18">
        <f t="shared" si="141"/>
        <v>18375</v>
      </c>
      <c r="T40" s="18">
        <f t="shared" si="142"/>
        <v>19293.75</v>
      </c>
      <c r="U40" s="26"/>
      <c r="V40" s="26"/>
    </row>
    <row r="41">
      <c r="A41" s="13" t="s">
        <v>133</v>
      </c>
      <c r="B41" s="18"/>
      <c r="C41" s="18"/>
      <c r="D41" s="18"/>
      <c r="E41" s="18"/>
      <c r="F41" s="18"/>
      <c r="G41" s="18"/>
      <c r="H41" s="18"/>
      <c r="I41" s="18"/>
      <c r="J41" s="18"/>
      <c r="K41" s="44"/>
      <c r="L41" s="18"/>
      <c r="M41" s="18"/>
      <c r="N41" s="18">
        <f t="shared" si="139"/>
        <v>17500</v>
      </c>
      <c r="O41" s="18">
        <f t="shared" ref="O41:P41" si="143">(70000/12)*O$1</f>
        <v>17500</v>
      </c>
      <c r="P41" s="18">
        <f t="shared" si="143"/>
        <v>23333.33333</v>
      </c>
      <c r="Q41" s="18">
        <f t="shared" ref="Q41:S41" si="144">((70000*1.05)/12)*3</f>
        <v>18375</v>
      </c>
      <c r="R41" s="18">
        <f t="shared" si="144"/>
        <v>18375</v>
      </c>
      <c r="S41" s="18">
        <f t="shared" si="144"/>
        <v>18375</v>
      </c>
      <c r="T41" s="18">
        <f t="shared" si="142"/>
        <v>19293.75</v>
      </c>
      <c r="U41" s="26"/>
      <c r="V41" s="26"/>
    </row>
    <row r="42">
      <c r="A42" s="13" t="s">
        <v>233</v>
      </c>
      <c r="B42" s="18"/>
      <c r="C42" s="18"/>
      <c r="D42" s="18"/>
      <c r="E42" s="18"/>
      <c r="F42" s="18"/>
      <c r="G42" s="18"/>
      <c r="H42" s="18"/>
      <c r="I42" s="18"/>
      <c r="J42" s="18"/>
      <c r="K42" s="44"/>
      <c r="L42" s="18"/>
      <c r="M42" s="18"/>
      <c r="N42" s="18">
        <f>(70000/12)*N1</f>
        <v>29166.66667</v>
      </c>
      <c r="O42" s="18">
        <f t="shared" ref="O42:P42" si="145">(70000/12)*O$1</f>
        <v>17500</v>
      </c>
      <c r="P42" s="18">
        <f t="shared" si="145"/>
        <v>23333.33333</v>
      </c>
      <c r="Q42" s="18">
        <f t="shared" ref="Q42:S42" si="146">((70000*1.05)/12)*Q$1</f>
        <v>30625</v>
      </c>
      <c r="R42" s="18">
        <f t="shared" si="146"/>
        <v>18375</v>
      </c>
      <c r="S42" s="18">
        <f t="shared" si="146"/>
        <v>24500</v>
      </c>
      <c r="T42" s="18">
        <f>((70000*(1.05^2))/12)*T$1</f>
        <v>32156.25</v>
      </c>
      <c r="U42" s="26"/>
      <c r="V42" s="26"/>
    </row>
    <row r="43">
      <c r="A43" s="13" t="s">
        <v>199</v>
      </c>
      <c r="B43" s="18"/>
      <c r="C43" s="18"/>
      <c r="D43" s="18"/>
      <c r="E43" s="18"/>
      <c r="F43" s="18"/>
      <c r="G43" s="18"/>
      <c r="H43" s="18"/>
      <c r="I43" s="18"/>
      <c r="J43" s="18"/>
      <c r="K43" s="44"/>
      <c r="L43" s="18"/>
      <c r="M43" s="18"/>
      <c r="N43" s="18"/>
      <c r="O43" s="18">
        <f t="shared" ref="O43:O46" si="147">(17.5*(2000/12)*2.5)</f>
        <v>7291.666667</v>
      </c>
      <c r="P43" s="44">
        <v>0.0</v>
      </c>
      <c r="Q43" s="44">
        <v>0.0</v>
      </c>
      <c r="R43" s="18">
        <f t="shared" ref="R43:R46" si="148">(17.5*(2000/12)*2.5)</f>
        <v>7291.666667</v>
      </c>
      <c r="S43" s="44">
        <v>0.0</v>
      </c>
      <c r="T43" s="44">
        <v>0.0</v>
      </c>
      <c r="U43" s="26"/>
      <c r="V43" s="26"/>
    </row>
    <row r="44">
      <c r="A44" s="13" t="s">
        <v>199</v>
      </c>
      <c r="B44" s="18"/>
      <c r="C44" s="18"/>
      <c r="D44" s="18"/>
      <c r="E44" s="18"/>
      <c r="F44" s="18"/>
      <c r="G44" s="18"/>
      <c r="H44" s="18"/>
      <c r="I44" s="18"/>
      <c r="J44" s="18"/>
      <c r="K44" s="44"/>
      <c r="L44" s="18"/>
      <c r="M44" s="18"/>
      <c r="N44" s="18"/>
      <c r="O44" s="18">
        <f t="shared" si="147"/>
        <v>7291.666667</v>
      </c>
      <c r="P44" s="44">
        <v>0.0</v>
      </c>
      <c r="Q44" s="44">
        <v>0.0</v>
      </c>
      <c r="R44" s="18">
        <f t="shared" si="148"/>
        <v>7291.666667</v>
      </c>
      <c r="S44" s="44">
        <v>0.0</v>
      </c>
      <c r="T44" s="44">
        <v>0.0</v>
      </c>
      <c r="U44" s="26"/>
      <c r="V44" s="26"/>
    </row>
    <row r="45">
      <c r="A45" s="13" t="s">
        <v>199</v>
      </c>
      <c r="B45" s="18"/>
      <c r="C45" s="18"/>
      <c r="D45" s="18"/>
      <c r="E45" s="18"/>
      <c r="F45" s="18"/>
      <c r="G45" s="18"/>
      <c r="H45" s="18"/>
      <c r="I45" s="18"/>
      <c r="J45" s="18"/>
      <c r="K45" s="44"/>
      <c r="L45" s="18"/>
      <c r="M45" s="18"/>
      <c r="N45" s="18"/>
      <c r="O45" s="18">
        <f t="shared" si="147"/>
        <v>7291.666667</v>
      </c>
      <c r="P45" s="44">
        <v>0.0</v>
      </c>
      <c r="Q45" s="44">
        <v>0.0</v>
      </c>
      <c r="R45" s="18">
        <f t="shared" si="148"/>
        <v>7291.666667</v>
      </c>
      <c r="S45" s="44">
        <v>0.0</v>
      </c>
      <c r="T45" s="44">
        <v>0.0</v>
      </c>
      <c r="U45" s="26"/>
      <c r="V45" s="26"/>
    </row>
    <row r="46">
      <c r="A46" s="13" t="s">
        <v>199</v>
      </c>
      <c r="B46" s="18"/>
      <c r="C46" s="18"/>
      <c r="D46" s="18"/>
      <c r="E46" s="18"/>
      <c r="F46" s="18"/>
      <c r="G46" s="18"/>
      <c r="H46" s="18"/>
      <c r="I46" s="18"/>
      <c r="J46" s="18"/>
      <c r="K46" s="44"/>
      <c r="L46" s="18"/>
      <c r="M46" s="18"/>
      <c r="N46" s="18"/>
      <c r="O46" s="18">
        <f t="shared" si="147"/>
        <v>7291.666667</v>
      </c>
      <c r="P46" s="44">
        <v>0.0</v>
      </c>
      <c r="Q46" s="44">
        <v>0.0</v>
      </c>
      <c r="R46" s="18">
        <f t="shared" si="148"/>
        <v>7291.666667</v>
      </c>
      <c r="S46" s="44">
        <v>0.0</v>
      </c>
      <c r="T46" s="44">
        <v>0.0</v>
      </c>
      <c r="U46" s="26"/>
      <c r="V46" s="26"/>
    </row>
    <row r="47">
      <c r="A47" s="13" t="s">
        <v>176</v>
      </c>
      <c r="B47" s="18"/>
      <c r="C47" s="18"/>
      <c r="D47" s="18"/>
      <c r="E47" s="18"/>
      <c r="F47" s="18"/>
      <c r="G47" s="18"/>
      <c r="H47" s="18"/>
      <c r="I47" s="18"/>
      <c r="J47" s="18"/>
      <c r="K47" s="44"/>
      <c r="L47" s="18"/>
      <c r="M47" s="18"/>
      <c r="N47" s="18"/>
      <c r="O47" s="18"/>
      <c r="P47" s="18"/>
      <c r="Q47" s="18">
        <f t="shared" ref="Q47:S47" si="149">(80000/12)*Q$1</f>
        <v>33333.33333</v>
      </c>
      <c r="R47" s="18">
        <f t="shared" si="149"/>
        <v>20000</v>
      </c>
      <c r="S47" s="18">
        <f t="shared" si="149"/>
        <v>26666.66667</v>
      </c>
      <c r="T47" s="18">
        <f t="shared" ref="T47:T51" si="151">((80000*1.05)/12)*T$1</f>
        <v>35000</v>
      </c>
      <c r="U47" s="26"/>
      <c r="V47" s="26"/>
    </row>
    <row r="48">
      <c r="A48" s="13" t="s">
        <v>176</v>
      </c>
      <c r="B48" s="18"/>
      <c r="C48" s="18"/>
      <c r="D48" s="18"/>
      <c r="E48" s="18"/>
      <c r="F48" s="18"/>
      <c r="G48" s="18"/>
      <c r="H48" s="18"/>
      <c r="I48" s="18"/>
      <c r="J48" s="18"/>
      <c r="K48" s="44"/>
      <c r="L48" s="18"/>
      <c r="M48" s="18"/>
      <c r="N48" s="18"/>
      <c r="O48" s="18"/>
      <c r="P48" s="18"/>
      <c r="Q48" s="18">
        <f t="shared" ref="Q48:S48" si="150">(80000/12)*Q$1</f>
        <v>33333.33333</v>
      </c>
      <c r="R48" s="18">
        <f t="shared" si="150"/>
        <v>20000</v>
      </c>
      <c r="S48" s="18">
        <f t="shared" si="150"/>
        <v>26666.66667</v>
      </c>
      <c r="T48" s="18">
        <f t="shared" si="151"/>
        <v>35000</v>
      </c>
      <c r="U48" s="26"/>
      <c r="V48" s="26"/>
    </row>
    <row r="49">
      <c r="A49" s="13" t="s">
        <v>176</v>
      </c>
      <c r="B49" s="18"/>
      <c r="C49" s="18"/>
      <c r="D49" s="18"/>
      <c r="E49" s="18"/>
      <c r="F49" s="18"/>
      <c r="G49" s="18"/>
      <c r="H49" s="18"/>
      <c r="I49" s="18"/>
      <c r="J49" s="18"/>
      <c r="K49" s="44"/>
      <c r="L49" s="18"/>
      <c r="M49" s="18"/>
      <c r="N49" s="18"/>
      <c r="O49" s="18"/>
      <c r="P49" s="18"/>
      <c r="Q49" s="18">
        <f t="shared" ref="Q49:S49" si="152">(80000/12)*Q$1</f>
        <v>33333.33333</v>
      </c>
      <c r="R49" s="18">
        <f t="shared" si="152"/>
        <v>20000</v>
      </c>
      <c r="S49" s="18">
        <f t="shared" si="152"/>
        <v>26666.66667</v>
      </c>
      <c r="T49" s="18">
        <f t="shared" si="151"/>
        <v>35000</v>
      </c>
      <c r="U49" s="26"/>
      <c r="V49" s="26"/>
    </row>
    <row r="50">
      <c r="A50" s="13" t="s">
        <v>176</v>
      </c>
      <c r="B50" s="18"/>
      <c r="C50" s="18"/>
      <c r="D50" s="18"/>
      <c r="E50" s="18"/>
      <c r="F50" s="18"/>
      <c r="G50" s="18"/>
      <c r="H50" s="18"/>
      <c r="I50" s="18"/>
      <c r="J50" s="18"/>
      <c r="K50" s="44"/>
      <c r="L50" s="18"/>
      <c r="M50" s="18"/>
      <c r="N50" s="18"/>
      <c r="O50" s="18"/>
      <c r="P50" s="18"/>
      <c r="Q50" s="18">
        <f t="shared" ref="Q50:S50" si="153">(80000/12)*Q$1</f>
        <v>33333.33333</v>
      </c>
      <c r="R50" s="18">
        <f t="shared" si="153"/>
        <v>20000</v>
      </c>
      <c r="S50" s="18">
        <f t="shared" si="153"/>
        <v>26666.66667</v>
      </c>
      <c r="T50" s="18">
        <f t="shared" si="151"/>
        <v>35000</v>
      </c>
      <c r="U50" s="26"/>
      <c r="V50" s="26"/>
    </row>
    <row r="51">
      <c r="A51" s="13" t="s">
        <v>176</v>
      </c>
      <c r="B51" s="18"/>
      <c r="C51" s="18"/>
      <c r="D51" s="18"/>
      <c r="E51" s="18"/>
      <c r="F51" s="18"/>
      <c r="G51" s="18"/>
      <c r="H51" s="18"/>
      <c r="I51" s="18"/>
      <c r="J51" s="18"/>
      <c r="K51" s="44"/>
      <c r="L51" s="18"/>
      <c r="M51" s="18"/>
      <c r="N51" s="18"/>
      <c r="O51" s="18"/>
      <c r="P51" s="18"/>
      <c r="Q51" s="18">
        <f t="shared" ref="Q51:S51" si="154">(80000/12)*Q$1</f>
        <v>33333.33333</v>
      </c>
      <c r="R51" s="18">
        <f t="shared" si="154"/>
        <v>20000</v>
      </c>
      <c r="S51" s="18">
        <f t="shared" si="154"/>
        <v>26666.66667</v>
      </c>
      <c r="T51" s="18">
        <f t="shared" si="151"/>
        <v>35000</v>
      </c>
      <c r="U51" s="26"/>
      <c r="V51" s="26"/>
    </row>
    <row r="52">
      <c r="A52" s="104" t="s">
        <v>21</v>
      </c>
      <c r="B52" s="105">
        <f t="shared" ref="B52:T52" si="155">SUM(B3:B51)</f>
        <v>41851</v>
      </c>
      <c r="C52" s="105">
        <f t="shared" si="155"/>
        <v>43642.16667</v>
      </c>
      <c r="D52" s="105">
        <f t="shared" si="155"/>
        <v>49433.33333</v>
      </c>
      <c r="E52" s="105">
        <f t="shared" si="155"/>
        <v>50100</v>
      </c>
      <c r="F52" s="105">
        <f t="shared" si="155"/>
        <v>48766.66667</v>
      </c>
      <c r="G52" s="105">
        <f t="shared" si="155"/>
        <v>237046.6667</v>
      </c>
      <c r="H52" s="105">
        <f t="shared" si="155"/>
        <v>470370.8333</v>
      </c>
      <c r="I52" s="105">
        <f t="shared" si="155"/>
        <v>327187.5</v>
      </c>
      <c r="J52" s="105">
        <f t="shared" si="155"/>
        <v>408220.8333</v>
      </c>
      <c r="K52" s="105">
        <f t="shared" si="155"/>
        <v>720213.5417</v>
      </c>
      <c r="L52" s="105">
        <f t="shared" si="155"/>
        <v>506078.125</v>
      </c>
      <c r="M52" s="105">
        <f t="shared" si="155"/>
        <v>639298.5417</v>
      </c>
      <c r="N52" s="105">
        <f t="shared" si="155"/>
        <v>1019065.885</v>
      </c>
      <c r="O52" s="105">
        <f t="shared" si="155"/>
        <v>733361.1979</v>
      </c>
      <c r="P52" s="105">
        <f t="shared" si="155"/>
        <v>882930.1354</v>
      </c>
      <c r="Q52" s="105">
        <f t="shared" si="155"/>
        <v>1270810.846</v>
      </c>
      <c r="R52" s="105">
        <f t="shared" si="155"/>
        <v>866383.4245</v>
      </c>
      <c r="S52" s="105">
        <f t="shared" si="155"/>
        <v>1042034.976</v>
      </c>
      <c r="T52" s="105">
        <f t="shared" si="155"/>
        <v>1334351.389</v>
      </c>
      <c r="U52" s="52"/>
      <c r="V52" s="52"/>
      <c r="W52" s="98"/>
      <c r="X52" s="98"/>
      <c r="Y52" s="98"/>
      <c r="Z52" s="98"/>
      <c r="AA52" s="98"/>
      <c r="AB52" s="98"/>
      <c r="AC52" s="98"/>
      <c r="AD52" s="98"/>
      <c r="AE52" s="98"/>
      <c r="AF52" s="98"/>
    </row>
    <row r="53">
      <c r="A53" s="73" t="s">
        <v>239</v>
      </c>
      <c r="B53" s="18"/>
      <c r="C53" s="18"/>
      <c r="D53" s="18"/>
      <c r="E53" s="18"/>
      <c r="F53" s="18"/>
      <c r="G53" s="18">
        <f>G52/4</f>
        <v>59261.66667</v>
      </c>
      <c r="H53" s="18">
        <f>H52/5</f>
        <v>94074.16667</v>
      </c>
      <c r="I53" s="18">
        <f>I52/3</f>
        <v>109062.5</v>
      </c>
      <c r="J53" s="18">
        <f>J52/4</f>
        <v>102055.2083</v>
      </c>
      <c r="K53" s="18">
        <f>K52/5</f>
        <v>144042.7083</v>
      </c>
      <c r="L53" s="18">
        <f>L52/3</f>
        <v>168692.7083</v>
      </c>
      <c r="M53" s="18">
        <f>M52/4</f>
        <v>159824.6354</v>
      </c>
      <c r="N53" s="18">
        <f>N52/5</f>
        <v>203813.1771</v>
      </c>
      <c r="O53" s="18">
        <f>O52/3</f>
        <v>244453.7326</v>
      </c>
      <c r="P53" s="18">
        <f>P52/4</f>
        <v>220732.5339</v>
      </c>
      <c r="Q53" s="18">
        <f>Q52/5</f>
        <v>254162.1693</v>
      </c>
      <c r="R53" s="18">
        <f>R52/3</f>
        <v>288794.4748</v>
      </c>
      <c r="S53" s="18">
        <f>S52/4</f>
        <v>260508.7439</v>
      </c>
      <c r="T53" s="18">
        <f>T52/5</f>
        <v>266870.2777</v>
      </c>
      <c r="U53" s="26"/>
      <c r="V53" s="26"/>
    </row>
    <row r="54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26"/>
      <c r="V54" s="26"/>
    </row>
    <row r="55">
      <c r="A55" s="108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10"/>
      <c r="V55" s="110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</row>
    <row r="56">
      <c r="E56" s="13"/>
      <c r="F56" s="46"/>
      <c r="G56" s="61" t="s">
        <v>163</v>
      </c>
      <c r="H56" s="61" t="s">
        <v>164</v>
      </c>
      <c r="J56" s="61" t="s">
        <v>165</v>
      </c>
      <c r="K56" s="61" t="s">
        <v>166</v>
      </c>
      <c r="M56" s="61" t="s">
        <v>167</v>
      </c>
      <c r="N56" s="61" t="s">
        <v>168</v>
      </c>
      <c r="P56" s="61" t="s">
        <v>240</v>
      </c>
      <c r="Q56" s="61" t="s">
        <v>241</v>
      </c>
      <c r="S56" s="61" t="s">
        <v>242</v>
      </c>
      <c r="T56" s="61" t="s">
        <v>243</v>
      </c>
      <c r="U56" s="18"/>
      <c r="V56" s="18"/>
    </row>
    <row r="57">
      <c r="F57" s="46" t="s">
        <v>244</v>
      </c>
      <c r="G57" s="18"/>
      <c r="H57" s="18"/>
      <c r="J57" s="18"/>
      <c r="K57" s="18"/>
      <c r="M57" s="18"/>
      <c r="N57" s="18"/>
      <c r="P57" s="18"/>
      <c r="Q57" s="18"/>
      <c r="S57" s="18"/>
      <c r="T57" s="18"/>
      <c r="U57" s="18"/>
      <c r="V57" s="18"/>
    </row>
    <row r="58">
      <c r="F58" s="13" t="s">
        <v>245</v>
      </c>
      <c r="G58" s="111"/>
      <c r="H58" s="2" t="s">
        <v>246</v>
      </c>
      <c r="J58" s="2"/>
      <c r="K58" s="2" t="s">
        <v>246</v>
      </c>
      <c r="M58" s="111"/>
      <c r="N58" s="2" t="s">
        <v>247</v>
      </c>
      <c r="P58" s="111"/>
      <c r="Q58" s="2" t="s">
        <v>248</v>
      </c>
      <c r="S58" s="111"/>
      <c r="T58" s="111"/>
      <c r="U58" s="18"/>
      <c r="V58" s="18"/>
    </row>
    <row r="59">
      <c r="F59" s="13" t="s">
        <v>249</v>
      </c>
      <c r="G59" s="2" t="s">
        <v>13</v>
      </c>
      <c r="H59" s="2" t="s">
        <v>250</v>
      </c>
      <c r="J59" s="2"/>
      <c r="K59" s="2" t="s">
        <v>251</v>
      </c>
      <c r="M59" s="2"/>
      <c r="N59" s="2" t="s">
        <v>251</v>
      </c>
      <c r="Q59" s="111"/>
      <c r="S59" s="111"/>
      <c r="T59" s="111"/>
      <c r="U59" s="18"/>
      <c r="V59" s="18"/>
    </row>
    <row r="60">
      <c r="F60" s="13" t="s">
        <v>252</v>
      </c>
      <c r="G60" s="111"/>
      <c r="H60" s="2" t="s">
        <v>253</v>
      </c>
      <c r="J60" s="111"/>
      <c r="K60" s="2" t="s">
        <v>254</v>
      </c>
      <c r="M60" s="111"/>
      <c r="N60" s="111"/>
      <c r="P60" s="111"/>
      <c r="Q60" s="111"/>
      <c r="S60" s="111"/>
      <c r="T60" s="111"/>
      <c r="U60" s="18"/>
      <c r="V60" s="18"/>
    </row>
    <row r="61">
      <c r="F61" s="13" t="s">
        <v>133</v>
      </c>
      <c r="G61" s="2" t="s">
        <v>255</v>
      </c>
      <c r="H61" s="2" t="s">
        <v>256</v>
      </c>
      <c r="J61" s="2" t="s">
        <v>13</v>
      </c>
      <c r="K61" s="2" t="s">
        <v>250</v>
      </c>
      <c r="M61" s="2" t="s">
        <v>257</v>
      </c>
      <c r="N61" s="2" t="s">
        <v>251</v>
      </c>
      <c r="P61" s="2"/>
      <c r="Q61" s="111"/>
      <c r="S61" s="111"/>
      <c r="T61" s="111"/>
      <c r="U61" s="18"/>
      <c r="V61" s="18"/>
    </row>
    <row r="62">
      <c r="F62" s="112" t="s">
        <v>233</v>
      </c>
      <c r="G62" s="2"/>
      <c r="H62" s="2"/>
      <c r="J62" s="111"/>
      <c r="K62" s="2" t="s">
        <v>253</v>
      </c>
      <c r="M62" s="111"/>
      <c r="N62" s="2" t="s">
        <v>253</v>
      </c>
      <c r="P62" s="111"/>
      <c r="Q62" s="111"/>
      <c r="S62" s="111"/>
      <c r="T62" s="111"/>
      <c r="U62" s="18"/>
      <c r="V62" s="18"/>
    </row>
    <row r="63">
      <c r="E63" s="113"/>
      <c r="F63" s="61"/>
      <c r="G63" s="61"/>
      <c r="H63" s="61"/>
      <c r="J63" s="61"/>
      <c r="K63" s="61"/>
      <c r="M63" s="61"/>
      <c r="N63" s="61"/>
      <c r="P63" s="61"/>
      <c r="Q63" s="61"/>
      <c r="S63" s="61"/>
      <c r="T63" s="61"/>
      <c r="U63" s="18"/>
      <c r="V63" s="18"/>
    </row>
    <row r="64">
      <c r="E64" s="113"/>
      <c r="F64" s="61"/>
      <c r="G64" s="61"/>
      <c r="H64" s="61"/>
      <c r="J64" s="61"/>
      <c r="K64" s="61"/>
      <c r="M64" s="61"/>
      <c r="N64" s="61"/>
      <c r="P64" s="61"/>
      <c r="Q64" s="61"/>
      <c r="S64" s="61"/>
      <c r="T64" s="61"/>
      <c r="U64" s="18"/>
      <c r="V64" s="18"/>
    </row>
    <row r="65">
      <c r="E65" s="113"/>
      <c r="F65" s="61"/>
      <c r="G65" s="61"/>
      <c r="H65" s="61"/>
      <c r="J65" s="61"/>
      <c r="K65" s="61"/>
      <c r="M65" s="61"/>
      <c r="N65" s="61"/>
      <c r="P65" s="61"/>
      <c r="Q65" s="61"/>
      <c r="S65" s="61"/>
      <c r="T65" s="61"/>
      <c r="U65" s="18"/>
      <c r="V65" s="18"/>
    </row>
    <row r="66">
      <c r="E66" s="113" t="s">
        <v>258</v>
      </c>
      <c r="F66" s="61"/>
      <c r="G66" s="61" t="s">
        <v>163</v>
      </c>
      <c r="H66" s="61" t="s">
        <v>164</v>
      </c>
      <c r="J66" s="61" t="s">
        <v>165</v>
      </c>
      <c r="K66" s="61" t="s">
        <v>166</v>
      </c>
      <c r="M66" s="61" t="s">
        <v>167</v>
      </c>
      <c r="N66" s="61" t="s">
        <v>168</v>
      </c>
      <c r="P66" s="61" t="s">
        <v>240</v>
      </c>
      <c r="Q66" s="61" t="s">
        <v>241</v>
      </c>
      <c r="S66" s="61" t="s">
        <v>242</v>
      </c>
      <c r="T66" s="61" t="s">
        <v>243</v>
      </c>
      <c r="U66" s="18"/>
      <c r="V66" s="18"/>
    </row>
    <row r="67">
      <c r="E67" s="73" t="s">
        <v>170</v>
      </c>
      <c r="F67" s="114"/>
      <c r="G67" s="114">
        <v>5000.0</v>
      </c>
      <c r="H67" s="114">
        <v>7000.0</v>
      </c>
      <c r="J67" s="114">
        <v>50000.0</v>
      </c>
      <c r="K67" s="114">
        <v>70000.0</v>
      </c>
      <c r="M67" s="114">
        <v>500000.0</v>
      </c>
      <c r="N67" s="114">
        <v>600000.0</v>
      </c>
      <c r="P67" s="114">
        <v>2000000.0</v>
      </c>
      <c r="Q67" s="114">
        <v>2500000.0</v>
      </c>
      <c r="S67" s="114">
        <v>4000000.0</v>
      </c>
      <c r="T67" s="114">
        <v>4000000.0</v>
      </c>
      <c r="U67" s="18"/>
      <c r="V67" s="18"/>
    </row>
    <row r="68">
      <c r="E68" s="115" t="s">
        <v>175</v>
      </c>
      <c r="F68" s="13"/>
      <c r="G68" s="13">
        <v>4.0</v>
      </c>
      <c r="H68" s="13">
        <v>4.0</v>
      </c>
      <c r="J68" s="13">
        <v>25.0</v>
      </c>
      <c r="K68" s="13">
        <v>25.0</v>
      </c>
      <c r="M68" s="13">
        <v>200.0</v>
      </c>
      <c r="N68" s="13">
        <v>200.0</v>
      </c>
      <c r="P68" s="13">
        <v>400.0</v>
      </c>
      <c r="Q68" s="13">
        <v>400.0</v>
      </c>
      <c r="S68" s="13">
        <v>800.0</v>
      </c>
      <c r="T68" s="13">
        <v>800.0</v>
      </c>
      <c r="U68" s="18"/>
      <c r="V68" s="18"/>
    </row>
    <row r="69">
      <c r="E69" s="46"/>
      <c r="U69" s="18"/>
      <c r="V69" s="18"/>
    </row>
    <row r="70">
      <c r="E70" s="46" t="s">
        <v>259</v>
      </c>
      <c r="U70" s="18"/>
      <c r="V70" s="18"/>
    </row>
    <row r="71">
      <c r="E71" s="13" t="s">
        <v>260</v>
      </c>
      <c r="F71" s="116"/>
      <c r="G71" s="116">
        <f t="shared" ref="G71:H71" si="156">0.02</f>
        <v>0.02</v>
      </c>
      <c r="H71" s="116">
        <f t="shared" si="156"/>
        <v>0.02</v>
      </c>
      <c r="J71" s="116">
        <f t="shared" ref="J71:K71" si="157">0.05</f>
        <v>0.05</v>
      </c>
      <c r="K71" s="116">
        <f t="shared" si="157"/>
        <v>0.05</v>
      </c>
      <c r="M71" s="116">
        <f t="shared" ref="M71:N71" si="158">0.05</f>
        <v>0.05</v>
      </c>
      <c r="N71" s="116">
        <f t="shared" si="158"/>
        <v>0.05</v>
      </c>
      <c r="P71" s="116">
        <f t="shared" ref="P71:Q71" si="159">0.025</f>
        <v>0.025</v>
      </c>
      <c r="Q71" s="116">
        <f t="shared" si="159"/>
        <v>0.025</v>
      </c>
      <c r="S71" s="116">
        <f t="shared" ref="S71:T71" si="160">0.015</f>
        <v>0.015</v>
      </c>
      <c r="T71" s="116">
        <f t="shared" si="160"/>
        <v>0.015</v>
      </c>
      <c r="U71" s="18"/>
      <c r="V71" s="18"/>
    </row>
    <row r="72">
      <c r="E72" s="13" t="s">
        <v>261</v>
      </c>
      <c r="F72" s="13"/>
      <c r="G72" s="13">
        <v>0.0</v>
      </c>
      <c r="H72" s="13">
        <v>0.0</v>
      </c>
      <c r="J72" s="13">
        <v>15.0</v>
      </c>
      <c r="K72" s="13">
        <v>50.0</v>
      </c>
      <c r="M72" s="13">
        <v>100.0</v>
      </c>
      <c r="N72" s="13">
        <v>150.0</v>
      </c>
      <c r="P72" s="13">
        <v>250.0</v>
      </c>
      <c r="Q72" s="13">
        <v>350.0</v>
      </c>
      <c r="S72" s="13">
        <v>350.0</v>
      </c>
      <c r="T72" s="13">
        <v>350.0</v>
      </c>
      <c r="U72" s="18"/>
      <c r="V72" s="18"/>
    </row>
    <row r="73">
      <c r="E73" s="104" t="s">
        <v>262</v>
      </c>
      <c r="F73" s="117"/>
      <c r="G73" s="117">
        <f t="shared" ref="G73:H73" si="161">G71*G67*G72</f>
        <v>0</v>
      </c>
      <c r="H73" s="117">
        <f t="shared" si="161"/>
        <v>0</v>
      </c>
      <c r="J73" s="117">
        <f t="shared" ref="J73:K73" si="162">J71*J67*J72</f>
        <v>37500</v>
      </c>
      <c r="K73" s="117">
        <f t="shared" si="162"/>
        <v>175000</v>
      </c>
      <c r="M73" s="117">
        <f t="shared" ref="M73:N73" si="163">M71*M67*M72</f>
        <v>2500000</v>
      </c>
      <c r="N73" s="117">
        <f t="shared" si="163"/>
        <v>4500000</v>
      </c>
      <c r="P73" s="117">
        <f t="shared" ref="P73:Q73" si="164">P71*P67*P72</f>
        <v>12500000</v>
      </c>
      <c r="Q73" s="117">
        <f t="shared" si="164"/>
        <v>21875000</v>
      </c>
      <c r="S73" s="117">
        <f t="shared" ref="S73:T73" si="165">S71*S67*S72</f>
        <v>21000000</v>
      </c>
      <c r="T73" s="117">
        <f t="shared" si="165"/>
        <v>21000000</v>
      </c>
      <c r="U73" s="18"/>
      <c r="V73" s="18"/>
    </row>
    <row r="74">
      <c r="E74" s="73" t="s">
        <v>265</v>
      </c>
      <c r="F74" s="121"/>
      <c r="G74" s="121">
        <v>0.0</v>
      </c>
      <c r="H74" s="121">
        <v>0.0</v>
      </c>
      <c r="J74" s="122">
        <f t="shared" ref="J74:K74" si="166">J73/J72</f>
        <v>2500</v>
      </c>
      <c r="K74" s="122">
        <f t="shared" si="166"/>
        <v>3500</v>
      </c>
      <c r="M74" s="122">
        <f t="shared" ref="M74:N74" si="167">M73/M72</f>
        <v>25000</v>
      </c>
      <c r="N74" s="122">
        <f t="shared" si="167"/>
        <v>30000</v>
      </c>
      <c r="P74" s="122">
        <f t="shared" ref="P74:Q74" si="168">P73/P72</f>
        <v>50000</v>
      </c>
      <c r="Q74" s="122">
        <f t="shared" si="168"/>
        <v>62500</v>
      </c>
      <c r="S74" s="122">
        <f t="shared" ref="S74:T74" si="169">S73/S72</f>
        <v>60000</v>
      </c>
      <c r="T74" s="122">
        <f t="shared" si="169"/>
        <v>60000</v>
      </c>
      <c r="U74" s="18"/>
      <c r="V74" s="18"/>
    </row>
    <row r="75">
      <c r="U75" s="18"/>
      <c r="V75" s="18"/>
    </row>
    <row r="76">
      <c r="E76" s="46" t="s">
        <v>266</v>
      </c>
      <c r="U76" s="18"/>
      <c r="V76" s="18"/>
    </row>
    <row r="77">
      <c r="E77" s="13" t="s">
        <v>267</v>
      </c>
      <c r="F77" s="13"/>
      <c r="G77" s="13">
        <v>0.0</v>
      </c>
      <c r="H77" s="13">
        <v>0.0</v>
      </c>
      <c r="J77" s="13">
        <v>10.0</v>
      </c>
      <c r="K77" s="13">
        <v>11.0</v>
      </c>
      <c r="M77" s="13">
        <v>50.0</v>
      </c>
      <c r="N77" s="13">
        <v>55.0</v>
      </c>
      <c r="P77" s="13">
        <v>200.0</v>
      </c>
      <c r="Q77" s="13">
        <v>220.0</v>
      </c>
      <c r="S77" s="13">
        <v>400.0</v>
      </c>
      <c r="T77" s="13">
        <v>400.0</v>
      </c>
      <c r="U77" s="18"/>
      <c r="V77" s="18"/>
    </row>
    <row r="78">
      <c r="E78" s="13" t="s">
        <v>268</v>
      </c>
      <c r="F78" s="68"/>
      <c r="G78" s="68">
        <v>10000.0</v>
      </c>
      <c r="H78" s="68">
        <v>10000.0</v>
      </c>
      <c r="J78" s="68">
        <v>10000.0</v>
      </c>
      <c r="K78" s="68">
        <v>10000.0</v>
      </c>
      <c r="M78" s="68">
        <v>10000.0</v>
      </c>
      <c r="N78" s="68">
        <v>10000.0</v>
      </c>
      <c r="P78" s="68">
        <v>10000.0</v>
      </c>
      <c r="Q78" s="68">
        <v>10000.0</v>
      </c>
      <c r="S78" s="68">
        <v>10000.0</v>
      </c>
      <c r="T78" s="68">
        <v>10000.0</v>
      </c>
      <c r="U78" s="18"/>
      <c r="V78" s="18"/>
    </row>
    <row r="79">
      <c r="E79" s="104" t="s">
        <v>179</v>
      </c>
      <c r="F79" s="98"/>
      <c r="G79" s="52">
        <f t="shared" ref="G79:H79" si="170">G77*G78</f>
        <v>0</v>
      </c>
      <c r="H79" s="52">
        <f t="shared" si="170"/>
        <v>0</v>
      </c>
      <c r="J79" s="52">
        <f t="shared" ref="J79:K79" si="171">J77*J78</f>
        <v>100000</v>
      </c>
      <c r="K79" s="52">
        <f t="shared" si="171"/>
        <v>110000</v>
      </c>
      <c r="M79" s="52">
        <f t="shared" ref="M79:N79" si="172">M77*M78</f>
        <v>500000</v>
      </c>
      <c r="N79" s="52">
        <f t="shared" si="172"/>
        <v>550000</v>
      </c>
      <c r="P79" s="52">
        <f t="shared" ref="P79:Q79" si="173">P77*P78</f>
        <v>2000000</v>
      </c>
      <c r="Q79" s="52">
        <f t="shared" si="173"/>
        <v>2200000</v>
      </c>
      <c r="S79" s="52">
        <f t="shared" ref="S79:T79" si="174">S77*S78</f>
        <v>4000000</v>
      </c>
      <c r="T79" s="52">
        <f t="shared" si="174"/>
        <v>4000000</v>
      </c>
      <c r="U79" s="18"/>
      <c r="V79" s="18"/>
    </row>
    <row r="80">
      <c r="U80" s="18"/>
      <c r="V80" s="18"/>
    </row>
    <row r="81">
      <c r="E81" s="46" t="s">
        <v>269</v>
      </c>
      <c r="U81" s="18"/>
      <c r="V81" s="18"/>
    </row>
    <row r="82">
      <c r="E82" s="13" t="s">
        <v>121</v>
      </c>
      <c r="F82" s="68"/>
      <c r="G82" s="68">
        <v>0.5</v>
      </c>
      <c r="H82" s="68">
        <v>0.5</v>
      </c>
      <c r="J82" s="68">
        <v>0.5</v>
      </c>
      <c r="K82" s="68">
        <v>0.5</v>
      </c>
      <c r="M82" s="68">
        <v>0.5</v>
      </c>
      <c r="N82" s="68">
        <v>0.5</v>
      </c>
      <c r="P82" s="68">
        <v>0.5</v>
      </c>
      <c r="Q82" s="68">
        <v>0.5</v>
      </c>
      <c r="S82" s="68">
        <v>0.5</v>
      </c>
      <c r="T82" s="68">
        <v>0.5</v>
      </c>
      <c r="U82" s="18"/>
      <c r="V82" s="18"/>
    </row>
    <row r="83">
      <c r="E83" s="13" t="s">
        <v>270</v>
      </c>
      <c r="F83" s="13"/>
      <c r="G83" s="13">
        <v>0.0</v>
      </c>
      <c r="H83" s="13">
        <v>10.0</v>
      </c>
      <c r="J83" s="13">
        <v>12.0</v>
      </c>
      <c r="K83" s="13">
        <v>15.0</v>
      </c>
      <c r="M83" s="13">
        <v>15.0</v>
      </c>
      <c r="N83" s="13">
        <v>15.0</v>
      </c>
      <c r="P83" s="13">
        <v>15.0</v>
      </c>
      <c r="Q83" s="13">
        <v>15.0</v>
      </c>
      <c r="S83" s="13">
        <v>15.0</v>
      </c>
      <c r="T83" s="13">
        <v>15.0</v>
      </c>
      <c r="U83" s="18"/>
      <c r="V83" s="18"/>
    </row>
    <row r="84">
      <c r="E84" s="104" t="s">
        <v>179</v>
      </c>
      <c r="F84" s="98"/>
      <c r="G84" s="52">
        <f t="shared" ref="G84:H84" si="175">G82*G83*G67</f>
        <v>0</v>
      </c>
      <c r="H84" s="52">
        <f t="shared" si="175"/>
        <v>35000</v>
      </c>
      <c r="J84" s="52">
        <f t="shared" ref="J84:K84" si="176">J82*J83*J67</f>
        <v>300000</v>
      </c>
      <c r="K84" s="52">
        <f t="shared" si="176"/>
        <v>525000</v>
      </c>
      <c r="M84" s="52">
        <f t="shared" ref="M84:N84" si="177">M82*M83*M67</f>
        <v>3750000</v>
      </c>
      <c r="N84" s="52">
        <f t="shared" si="177"/>
        <v>4500000</v>
      </c>
      <c r="P84" s="52">
        <f t="shared" ref="P84:Q84" si="178">P82*P83*P67</f>
        <v>15000000</v>
      </c>
      <c r="Q84" s="52">
        <f t="shared" si="178"/>
        <v>18750000</v>
      </c>
      <c r="S84" s="52">
        <f t="shared" ref="S84:T84" si="179">S82*S83*S67</f>
        <v>30000000</v>
      </c>
      <c r="T84" s="52">
        <f t="shared" si="179"/>
        <v>30000000</v>
      </c>
      <c r="U84" s="18"/>
      <c r="V84" s="18"/>
    </row>
    <row r="85">
      <c r="U85" s="18"/>
      <c r="V85" s="18"/>
    </row>
    <row r="86">
      <c r="E86" s="46" t="s">
        <v>271</v>
      </c>
      <c r="U86" s="18"/>
      <c r="V86" s="18"/>
    </row>
    <row r="87">
      <c r="E87" s="104" t="s">
        <v>179</v>
      </c>
      <c r="M87" s="123">
        <v>500000.0</v>
      </c>
      <c r="N87" s="98"/>
      <c r="P87" s="124">
        <v>1000000.0</v>
      </c>
      <c r="Q87" s="98"/>
      <c r="S87" s="124">
        <v>5000000.0</v>
      </c>
      <c r="U87" s="18"/>
      <c r="V87" s="18"/>
    </row>
    <row r="88">
      <c r="U88" s="18"/>
      <c r="V88" s="18"/>
    </row>
    <row r="89">
      <c r="E89" s="46" t="s">
        <v>272</v>
      </c>
      <c r="U89" s="18"/>
      <c r="V89" s="18"/>
    </row>
    <row r="90">
      <c r="E90" s="104" t="s">
        <v>179</v>
      </c>
      <c r="S90" s="123">
        <v>5000000.0</v>
      </c>
      <c r="U90" s="18"/>
      <c r="V90" s="18"/>
    </row>
    <row r="91">
      <c r="B91" s="18"/>
      <c r="C91" s="18"/>
      <c r="D91" s="18"/>
      <c r="E91" s="18"/>
      <c r="F91" s="18"/>
      <c r="G91" s="18"/>
      <c r="H91" s="18"/>
      <c r="J91" s="18"/>
      <c r="K91" s="18"/>
      <c r="M91" s="18"/>
      <c r="N91" s="18"/>
      <c r="P91" s="18"/>
      <c r="Q91" s="18"/>
      <c r="S91" s="18"/>
      <c r="T91" s="18"/>
      <c r="U91" s="18"/>
      <c r="V91" s="18"/>
    </row>
    <row r="95">
      <c r="E95" s="2" t="s">
        <v>273</v>
      </c>
      <c r="F95" s="13" t="s">
        <v>239</v>
      </c>
      <c r="G95" s="2" t="s">
        <v>274</v>
      </c>
      <c r="H95" s="13" t="s">
        <v>239</v>
      </c>
    </row>
    <row r="96">
      <c r="C96" s="2" t="s">
        <v>275</v>
      </c>
      <c r="E96" s="44">
        <v>505000.0</v>
      </c>
      <c r="F96" s="18">
        <f t="shared" ref="F96:F98" si="180">E96/12</f>
        <v>42083.33333</v>
      </c>
      <c r="G96" s="106"/>
      <c r="H96" s="106"/>
    </row>
    <row r="97">
      <c r="C97" s="2" t="s">
        <v>276</v>
      </c>
      <c r="E97" s="44">
        <v>590000.0</v>
      </c>
      <c r="F97" s="18">
        <f t="shared" si="180"/>
        <v>49166.66667</v>
      </c>
      <c r="G97" s="18">
        <f>(SUM(B3:G13)*1.25)+'Old Bus. Model'!B50+SUM('Old Bus. Model'!B51:B54)</f>
        <v>645358.125</v>
      </c>
      <c r="H97" s="18">
        <f>G97/9</f>
        <v>71706.45833</v>
      </c>
    </row>
    <row r="98">
      <c r="B98" s="18"/>
      <c r="C98" s="2" t="s">
        <v>277</v>
      </c>
      <c r="E98" s="18">
        <f>((SUM(H3:J13)*1.25)+(2250*12)+'Old Bus. Model'!C50+'Old Bus. Model'!C52+('Old Bus. Model'!C55/10))*0.9</f>
        <v>906529.1047</v>
      </c>
      <c r="F98" s="18">
        <f t="shared" si="180"/>
        <v>75544.09206</v>
      </c>
      <c r="G98" s="18">
        <f>(SUM(H3:J21)*1.25)+'Old Bus. Model'!C50+'Old Bus. Model'!C51+'Old Bus. Model'!C52+'Old Bus. Model'!C53+'Old Bus. Model'!C54+'Old Bus. Model'!C55</f>
        <v>1847050.816</v>
      </c>
      <c r="H98" s="18">
        <f>G98/12</f>
        <v>153920.9014</v>
      </c>
      <c r="I98" s="18"/>
      <c r="J98" s="18"/>
      <c r="K98" s="18"/>
      <c r="M98" s="18"/>
      <c r="N98" s="18"/>
      <c r="P98" s="18"/>
      <c r="Q98" s="18"/>
      <c r="S98" s="18"/>
      <c r="T98" s="18"/>
      <c r="U98" s="18"/>
      <c r="V98" s="18"/>
    </row>
    <row r="99">
      <c r="B99" s="18"/>
      <c r="C99" s="2"/>
      <c r="E99" s="18"/>
      <c r="F99" s="18"/>
      <c r="G99" s="18"/>
      <c r="H99" s="18"/>
      <c r="I99" s="18"/>
      <c r="J99" s="18"/>
      <c r="K99" s="18"/>
      <c r="M99" s="18"/>
      <c r="N99" s="18"/>
      <c r="P99" s="18"/>
      <c r="Q99" s="18"/>
      <c r="S99" s="18"/>
      <c r="T99" s="18"/>
      <c r="U99" s="18"/>
      <c r="V99" s="18"/>
    </row>
    <row r="100">
      <c r="B100" s="18"/>
      <c r="C100" s="2"/>
      <c r="E100" s="18"/>
      <c r="F100" s="18"/>
      <c r="G100" s="18"/>
      <c r="H100" s="18"/>
      <c r="I100" s="18"/>
      <c r="J100" s="18"/>
      <c r="K100" s="18"/>
      <c r="M100" s="18"/>
      <c r="N100" s="18"/>
      <c r="P100" s="18"/>
      <c r="Q100" s="18"/>
      <c r="S100" s="18"/>
      <c r="T100" s="18"/>
      <c r="U100" s="18"/>
      <c r="V100" s="18"/>
    </row>
    <row r="101">
      <c r="B101" s="18"/>
      <c r="C101" s="2"/>
      <c r="E101" s="18"/>
      <c r="F101" s="18"/>
      <c r="G101" s="18"/>
      <c r="H101" s="18"/>
      <c r="I101" s="18"/>
      <c r="J101" s="18"/>
      <c r="K101" s="18"/>
      <c r="M101" s="18"/>
      <c r="N101" s="18"/>
      <c r="P101" s="18"/>
      <c r="Q101" s="18"/>
      <c r="S101" s="18"/>
      <c r="T101" s="18"/>
      <c r="U101" s="18"/>
      <c r="V101" s="18"/>
    </row>
    <row r="102">
      <c r="B102" s="18"/>
      <c r="C102" s="2"/>
      <c r="E102" s="18"/>
      <c r="F102" s="18"/>
      <c r="G102" s="18"/>
      <c r="H102" s="18"/>
      <c r="I102" s="18"/>
      <c r="J102" s="18"/>
      <c r="K102" s="18"/>
      <c r="M102" s="18"/>
      <c r="N102" s="18"/>
      <c r="P102" s="18"/>
      <c r="Q102" s="18"/>
      <c r="S102" s="18"/>
      <c r="T102" s="18"/>
      <c r="U102" s="18"/>
      <c r="V102" s="18"/>
    </row>
    <row r="103">
      <c r="B103" s="18"/>
      <c r="C103" s="2"/>
      <c r="E103" s="18"/>
      <c r="F103" s="18"/>
      <c r="G103" s="18"/>
      <c r="H103" s="18"/>
      <c r="I103" s="18"/>
      <c r="J103" s="18"/>
      <c r="K103" s="18"/>
      <c r="M103" s="18"/>
      <c r="N103" s="18"/>
      <c r="P103" s="18"/>
      <c r="Q103" s="18"/>
      <c r="S103" s="18"/>
      <c r="T103" s="18"/>
      <c r="U103" s="18"/>
      <c r="V103" s="18"/>
    </row>
    <row r="104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M104" s="18"/>
      <c r="N104" s="18"/>
      <c r="P104" s="18"/>
      <c r="Q104" s="18"/>
      <c r="S104" s="18"/>
      <c r="T104" s="18"/>
      <c r="U104" s="18"/>
      <c r="V104" s="18"/>
    </row>
    <row r="10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M105" s="18"/>
      <c r="N105" s="18"/>
      <c r="P105" s="18"/>
      <c r="Q105" s="18"/>
      <c r="S105" s="18"/>
      <c r="T105" s="18"/>
      <c r="U105" s="18"/>
      <c r="V105" s="18"/>
    </row>
    <row r="106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M106" s="26"/>
      <c r="N106" s="26"/>
      <c r="P106" s="26"/>
      <c r="Q106" s="26"/>
      <c r="S106" s="26"/>
      <c r="T106" s="26"/>
      <c r="U106" s="26"/>
      <c r="V106" s="26"/>
    </row>
    <row r="107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M107" s="26"/>
      <c r="N107" s="26"/>
      <c r="P107" s="26"/>
      <c r="Q107" s="26"/>
      <c r="S107" s="26"/>
      <c r="T107" s="26"/>
      <c r="U107" s="26"/>
      <c r="V107" s="26"/>
    </row>
    <row r="108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M108" s="26"/>
      <c r="N108" s="26"/>
      <c r="P108" s="26"/>
      <c r="Q108" s="26"/>
      <c r="S108" s="26"/>
      <c r="T108" s="26"/>
      <c r="U108" s="26"/>
      <c r="V108" s="26"/>
    </row>
    <row r="109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M109" s="26"/>
      <c r="N109" s="26"/>
      <c r="P109" s="26"/>
      <c r="Q109" s="26"/>
      <c r="S109" s="26"/>
      <c r="T109" s="26"/>
      <c r="U109" s="26"/>
      <c r="V109" s="26"/>
    </row>
    <row r="110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M110" s="26"/>
      <c r="N110" s="26"/>
      <c r="P110" s="26"/>
      <c r="Q110" s="26"/>
      <c r="S110" s="26"/>
      <c r="T110" s="26"/>
      <c r="U110" s="26"/>
      <c r="V110" s="26"/>
    </row>
    <row r="111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M111" s="26"/>
      <c r="N111" s="26"/>
      <c r="P111" s="26"/>
      <c r="Q111" s="26"/>
      <c r="S111" s="26"/>
      <c r="T111" s="26"/>
      <c r="U111" s="26"/>
      <c r="V111" s="26"/>
    </row>
    <row r="11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M112" s="26"/>
      <c r="N112" s="26"/>
      <c r="P112" s="26"/>
      <c r="Q112" s="26"/>
      <c r="S112" s="26"/>
      <c r="T112" s="26"/>
      <c r="U112" s="26"/>
      <c r="V112" s="26"/>
    </row>
    <row r="113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M113" s="26"/>
      <c r="N113" s="26"/>
      <c r="P113" s="26"/>
      <c r="Q113" s="26"/>
      <c r="S113" s="26"/>
      <c r="T113" s="26"/>
      <c r="U113" s="26"/>
      <c r="V113" s="26"/>
    </row>
    <row r="114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M114" s="26"/>
      <c r="N114" s="26"/>
      <c r="P114" s="26"/>
      <c r="Q114" s="26"/>
      <c r="S114" s="26"/>
      <c r="T114" s="26"/>
      <c r="U114" s="26"/>
      <c r="V114" s="26"/>
    </row>
    <row r="11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M115" s="26"/>
      <c r="N115" s="26"/>
      <c r="P115" s="26"/>
      <c r="Q115" s="26"/>
      <c r="S115" s="26"/>
      <c r="T115" s="26"/>
      <c r="U115" s="26"/>
      <c r="V115" s="26"/>
    </row>
    <row r="116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P116" s="26"/>
      <c r="Q116" s="26"/>
      <c r="S116" s="26"/>
      <c r="T116" s="26"/>
      <c r="U116" s="26"/>
      <c r="V116" s="26"/>
    </row>
    <row r="117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P117" s="26"/>
      <c r="Q117" s="26"/>
      <c r="S117" s="26"/>
      <c r="T117" s="26"/>
      <c r="U117" s="26"/>
      <c r="V117" s="26"/>
    </row>
    <row r="118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P118" s="26"/>
      <c r="Q118" s="26"/>
      <c r="S118" s="26"/>
      <c r="T118" s="26"/>
      <c r="U118" s="26"/>
      <c r="V118" s="26"/>
    </row>
    <row r="119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P119" s="26"/>
      <c r="Q119" s="26"/>
      <c r="S119" s="26"/>
      <c r="T119" s="26"/>
      <c r="U119" s="26"/>
      <c r="V119" s="26"/>
    </row>
    <row r="120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P120" s="26"/>
      <c r="Q120" s="26"/>
      <c r="S120" s="26"/>
      <c r="T120" s="26"/>
      <c r="U120" s="26"/>
      <c r="V120" s="26"/>
    </row>
    <row r="121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P121" s="26"/>
      <c r="Q121" s="26"/>
      <c r="S121" s="26"/>
      <c r="T121" s="26"/>
      <c r="U121" s="26"/>
      <c r="V121" s="26"/>
    </row>
    <row r="12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P122" s="26"/>
      <c r="Q122" s="26"/>
      <c r="S122" s="26"/>
      <c r="T122" s="26"/>
      <c r="U122" s="26"/>
      <c r="V122" s="26"/>
    </row>
    <row r="123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P123" s="26"/>
      <c r="Q123" s="26"/>
      <c r="S123" s="26"/>
      <c r="T123" s="26"/>
      <c r="U123" s="26"/>
      <c r="V123" s="26"/>
    </row>
    <row r="124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P124" s="26"/>
      <c r="Q124" s="26"/>
      <c r="R124" s="26"/>
      <c r="S124" s="26"/>
      <c r="T124" s="26"/>
      <c r="U124" s="26"/>
      <c r="V124" s="26"/>
    </row>
  </sheetData>
  <mergeCells count="8">
    <mergeCell ref="C101:D101"/>
    <mergeCell ref="C102:D102"/>
    <mergeCell ref="C103:D103"/>
    <mergeCell ref="C97:D97"/>
    <mergeCell ref="C98:D98"/>
    <mergeCell ref="C99:D99"/>
    <mergeCell ref="C100:D100"/>
    <mergeCell ref="C96:D96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3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6" t="s">
        <v>19</v>
      </c>
      <c r="N1" s="7" t="s">
        <v>21</v>
      </c>
      <c r="O1" s="14">
        <v>43119.0</v>
      </c>
      <c r="P1" s="14">
        <v>43150.0</v>
      </c>
      <c r="Q1" s="14">
        <v>43178.0</v>
      </c>
      <c r="R1" s="14">
        <v>43209.0</v>
      </c>
      <c r="S1" s="14">
        <v>43239.0</v>
      </c>
    </row>
    <row r="2">
      <c r="A2" s="19" t="s">
        <v>49</v>
      </c>
      <c r="B2" s="20"/>
      <c r="C2" s="20"/>
      <c r="D2" s="20"/>
      <c r="E2" s="21">
        <v>1500.0</v>
      </c>
      <c r="F2" s="21">
        <v>1500.0</v>
      </c>
      <c r="G2" s="21">
        <v>2500.0</v>
      </c>
      <c r="H2" s="21">
        <v>2500.0</v>
      </c>
      <c r="I2" s="21">
        <v>0.0</v>
      </c>
      <c r="J2" s="21">
        <v>0.0</v>
      </c>
      <c r="K2" s="20"/>
      <c r="L2" s="21">
        <v>1000.0</v>
      </c>
      <c r="M2" s="21">
        <v>1000.0</v>
      </c>
      <c r="N2" s="23">
        <f t="shared" ref="N2:N7" si="1">SUM(B2:M2)</f>
        <v>10000</v>
      </c>
    </row>
    <row r="3">
      <c r="A3" s="24" t="s">
        <v>51</v>
      </c>
      <c r="B3" s="20"/>
      <c r="C3" s="20"/>
      <c r="D3" s="20"/>
      <c r="E3" s="25"/>
      <c r="F3" s="27">
        <v>3000.0</v>
      </c>
      <c r="G3" s="27">
        <v>3000.0</v>
      </c>
      <c r="H3" s="27">
        <v>3000.0</v>
      </c>
      <c r="I3" s="27">
        <v>3000.0</v>
      </c>
      <c r="J3" s="27">
        <v>3000.0</v>
      </c>
      <c r="K3" s="20"/>
      <c r="L3" s="21">
        <v>1000.0</v>
      </c>
      <c r="M3" s="21">
        <v>1000.0</v>
      </c>
      <c r="N3" s="23">
        <f t="shared" si="1"/>
        <v>17000</v>
      </c>
    </row>
    <row r="4">
      <c r="A4" s="29" t="s">
        <v>56</v>
      </c>
      <c r="B4" s="20"/>
      <c r="C4" s="20"/>
      <c r="D4" s="20"/>
      <c r="E4" s="25"/>
      <c r="F4" s="25">
        <v>2000.0</v>
      </c>
      <c r="G4" s="25">
        <v>2000.0</v>
      </c>
      <c r="H4" s="25">
        <v>2000.0</v>
      </c>
      <c r="I4" s="27">
        <v>2000.0</v>
      </c>
      <c r="J4" s="20"/>
      <c r="K4" s="20"/>
      <c r="L4" s="20"/>
      <c r="M4" s="31"/>
      <c r="N4" s="33">
        <f t="shared" si="1"/>
        <v>8000</v>
      </c>
    </row>
    <row r="5">
      <c r="A5" s="34" t="s">
        <v>57</v>
      </c>
      <c r="B5" s="20"/>
      <c r="C5" s="20"/>
      <c r="D5" s="20"/>
      <c r="E5" s="21">
        <v>100.0</v>
      </c>
      <c r="F5" s="20"/>
      <c r="G5" s="21">
        <v>500.0</v>
      </c>
      <c r="H5" s="21">
        <v>500.0</v>
      </c>
      <c r="I5" s="27">
        <v>4000.0</v>
      </c>
      <c r="J5" s="21">
        <v>3000.0</v>
      </c>
      <c r="K5" s="20"/>
      <c r="L5" s="20"/>
      <c r="M5" s="31"/>
      <c r="N5" s="23">
        <f t="shared" si="1"/>
        <v>8100</v>
      </c>
    </row>
    <row r="6">
      <c r="A6" s="24" t="s">
        <v>58</v>
      </c>
      <c r="B6" s="20"/>
      <c r="C6" s="20"/>
      <c r="D6" s="20"/>
      <c r="E6" s="20"/>
      <c r="F6" s="20"/>
      <c r="G6" s="20"/>
      <c r="H6" s="21">
        <v>2500.0</v>
      </c>
      <c r="I6" s="27">
        <v>6000.0</v>
      </c>
      <c r="J6" s="27">
        <v>2500.0</v>
      </c>
      <c r="K6" s="27">
        <v>500.0</v>
      </c>
      <c r="L6" s="25">
        <v>0.0</v>
      </c>
      <c r="M6" s="35">
        <v>0.0</v>
      </c>
      <c r="N6" s="37">
        <f t="shared" si="1"/>
        <v>11500</v>
      </c>
    </row>
    <row r="7">
      <c r="A7" s="38" t="s">
        <v>21</v>
      </c>
      <c r="B7" s="40">
        <f t="shared" ref="B7:F7" si="2">SUM(B2:B6)</f>
        <v>0</v>
      </c>
      <c r="C7" s="40">
        <f t="shared" si="2"/>
        <v>0</v>
      </c>
      <c r="D7" s="40">
        <f t="shared" si="2"/>
        <v>0</v>
      </c>
      <c r="E7" s="40">
        <f t="shared" si="2"/>
        <v>1600</v>
      </c>
      <c r="F7" s="40">
        <f t="shared" si="2"/>
        <v>6500</v>
      </c>
      <c r="G7" s="40">
        <f t="shared" ref="G7:J7" si="3">SUM(G3:G6)</f>
        <v>5500</v>
      </c>
      <c r="H7" s="40">
        <f t="shared" si="3"/>
        <v>8000</v>
      </c>
      <c r="I7" s="40">
        <f t="shared" si="3"/>
        <v>15000</v>
      </c>
      <c r="J7" s="40">
        <f t="shared" si="3"/>
        <v>8500</v>
      </c>
      <c r="K7" s="40">
        <f t="shared" ref="K7:M7" si="4">SUM(K2:K6)</f>
        <v>500</v>
      </c>
      <c r="L7" s="40">
        <f t="shared" si="4"/>
        <v>2000</v>
      </c>
      <c r="M7" s="43">
        <f t="shared" si="4"/>
        <v>2000</v>
      </c>
      <c r="N7" s="37">
        <f t="shared" si="1"/>
        <v>49600</v>
      </c>
    </row>
    <row r="8">
      <c r="M8" s="46"/>
    </row>
    <row r="10">
      <c r="A10" s="13" t="s">
        <v>76</v>
      </c>
    </row>
    <row r="11">
      <c r="A11" s="19" t="s">
        <v>49</v>
      </c>
      <c r="B11" s="47"/>
      <c r="C11" s="47"/>
      <c r="D11" s="47"/>
      <c r="E11" s="48"/>
      <c r="F11" s="48">
        <v>1500.0</v>
      </c>
      <c r="G11" s="48"/>
      <c r="H11" s="48"/>
      <c r="I11" s="48">
        <v>1500.0</v>
      </c>
      <c r="J11" s="48">
        <v>0.0</v>
      </c>
      <c r="K11" s="47"/>
      <c r="L11" s="48">
        <v>1000.0</v>
      </c>
      <c r="M11" s="48">
        <v>1000.0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24" t="s">
        <v>51</v>
      </c>
      <c r="B12" s="20"/>
      <c r="C12" s="20"/>
      <c r="D12" s="20"/>
      <c r="E12" s="25"/>
      <c r="F12" s="27"/>
      <c r="G12" s="27"/>
      <c r="H12" s="27"/>
      <c r="I12" s="27">
        <v>10500.0</v>
      </c>
      <c r="J12" s="27"/>
      <c r="K12" s="20"/>
      <c r="L12" s="21">
        <v>1000.0</v>
      </c>
      <c r="M12" s="21">
        <v>1000.0</v>
      </c>
    </row>
    <row r="13">
      <c r="A13" s="29" t="s">
        <v>56</v>
      </c>
      <c r="B13" s="20"/>
      <c r="C13" s="20"/>
      <c r="D13" s="20"/>
      <c r="E13" s="25"/>
      <c r="F13" s="25"/>
      <c r="G13" s="25"/>
      <c r="H13" s="25"/>
      <c r="I13" s="27"/>
      <c r="J13" s="20"/>
      <c r="K13" s="20"/>
      <c r="L13" s="20"/>
      <c r="M13" s="31"/>
    </row>
    <row r="14">
      <c r="A14" s="34" t="s">
        <v>57</v>
      </c>
      <c r="B14" s="20"/>
      <c r="C14" s="20"/>
      <c r="D14" s="20"/>
      <c r="E14" s="21"/>
      <c r="F14" s="20"/>
      <c r="G14" s="21"/>
      <c r="H14" s="21"/>
      <c r="I14" s="27">
        <v>500.0</v>
      </c>
      <c r="J14" s="21">
        <v>500.0</v>
      </c>
      <c r="K14" s="20"/>
      <c r="L14" s="20"/>
      <c r="M14" s="31"/>
    </row>
    <row r="15">
      <c r="A15" s="24" t="s">
        <v>58</v>
      </c>
      <c r="B15" s="20"/>
      <c r="C15" s="20"/>
      <c r="D15" s="20"/>
      <c r="E15" s="20"/>
      <c r="F15" s="20"/>
      <c r="G15" s="21">
        <v>350.0</v>
      </c>
      <c r="H15" s="21">
        <v>2500.0</v>
      </c>
      <c r="I15" s="27">
        <v>6000.0</v>
      </c>
      <c r="J15" s="27">
        <v>2500.0</v>
      </c>
      <c r="K15" s="27">
        <v>500.0</v>
      </c>
      <c r="L15" s="25">
        <v>0.0</v>
      </c>
      <c r="M15" s="35">
        <v>0.0</v>
      </c>
    </row>
    <row r="16">
      <c r="A16" s="50" t="s">
        <v>77</v>
      </c>
      <c r="B16" s="40"/>
      <c r="C16" s="40"/>
      <c r="D16" s="40"/>
      <c r="E16" s="40"/>
      <c r="F16" s="40"/>
      <c r="G16" s="40"/>
      <c r="H16" s="40"/>
      <c r="I16" s="51">
        <v>7000.0</v>
      </c>
      <c r="J16" s="40"/>
      <c r="K16" s="40"/>
      <c r="L16" s="40"/>
      <c r="M16" s="43"/>
    </row>
    <row r="17">
      <c r="A17" s="38" t="s">
        <v>21</v>
      </c>
      <c r="B17" s="40">
        <f t="shared" ref="B17:F17" si="5">SUM(B11:B15)</f>
        <v>0</v>
      </c>
      <c r="C17" s="40">
        <f t="shared" si="5"/>
        <v>0</v>
      </c>
      <c r="D17" s="40">
        <f t="shared" si="5"/>
        <v>0</v>
      </c>
      <c r="E17" s="40">
        <f t="shared" si="5"/>
        <v>0</v>
      </c>
      <c r="F17" s="40">
        <f t="shared" si="5"/>
        <v>1500</v>
      </c>
      <c r="G17" s="40">
        <f t="shared" ref="G17:H17" si="6">SUM(G12:G15)</f>
        <v>350</v>
      </c>
      <c r="H17" s="40">
        <f t="shared" si="6"/>
        <v>2500</v>
      </c>
      <c r="I17" s="40">
        <f>SUM(I11:I16)</f>
        <v>25500</v>
      </c>
      <c r="J17" s="40">
        <f>SUM(J12:J15)</f>
        <v>3000</v>
      </c>
      <c r="K17" s="40">
        <f t="shared" ref="K17:M17" si="7">SUM(K11:K15)</f>
        <v>500</v>
      </c>
      <c r="L17" s="40">
        <f t="shared" si="7"/>
        <v>2000</v>
      </c>
      <c r="M17" s="43">
        <f t="shared" si="7"/>
        <v>2000</v>
      </c>
      <c r="N17" s="52">
        <f>SUM(B17:M17)</f>
        <v>37350</v>
      </c>
    </row>
  </sheetData>
  <printOptions gridLines="1" horizontalCentered="1"/>
  <pageMargins bottom="0.75" footer="0.0" header="0.0" left="0.25" right="0.25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6" max="6" width="23.43"/>
    <col customWidth="1" min="7" max="7" width="19.57"/>
    <col customWidth="1" min="8" max="8" width="19.14"/>
    <col customWidth="1" min="9" max="10" width="19.57"/>
    <col customWidth="1" min="11" max="11" width="19.43"/>
    <col customWidth="1" min="12" max="12" width="19.14"/>
    <col customWidth="1" min="13" max="13" width="18.57"/>
    <col customWidth="1" min="14" max="14" width="17.0"/>
    <col customWidth="1" min="15" max="15" width="15.14"/>
    <col customWidth="1" min="16" max="16" width="16.71"/>
  </cols>
  <sheetData>
    <row r="1">
      <c r="A1" s="2" t="s">
        <v>98</v>
      </c>
      <c r="B1" s="13" t="s">
        <v>99</v>
      </c>
      <c r="E1" s="13" t="s">
        <v>101</v>
      </c>
      <c r="F1" s="13" t="s">
        <v>102</v>
      </c>
      <c r="H1" s="13" t="s">
        <v>103</v>
      </c>
      <c r="J1" s="13" t="s">
        <v>104</v>
      </c>
      <c r="K1" s="13" t="s">
        <v>105</v>
      </c>
    </row>
    <row r="2">
      <c r="A2" s="61" t="s">
        <v>106</v>
      </c>
      <c r="B2" s="46" t="s">
        <v>107</v>
      </c>
      <c r="E2" s="13" t="s">
        <v>108</v>
      </c>
      <c r="F2" s="13" t="s">
        <v>110</v>
      </c>
    </row>
    <row r="3">
      <c r="A3" s="2" t="s">
        <v>111</v>
      </c>
      <c r="B3" s="13" t="s">
        <v>113</v>
      </c>
      <c r="E3" s="13" t="s">
        <v>114</v>
      </c>
      <c r="F3" s="13" t="s">
        <v>115</v>
      </c>
      <c r="H3" s="13" t="s">
        <v>116</v>
      </c>
      <c r="K3" s="62"/>
    </row>
    <row r="4">
      <c r="E4" s="13" t="s">
        <v>118</v>
      </c>
      <c r="F4" s="63" t="s">
        <v>119</v>
      </c>
      <c r="K4" s="62"/>
    </row>
    <row r="5">
      <c r="A5" s="2" t="s">
        <v>120</v>
      </c>
      <c r="B5" s="64" t="s">
        <v>121</v>
      </c>
      <c r="C5" s="64"/>
      <c r="F5" s="63" t="s">
        <v>122</v>
      </c>
      <c r="K5" s="62"/>
    </row>
    <row r="6">
      <c r="K6" s="62"/>
    </row>
    <row r="7">
      <c r="A7" s="13" t="s">
        <v>124</v>
      </c>
      <c r="B7" s="13" t="s">
        <v>125</v>
      </c>
      <c r="K7" s="62"/>
    </row>
    <row r="8">
      <c r="A8" s="2" t="s">
        <v>126</v>
      </c>
      <c r="B8" s="65">
        <v>0.5</v>
      </c>
    </row>
    <row r="9">
      <c r="A9" s="13" t="s">
        <v>128</v>
      </c>
      <c r="B9" s="66">
        <v>10.0</v>
      </c>
    </row>
    <row r="10">
      <c r="A10" s="13" t="s">
        <v>130</v>
      </c>
      <c r="B10" s="26">
        <f>(B8*B9)/100</f>
        <v>0.05</v>
      </c>
    </row>
    <row r="11">
      <c r="A11" s="13" t="s">
        <v>131</v>
      </c>
      <c r="B11" s="26">
        <f>B10*100</f>
        <v>5</v>
      </c>
    </row>
    <row r="12">
      <c r="A12" s="13" t="s">
        <v>134</v>
      </c>
      <c r="B12" s="68">
        <v>10.0</v>
      </c>
      <c r="E12" s="13"/>
    </row>
    <row r="13">
      <c r="A13" s="13" t="s">
        <v>136</v>
      </c>
      <c r="B13" s="69">
        <f>B12/B10</f>
        <v>200</v>
      </c>
      <c r="E13" s="13"/>
      <c r="G13" s="2" t="s">
        <v>143</v>
      </c>
      <c r="H13" s="2" t="s">
        <v>137</v>
      </c>
      <c r="I13" s="2" t="s">
        <v>138</v>
      </c>
      <c r="J13" s="2" t="s">
        <v>139</v>
      </c>
      <c r="K13" s="2" t="s">
        <v>140</v>
      </c>
      <c r="L13" s="2" t="s">
        <v>141</v>
      </c>
      <c r="M13" s="2" t="s">
        <v>144</v>
      </c>
      <c r="N13" s="2" t="s">
        <v>145</v>
      </c>
      <c r="O13" s="2" t="s">
        <v>146</v>
      </c>
      <c r="P13" s="2" t="s">
        <v>147</v>
      </c>
    </row>
    <row r="14">
      <c r="A14" s="13" t="s">
        <v>148</v>
      </c>
      <c r="B14" s="26">
        <f>(((C14*C21)+(C14*C20)+(C14*C40))/C32)*B12</f>
        <v>41.6</v>
      </c>
      <c r="C14" s="13">
        <v>1.0</v>
      </c>
      <c r="D14" s="13" t="s">
        <v>149</v>
      </c>
      <c r="F14" s="13" t="s">
        <v>150</v>
      </c>
      <c r="G14" s="71">
        <v>1.0</v>
      </c>
      <c r="H14" s="71">
        <v>0.9</v>
      </c>
      <c r="I14" s="71">
        <v>0.8</v>
      </c>
      <c r="J14" s="71">
        <v>0.75</v>
      </c>
      <c r="K14" s="71">
        <v>0.5</v>
      </c>
      <c r="L14" s="71">
        <v>0.5</v>
      </c>
      <c r="M14" s="71">
        <v>0.4</v>
      </c>
      <c r="N14" s="71">
        <v>0.4</v>
      </c>
      <c r="O14" s="71">
        <v>0.4</v>
      </c>
      <c r="P14" s="71">
        <v>0.4</v>
      </c>
    </row>
    <row r="15">
      <c r="A15" s="13" t="s">
        <v>151</v>
      </c>
      <c r="B15" s="26">
        <f>(B14*(-1))+((B11)*C14)</f>
        <v>-36.6</v>
      </c>
    </row>
    <row r="16">
      <c r="A16" s="13" t="s">
        <v>152</v>
      </c>
      <c r="B16">
        <f>60</f>
        <v>60</v>
      </c>
    </row>
    <row r="17">
      <c r="A17" s="13" t="s">
        <v>153</v>
      </c>
      <c r="B17" s="26">
        <f>(B16/50)*10</f>
        <v>12</v>
      </c>
    </row>
    <row r="18">
      <c r="A18" s="72"/>
      <c r="B18" s="72"/>
      <c r="C18" s="72"/>
    </row>
    <row r="19">
      <c r="A19" s="73" t="s">
        <v>158</v>
      </c>
      <c r="B19" s="13" t="s">
        <v>159</v>
      </c>
    </row>
    <row r="20">
      <c r="A20" s="13" t="s">
        <v>160</v>
      </c>
      <c r="C20" s="66">
        <v>4.0</v>
      </c>
      <c r="F20" s="74"/>
      <c r="G20" s="75"/>
      <c r="H20" s="75"/>
      <c r="I20" s="75"/>
      <c r="J20" s="75"/>
      <c r="K20" s="75"/>
      <c r="L20" s="75"/>
    </row>
    <row r="21">
      <c r="A21" s="13" t="s">
        <v>161</v>
      </c>
      <c r="C21" s="66">
        <v>10.0</v>
      </c>
      <c r="F21" s="76" t="s">
        <v>162</v>
      </c>
      <c r="G21" s="61" t="s">
        <v>163</v>
      </c>
      <c r="H21" s="61" t="s">
        <v>164</v>
      </c>
      <c r="I21" s="61" t="s">
        <v>165</v>
      </c>
      <c r="J21" s="61" t="s">
        <v>166</v>
      </c>
      <c r="K21" s="61" t="s">
        <v>167</v>
      </c>
      <c r="L21" s="77" t="s">
        <v>168</v>
      </c>
      <c r="M21" s="61"/>
      <c r="N21" s="61"/>
      <c r="O21" s="61"/>
      <c r="P21" s="61"/>
    </row>
    <row r="22">
      <c r="A22" s="13" t="s">
        <v>169</v>
      </c>
      <c r="C22" s="78">
        <v>1.0</v>
      </c>
      <c r="E22" s="13"/>
      <c r="F22" s="79" t="s">
        <v>170</v>
      </c>
      <c r="G22" s="80">
        <f>'Old Bus. Model'!C7</f>
        <v>4374</v>
      </c>
      <c r="H22" s="80">
        <f>'Old Bus. Model'!D7</f>
        <v>6790.635</v>
      </c>
      <c r="I22" s="80">
        <f>'Old Bus. Model'!E7</f>
        <v>6000</v>
      </c>
      <c r="J22" s="80">
        <f>'Old Bus. Model'!F7</f>
        <v>6500</v>
      </c>
      <c r="K22" s="80">
        <f>'Old Bus. Model'!G7</f>
        <v>50000</v>
      </c>
      <c r="L22" s="81">
        <f>'Old Bus. Model'!H7</f>
        <v>50000</v>
      </c>
      <c r="M22" s="80"/>
      <c r="N22" s="80"/>
      <c r="O22" s="80"/>
      <c r="P22" s="80"/>
    </row>
    <row r="23">
      <c r="A23" s="13" t="s">
        <v>174</v>
      </c>
      <c r="C23" s="78">
        <v>1.0</v>
      </c>
      <c r="F23" s="82" t="s">
        <v>175</v>
      </c>
      <c r="G23" s="83">
        <f>'Old Bus. Model'!C8</f>
        <v>3</v>
      </c>
      <c r="H23" s="83">
        <f>'Old Bus. Model'!D8</f>
        <v>3</v>
      </c>
      <c r="I23" s="83">
        <f>'Old Bus. Model'!E8</f>
        <v>5</v>
      </c>
      <c r="J23" s="83">
        <f>'Old Bus. Model'!F8</f>
        <v>5</v>
      </c>
      <c r="K23" s="83">
        <f>'Old Bus. Model'!G8</f>
        <v>10</v>
      </c>
      <c r="L23" s="85">
        <f>'Old Bus. Model'!H8</f>
        <v>10</v>
      </c>
      <c r="M23" s="80"/>
      <c r="N23" s="80"/>
      <c r="O23" s="80"/>
      <c r="P23" s="80"/>
    </row>
    <row r="24">
      <c r="A24" s="13" t="s">
        <v>177</v>
      </c>
      <c r="C24" s="78">
        <v>3.0</v>
      </c>
      <c r="F24" s="86" t="s">
        <v>178</v>
      </c>
      <c r="G24" s="61" t="s">
        <v>163</v>
      </c>
      <c r="H24" s="61" t="s">
        <v>164</v>
      </c>
      <c r="I24" s="61" t="s">
        <v>165</v>
      </c>
      <c r="J24" s="61" t="s">
        <v>166</v>
      </c>
      <c r="K24" s="61" t="s">
        <v>167</v>
      </c>
      <c r="L24" s="77" t="s">
        <v>168</v>
      </c>
      <c r="M24" s="61"/>
      <c r="N24" s="61"/>
      <c r="O24" s="61"/>
      <c r="P24" s="61"/>
    </row>
    <row r="25">
      <c r="A25" s="13" t="s">
        <v>180</v>
      </c>
      <c r="C25" s="78">
        <v>5.0</v>
      </c>
      <c r="E25" s="13"/>
      <c r="F25" s="79" t="s">
        <v>170</v>
      </c>
      <c r="G25" s="80">
        <f>10000+8000+5000+5000</f>
        <v>28000</v>
      </c>
      <c r="H25" s="80">
        <v>30000.0</v>
      </c>
      <c r="I25" s="80">
        <v>150000.0</v>
      </c>
      <c r="J25" s="80">
        <v>200000.0</v>
      </c>
      <c r="K25" s="80">
        <v>1000000.0</v>
      </c>
      <c r="L25" s="81">
        <v>1500000.0</v>
      </c>
      <c r="M25" s="80"/>
      <c r="N25" s="80"/>
      <c r="O25" s="80"/>
      <c r="P25" s="80"/>
    </row>
    <row r="26">
      <c r="A26" s="13" t="s">
        <v>181</v>
      </c>
      <c r="C26" s="66">
        <v>8.0</v>
      </c>
      <c r="F26" s="82" t="s">
        <v>175</v>
      </c>
      <c r="G26" s="83">
        <v>4.0</v>
      </c>
      <c r="H26" s="83">
        <v>4.0</v>
      </c>
      <c r="I26" s="83">
        <v>25.0</v>
      </c>
      <c r="J26" s="83">
        <v>25.0</v>
      </c>
      <c r="K26" s="83">
        <v>200.0</v>
      </c>
      <c r="L26" s="85">
        <v>200.0</v>
      </c>
      <c r="M26" s="80"/>
      <c r="N26" s="80"/>
      <c r="O26" s="80"/>
      <c r="P26" s="80"/>
    </row>
    <row r="27">
      <c r="A27" s="13" t="s">
        <v>182</v>
      </c>
      <c r="C27" s="66">
        <v>12.0</v>
      </c>
    </row>
    <row r="28">
      <c r="A28" s="13" t="s">
        <v>183</v>
      </c>
      <c r="C28" s="66">
        <v>16.0</v>
      </c>
      <c r="F28" s="88" t="s">
        <v>184</v>
      </c>
      <c r="G28" s="89" t="s">
        <v>7</v>
      </c>
      <c r="H28" s="89" t="s">
        <v>35</v>
      </c>
      <c r="I28" s="89" t="s">
        <v>37</v>
      </c>
      <c r="J28" s="89" t="s">
        <v>38</v>
      </c>
      <c r="K28" s="89" t="s">
        <v>40</v>
      </c>
      <c r="L28" s="90" t="s">
        <v>41</v>
      </c>
    </row>
    <row r="29">
      <c r="A29" s="13" t="s">
        <v>187</v>
      </c>
      <c r="C29" s="66">
        <v>20.0</v>
      </c>
      <c r="E29" s="92" t="s">
        <v>162</v>
      </c>
      <c r="F29" s="44">
        <v>0.0</v>
      </c>
      <c r="G29" s="18">
        <f>((Rewards!$B$17*G22)*Rewards!G14)</f>
        <v>52488</v>
      </c>
      <c r="H29" s="18">
        <f>((Rewards!$B$17*H22)*Rewards!H14)</f>
        <v>73338.858</v>
      </c>
      <c r="I29" s="18">
        <f>((Rewards!$B$17*I22)*Rewards!I14)</f>
        <v>57600</v>
      </c>
      <c r="J29" s="18">
        <f>((Rewards!$B$17*J22)*Rewards!J14)</f>
        <v>58500</v>
      </c>
      <c r="K29" s="18">
        <f>((Rewards!$B$17*K22)*Rewards!K14)</f>
        <v>300000</v>
      </c>
      <c r="L29" s="93">
        <f>((Rewards!$B$17*L22)*Rewards!L14)</f>
        <v>300000</v>
      </c>
    </row>
    <row r="30">
      <c r="A30" s="13" t="s">
        <v>197</v>
      </c>
      <c r="C30" s="66">
        <v>25.0</v>
      </c>
      <c r="E30" s="94" t="s">
        <v>198</v>
      </c>
      <c r="F30" s="95">
        <v>0.0</v>
      </c>
      <c r="G30" s="96">
        <f>((Rewards!$B$17*G25)*Rewards!G14)</f>
        <v>336000</v>
      </c>
      <c r="H30" s="96">
        <f>((Rewards!$B$17*H25)*Rewards!H14)</f>
        <v>324000</v>
      </c>
      <c r="I30" s="96">
        <f>((Rewards!$B$17*I25)*Rewards!I14)</f>
        <v>1440000</v>
      </c>
      <c r="J30" s="96">
        <f>((Rewards!$B$17*J25)*Rewards!J14)</f>
        <v>1800000</v>
      </c>
      <c r="K30" s="96">
        <f>((Rewards!$B$17*K25)*Rewards!K14)</f>
        <v>6000000</v>
      </c>
      <c r="L30" s="97">
        <f>((Rewards!$B$17*L25)*Rewards!L14)</f>
        <v>9000000</v>
      </c>
    </row>
    <row r="31">
      <c r="A31" s="46"/>
      <c r="C31" s="66"/>
    </row>
    <row r="32">
      <c r="A32" s="46" t="s">
        <v>204</v>
      </c>
      <c r="C32" s="66">
        <v>50.0</v>
      </c>
    </row>
    <row r="33">
      <c r="A33" s="13"/>
      <c r="B33" s="13" t="s">
        <v>205</v>
      </c>
      <c r="C33" s="98"/>
    </row>
    <row r="34">
      <c r="A34" s="13" t="s">
        <v>206</v>
      </c>
      <c r="B34" s="13">
        <v>14.0</v>
      </c>
      <c r="C34" s="99">
        <f t="shared" ref="C34:C40" si="1">$C$20+(B34*$C$22)+SUM($C$23:C24)</f>
        <v>22</v>
      </c>
    </row>
    <row r="35">
      <c r="A35" s="13" t="s">
        <v>207</v>
      </c>
      <c r="B35" s="13">
        <v>21.0</v>
      </c>
      <c r="C35" s="99">
        <f t="shared" si="1"/>
        <v>34</v>
      </c>
    </row>
    <row r="36">
      <c r="A36" s="13" t="s">
        <v>208</v>
      </c>
      <c r="B36" s="13">
        <v>30.0</v>
      </c>
      <c r="C36" s="99">
        <f t="shared" si="1"/>
        <v>51</v>
      </c>
      <c r="D36" s="13" t="s">
        <v>209</v>
      </c>
    </row>
    <row r="37">
      <c r="A37" s="13" t="s">
        <v>210</v>
      </c>
      <c r="B37" s="13">
        <v>45.0</v>
      </c>
      <c r="C37" s="99">
        <f t="shared" si="1"/>
        <v>78</v>
      </c>
    </row>
    <row r="38">
      <c r="A38" s="13" t="s">
        <v>212</v>
      </c>
      <c r="B38" s="13">
        <v>60.0</v>
      </c>
      <c r="C38" s="99">
        <f t="shared" si="1"/>
        <v>109</v>
      </c>
      <c r="D38" s="13" t="s">
        <v>213</v>
      </c>
    </row>
    <row r="39">
      <c r="A39" s="13" t="s">
        <v>214</v>
      </c>
      <c r="B39" s="13">
        <v>75.0</v>
      </c>
      <c r="C39" s="99">
        <f t="shared" si="1"/>
        <v>144</v>
      </c>
      <c r="D39" s="13" t="s">
        <v>216</v>
      </c>
    </row>
    <row r="40">
      <c r="A40" s="13" t="s">
        <v>217</v>
      </c>
      <c r="B40" s="13">
        <v>100.0</v>
      </c>
      <c r="C40" s="99">
        <f t="shared" si="1"/>
        <v>194</v>
      </c>
      <c r="D40" s="13" t="s">
        <v>219</v>
      </c>
    </row>
    <row r="41">
      <c r="A41" s="13" t="s">
        <v>220</v>
      </c>
      <c r="C41" s="28">
        <v>30.0</v>
      </c>
    </row>
    <row r="42">
      <c r="A42" s="13" t="s">
        <v>221</v>
      </c>
      <c r="C42">
        <f>C41/B13</f>
        <v>0.15</v>
      </c>
      <c r="D42" s="13" t="s">
        <v>222</v>
      </c>
    </row>
  </sheetData>
  <mergeCells count="2">
    <mergeCell ref="F1:G1"/>
    <mergeCell ref="F20:I20"/>
  </mergeCells>
  <hyperlinks>
    <hyperlink r:id="rId1" ref="F4"/>
    <hyperlink r:id="rId2" ref="F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01" t="s">
        <v>232</v>
      </c>
      <c r="B1" s="102">
        <v>43208.0</v>
      </c>
      <c r="C1" s="103">
        <v>43238.0</v>
      </c>
      <c r="D1" s="103">
        <v>43269.0</v>
      </c>
      <c r="E1" s="103">
        <v>43299.0</v>
      </c>
      <c r="F1" s="102">
        <v>43330.0</v>
      </c>
      <c r="G1" s="61" t="s">
        <v>234</v>
      </c>
      <c r="H1" s="102">
        <v>43391.0</v>
      </c>
      <c r="I1" s="102">
        <v>43422.0</v>
      </c>
      <c r="J1" s="102">
        <v>43452.0</v>
      </c>
      <c r="K1" s="102">
        <v>43119.0</v>
      </c>
      <c r="L1" s="102">
        <v>43150.0</v>
      </c>
      <c r="M1" s="103">
        <v>43178.0</v>
      </c>
      <c r="N1" s="102">
        <v>43209.0</v>
      </c>
      <c r="O1" s="103">
        <v>43239.0</v>
      </c>
    </row>
    <row r="2">
      <c r="A2" s="13" t="s">
        <v>34</v>
      </c>
      <c r="B2" s="18">
        <f>'Salaries (goal)'!B52</f>
        <v>41851</v>
      </c>
      <c r="C2" s="18">
        <f>'Salaries (goal)'!C52</f>
        <v>43642.16667</v>
      </c>
      <c r="D2" s="18">
        <f>'Salaries (goal)'!D52</f>
        <v>49433.33333</v>
      </c>
      <c r="E2" s="18">
        <f>'Salaries (goal)'!E52</f>
        <v>50100</v>
      </c>
      <c r="F2" s="18">
        <f>'Salaries (goal)'!F52</f>
        <v>48766.66667</v>
      </c>
      <c r="G2" s="18">
        <f>('Salaries (goal)'!$G$3/4)+('Salaries (goal)'!$G$4/4)+('Salaries (goal)'!$G$5/4)+('Salaries (goal)'!$G$6/4)+('Salaries (goal)'!$G$7/4)+('Salaries (goal)'!$G$8/4)+('Salaries (goal)'!$G$9/4)+('Salaries (goal)'!$G$10/4)+('Salaries (goal)'!$G$13/4)</f>
        <v>54933.33333</v>
      </c>
      <c r="H2" s="18">
        <f>('Salaries (goal)'!$G$3/4)+('Salaries (goal)'!$G$4/4)+('Salaries (goal)'!$G$5/4)+('Salaries (goal)'!$G$6/4)+('Salaries (goal)'!$G$7/4)+('Salaries (goal)'!$G$8/4)+('Salaries (goal)'!$G$9/4)+('Salaries (goal)'!$G$10/4)+('Salaries (goal)'!$G$13/4)</f>
        <v>54933.33333</v>
      </c>
      <c r="I2" s="18">
        <f>('Salaries (goal)'!$G$3/4)+('Salaries (goal)'!$G$4/4)+('Salaries (goal)'!$G$5/4)+('Salaries (goal)'!$G$6/4)+('Salaries (goal)'!$G$7/4)+('Salaries (goal)'!$G$8/4)+('Salaries (goal)'!$G$9/4)+('Salaries (goal)'!$G$10/4)+('Salaries (goal)'!$G$13/4)+('Salaries (goal)'!$G$14/2)</f>
        <v>60350</v>
      </c>
      <c r="J2" s="18">
        <f>('Salaries (goal)'!$G$3/4)+('Salaries (goal)'!$G$4/4)+('Salaries (goal)'!$G$5/4)+('Salaries (goal)'!$G$6/4)+('Salaries (goal)'!$G$7/4)+('Salaries (goal)'!$G$8/4)+('Salaries (goal)'!$G$9/4)+('Salaries (goal)'!$G$10/4)+('Salaries (goal)'!$G$13/4)+('Salaries (goal)'!$G$14/2)</f>
        <v>60350</v>
      </c>
      <c r="K2" s="44">
        <v>65500.0</v>
      </c>
      <c r="L2" s="44">
        <v>65500.0</v>
      </c>
      <c r="M2" s="44">
        <v>65500.0</v>
      </c>
      <c r="N2" s="44">
        <v>72000.0</v>
      </c>
      <c r="O2" s="44">
        <v>72000.0</v>
      </c>
    </row>
    <row r="3">
      <c r="A3" s="13" t="s">
        <v>50</v>
      </c>
      <c r="B3" s="18">
        <f t="shared" ref="B3:O3" si="1">B2*0.15</f>
        <v>6277.65</v>
      </c>
      <c r="C3" s="18">
        <f t="shared" si="1"/>
        <v>6546.325</v>
      </c>
      <c r="D3" s="18">
        <f t="shared" si="1"/>
        <v>7415</v>
      </c>
      <c r="E3" s="18">
        <f t="shared" si="1"/>
        <v>7515</v>
      </c>
      <c r="F3" s="18">
        <f t="shared" si="1"/>
        <v>7315</v>
      </c>
      <c r="G3" s="18">
        <f t="shared" si="1"/>
        <v>8240</v>
      </c>
      <c r="H3" s="18">
        <f t="shared" si="1"/>
        <v>8240</v>
      </c>
      <c r="I3" s="18">
        <f t="shared" si="1"/>
        <v>9052.5</v>
      </c>
      <c r="J3" s="18">
        <f t="shared" si="1"/>
        <v>9052.5</v>
      </c>
      <c r="K3" s="18">
        <f t="shared" si="1"/>
        <v>9825</v>
      </c>
      <c r="L3" s="18">
        <f t="shared" si="1"/>
        <v>9825</v>
      </c>
      <c r="M3" s="18">
        <f t="shared" si="1"/>
        <v>9825</v>
      </c>
      <c r="N3" s="18">
        <f t="shared" si="1"/>
        <v>10800</v>
      </c>
      <c r="O3" s="18">
        <f t="shared" si="1"/>
        <v>10800</v>
      </c>
    </row>
    <row r="4">
      <c r="A4" s="13" t="s">
        <v>235</v>
      </c>
      <c r="B4" s="44">
        <v>2250.0</v>
      </c>
      <c r="C4" s="44">
        <v>2250.0</v>
      </c>
      <c r="D4" s="44">
        <v>2250.0</v>
      </c>
      <c r="E4" s="44">
        <v>2250.0</v>
      </c>
      <c r="F4" s="44">
        <v>2250.0</v>
      </c>
      <c r="G4" s="44">
        <v>2250.0</v>
      </c>
      <c r="H4" s="44">
        <v>2250.0</v>
      </c>
      <c r="I4" s="44">
        <v>2250.0</v>
      </c>
      <c r="J4" s="44">
        <v>5000.0</v>
      </c>
      <c r="K4" s="44">
        <v>5000.0</v>
      </c>
      <c r="L4" s="44">
        <v>5000.0</v>
      </c>
      <c r="M4" s="44">
        <v>5000.0</v>
      </c>
      <c r="N4" s="44">
        <v>5000.0</v>
      </c>
      <c r="O4" s="44">
        <v>5000.0</v>
      </c>
      <c r="P4" s="26"/>
    </row>
    <row r="5">
      <c r="A5" s="13" t="s">
        <v>53</v>
      </c>
      <c r="B5" s="44">
        <v>2000.0</v>
      </c>
      <c r="C5" s="44">
        <v>2000.0</v>
      </c>
      <c r="D5" s="44">
        <v>2000.0</v>
      </c>
      <c r="E5" s="44">
        <v>2000.0</v>
      </c>
      <c r="F5" s="44">
        <v>2000.0</v>
      </c>
      <c r="G5" s="44">
        <v>2000.0</v>
      </c>
      <c r="H5" s="44">
        <v>2000.0</v>
      </c>
      <c r="I5" s="44">
        <v>2000.0</v>
      </c>
      <c r="J5" s="44">
        <v>2000.0</v>
      </c>
      <c r="K5" s="44">
        <v>2000.0</v>
      </c>
      <c r="L5" s="44">
        <v>2000.0</v>
      </c>
      <c r="M5" s="44">
        <v>2000.0</v>
      </c>
      <c r="N5" s="18">
        <f t="shared" ref="N5:O5" si="2">3000</f>
        <v>3000</v>
      </c>
      <c r="O5" s="18">
        <f t="shared" si="2"/>
        <v>3000</v>
      </c>
      <c r="P5" s="26"/>
    </row>
    <row r="6">
      <c r="A6" s="13" t="s">
        <v>236</v>
      </c>
      <c r="B6" s="44">
        <v>1000.0</v>
      </c>
      <c r="C6" s="44">
        <v>1000.0</v>
      </c>
      <c r="D6" s="44">
        <v>1000.0</v>
      </c>
      <c r="E6" s="44">
        <v>1000.0</v>
      </c>
      <c r="F6" s="44">
        <v>2000.0</v>
      </c>
      <c r="G6" s="44">
        <v>2500.0</v>
      </c>
      <c r="H6" s="44">
        <v>3000.0</v>
      </c>
      <c r="I6" s="44">
        <v>3000.0</v>
      </c>
      <c r="J6" s="44">
        <v>2000.0</v>
      </c>
      <c r="K6" s="44">
        <v>1500.0</v>
      </c>
      <c r="L6" s="44">
        <v>3500.0</v>
      </c>
      <c r="M6" s="44">
        <v>3500.0</v>
      </c>
      <c r="N6" s="44">
        <v>4000.0</v>
      </c>
      <c r="O6" s="44">
        <v>3000.0</v>
      </c>
      <c r="P6" s="26"/>
    </row>
    <row r="7">
      <c r="A7" s="13" t="s">
        <v>237</v>
      </c>
      <c r="B7" s="18">
        <f>Marketing!E7</f>
        <v>1600</v>
      </c>
      <c r="C7" s="18">
        <f>Marketing!F7</f>
        <v>6500</v>
      </c>
      <c r="D7" s="18">
        <f>Marketing!G7</f>
        <v>5500</v>
      </c>
      <c r="E7" s="18">
        <f>Marketing!H7</f>
        <v>8000</v>
      </c>
      <c r="F7" s="18">
        <f>Marketing!I7</f>
        <v>15000</v>
      </c>
      <c r="G7" s="18">
        <f>Marketing!J7</f>
        <v>8500</v>
      </c>
      <c r="H7" s="18">
        <f>Marketing!K7</f>
        <v>500</v>
      </c>
      <c r="I7" s="18">
        <f>Marketing!L7</f>
        <v>2000</v>
      </c>
      <c r="J7" s="18">
        <f>Marketing!M7</f>
        <v>2000</v>
      </c>
      <c r="K7" s="44">
        <v>2000.0</v>
      </c>
      <c r="L7" s="44">
        <v>2000.0</v>
      </c>
      <c r="M7" s="44">
        <v>2000.0</v>
      </c>
      <c r="N7" s="44">
        <v>2000.0</v>
      </c>
      <c r="O7" s="44">
        <v>2000.0</v>
      </c>
      <c r="P7" s="26"/>
    </row>
    <row r="8">
      <c r="A8" s="13" t="s">
        <v>82</v>
      </c>
      <c r="B8" s="44">
        <v>0.0</v>
      </c>
      <c r="C8" s="44">
        <v>0.0</v>
      </c>
      <c r="D8" s="44">
        <v>0.0</v>
      </c>
      <c r="E8" s="44">
        <v>0.0</v>
      </c>
      <c r="F8" s="44">
        <v>0.0</v>
      </c>
      <c r="G8" s="44">
        <f>60000*0.01</f>
        <v>600</v>
      </c>
      <c r="H8" s="18">
        <f>60000*0.22</f>
        <v>13200</v>
      </c>
      <c r="I8" s="44">
        <f>60000*0.32</f>
        <v>19200</v>
      </c>
      <c r="J8" s="18">
        <f>60000-(SUM(G8:I8))</f>
        <v>27000</v>
      </c>
      <c r="K8" s="18">
        <f>Rewards!H29*0.15</f>
        <v>11000.8287</v>
      </c>
      <c r="L8" s="18">
        <f>K8</f>
        <v>11000.8287</v>
      </c>
      <c r="M8" s="18">
        <f>Rewards!H29*0.2</f>
        <v>14667.7716</v>
      </c>
      <c r="N8" s="18">
        <f>M8</f>
        <v>14667.7716</v>
      </c>
      <c r="O8" s="18">
        <f>Rewards!H29-(SUM(K8:N8))</f>
        <v>22001.6574</v>
      </c>
      <c r="P8" s="26"/>
    </row>
    <row r="9">
      <c r="A9" s="104" t="s">
        <v>21</v>
      </c>
      <c r="B9" s="105">
        <f t="shared" ref="B9:O9" si="3">SUM(B2:B8)</f>
        <v>54978.65</v>
      </c>
      <c r="C9" s="105">
        <f t="shared" si="3"/>
        <v>61938.49167</v>
      </c>
      <c r="D9" s="105">
        <f t="shared" si="3"/>
        <v>67598.33333</v>
      </c>
      <c r="E9" s="105">
        <f t="shared" si="3"/>
        <v>70865</v>
      </c>
      <c r="F9" s="105">
        <f t="shared" si="3"/>
        <v>77331.66667</v>
      </c>
      <c r="G9" s="105">
        <f t="shared" si="3"/>
        <v>79023.33333</v>
      </c>
      <c r="H9" s="105">
        <f t="shared" si="3"/>
        <v>84123.33333</v>
      </c>
      <c r="I9" s="105">
        <f t="shared" si="3"/>
        <v>97852.5</v>
      </c>
      <c r="J9" s="105">
        <f t="shared" si="3"/>
        <v>107402.5</v>
      </c>
      <c r="K9" s="105">
        <f t="shared" si="3"/>
        <v>96825.8287</v>
      </c>
      <c r="L9" s="105">
        <f t="shared" si="3"/>
        <v>98825.8287</v>
      </c>
      <c r="M9" s="105">
        <f t="shared" si="3"/>
        <v>102492.7716</v>
      </c>
      <c r="N9" s="105">
        <f t="shared" si="3"/>
        <v>111467.7716</v>
      </c>
      <c r="O9" s="105">
        <f t="shared" si="3"/>
        <v>117801.6574</v>
      </c>
    </row>
    <row r="10">
      <c r="A10" s="4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</row>
    <row r="11">
      <c r="A11" s="107" t="s">
        <v>198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</row>
    <row r="12">
      <c r="A12" s="13" t="s">
        <v>34</v>
      </c>
      <c r="B12" s="18">
        <f t="shared" ref="B12:G12" si="4">B2</f>
        <v>41851</v>
      </c>
      <c r="C12" s="18">
        <f t="shared" si="4"/>
        <v>43642.16667</v>
      </c>
      <c r="D12" s="18">
        <f t="shared" si="4"/>
        <v>49433.33333</v>
      </c>
      <c r="E12" s="18">
        <f t="shared" si="4"/>
        <v>50100</v>
      </c>
      <c r="F12" s="18">
        <f t="shared" si="4"/>
        <v>48766.66667</v>
      </c>
      <c r="G12" s="18">
        <f t="shared" si="4"/>
        <v>54933.33333</v>
      </c>
      <c r="H12" s="18">
        <f t="shared" ref="H12:O12" si="5">53250+((65000/12)*6)</f>
        <v>85750</v>
      </c>
      <c r="I12" s="18">
        <f t="shared" si="5"/>
        <v>85750</v>
      </c>
      <c r="J12" s="18">
        <f t="shared" si="5"/>
        <v>85750</v>
      </c>
      <c r="K12" s="18">
        <f t="shared" si="5"/>
        <v>85750</v>
      </c>
      <c r="L12" s="18">
        <f t="shared" si="5"/>
        <v>85750</v>
      </c>
      <c r="M12" s="18">
        <f t="shared" si="5"/>
        <v>85750</v>
      </c>
      <c r="N12" s="18">
        <f t="shared" si="5"/>
        <v>85750</v>
      </c>
      <c r="O12" s="18">
        <f t="shared" si="5"/>
        <v>85750</v>
      </c>
    </row>
    <row r="13">
      <c r="A13" s="13" t="s">
        <v>50</v>
      </c>
      <c r="B13" s="18">
        <f t="shared" ref="B13:O13" si="6">B12*0.25</f>
        <v>10462.75</v>
      </c>
      <c r="C13" s="18">
        <f t="shared" si="6"/>
        <v>10910.54167</v>
      </c>
      <c r="D13" s="18">
        <f t="shared" si="6"/>
        <v>12358.33333</v>
      </c>
      <c r="E13" s="18">
        <f t="shared" si="6"/>
        <v>12525</v>
      </c>
      <c r="F13" s="18">
        <f t="shared" si="6"/>
        <v>12191.66667</v>
      </c>
      <c r="G13" s="18">
        <f t="shared" si="6"/>
        <v>13733.33333</v>
      </c>
      <c r="H13" s="18">
        <f t="shared" si="6"/>
        <v>21437.5</v>
      </c>
      <c r="I13" s="18">
        <f t="shared" si="6"/>
        <v>21437.5</v>
      </c>
      <c r="J13" s="18">
        <f t="shared" si="6"/>
        <v>21437.5</v>
      </c>
      <c r="K13" s="18">
        <f t="shared" si="6"/>
        <v>21437.5</v>
      </c>
      <c r="L13" s="18">
        <f t="shared" si="6"/>
        <v>21437.5</v>
      </c>
      <c r="M13" s="18">
        <f t="shared" si="6"/>
        <v>21437.5</v>
      </c>
      <c r="N13" s="18">
        <f t="shared" si="6"/>
        <v>21437.5</v>
      </c>
      <c r="O13" s="18">
        <f t="shared" si="6"/>
        <v>21437.5</v>
      </c>
    </row>
    <row r="14">
      <c r="A14" s="13" t="s">
        <v>238</v>
      </c>
      <c r="B14" s="18">
        <f>SUM(Marketing!E2:E3)</f>
        <v>1500</v>
      </c>
      <c r="C14" s="18">
        <f>SUM(Marketing!F2:F3)</f>
        <v>4500</v>
      </c>
      <c r="D14" s="18">
        <f>SUM(Marketing!G2:G3)</f>
        <v>5500</v>
      </c>
      <c r="E14" s="18">
        <f>SUM(Marketing!H2:H3)</f>
        <v>5500</v>
      </c>
      <c r="F14" s="18">
        <f>SUM(Marketing!I2:I3)</f>
        <v>3000</v>
      </c>
      <c r="G14" s="18">
        <f>SUM(Marketing!J2:J3)</f>
        <v>3000</v>
      </c>
      <c r="H14" s="18">
        <f>SUM(Marketing!K2:K3)</f>
        <v>0</v>
      </c>
      <c r="I14" s="44">
        <v>5000.0</v>
      </c>
      <c r="J14" s="44">
        <v>5000.0</v>
      </c>
      <c r="K14" s="44">
        <v>5000.0</v>
      </c>
      <c r="L14" s="44">
        <v>0.0</v>
      </c>
      <c r="M14" s="44">
        <v>0.0</v>
      </c>
      <c r="N14" s="44">
        <v>6000.0</v>
      </c>
      <c r="O14" s="44">
        <v>6000.0</v>
      </c>
    </row>
    <row r="15">
      <c r="A15" s="13" t="s">
        <v>235</v>
      </c>
      <c r="B15" s="18">
        <f t="shared" ref="B15:G15" si="7">B4</f>
        <v>2250</v>
      </c>
      <c r="C15" s="18">
        <f t="shared" si="7"/>
        <v>2250</v>
      </c>
      <c r="D15" s="18">
        <f t="shared" si="7"/>
        <v>2250</v>
      </c>
      <c r="E15" s="18">
        <f t="shared" si="7"/>
        <v>2250</v>
      </c>
      <c r="F15" s="18">
        <f t="shared" si="7"/>
        <v>2250</v>
      </c>
      <c r="G15" s="18">
        <f t="shared" si="7"/>
        <v>2250</v>
      </c>
      <c r="H15" s="18">
        <f t="shared" ref="H15:O15" si="8">10000</f>
        <v>10000</v>
      </c>
      <c r="I15" s="18">
        <f t="shared" si="8"/>
        <v>10000</v>
      </c>
      <c r="J15" s="18">
        <f t="shared" si="8"/>
        <v>10000</v>
      </c>
      <c r="K15" s="18">
        <f t="shared" si="8"/>
        <v>10000</v>
      </c>
      <c r="L15" s="18">
        <f t="shared" si="8"/>
        <v>10000</v>
      </c>
      <c r="M15" s="18">
        <f t="shared" si="8"/>
        <v>10000</v>
      </c>
      <c r="N15" s="18">
        <f t="shared" si="8"/>
        <v>10000</v>
      </c>
      <c r="O15" s="18">
        <f t="shared" si="8"/>
        <v>10000</v>
      </c>
    </row>
    <row r="16">
      <c r="A16" s="13" t="s">
        <v>53</v>
      </c>
      <c r="B16" s="18">
        <f t="shared" ref="B16:H16" si="9">B5:H5</f>
        <v>2000</v>
      </c>
      <c r="C16" s="18">
        <f t="shared" si="9"/>
        <v>2000</v>
      </c>
      <c r="D16" s="18">
        <f t="shared" si="9"/>
        <v>2000</v>
      </c>
      <c r="E16" s="18">
        <f t="shared" si="9"/>
        <v>2000</v>
      </c>
      <c r="F16" s="18">
        <f t="shared" si="9"/>
        <v>2000</v>
      </c>
      <c r="G16" s="18">
        <f t="shared" si="9"/>
        <v>2000</v>
      </c>
      <c r="H16" s="18">
        <f t="shared" si="9"/>
        <v>2000</v>
      </c>
      <c r="I16" s="18">
        <f>6000</f>
        <v>6000</v>
      </c>
      <c r="J16" s="18">
        <f>4000</f>
        <v>4000</v>
      </c>
      <c r="K16" s="18">
        <f t="shared" ref="K16:O16" si="10">5000</f>
        <v>5000</v>
      </c>
      <c r="L16" s="18">
        <f t="shared" si="10"/>
        <v>5000</v>
      </c>
      <c r="M16" s="18">
        <f t="shared" si="10"/>
        <v>5000</v>
      </c>
      <c r="N16" s="18">
        <f t="shared" si="10"/>
        <v>5000</v>
      </c>
      <c r="O16" s="18">
        <f t="shared" si="10"/>
        <v>5000</v>
      </c>
    </row>
    <row r="17">
      <c r="A17" s="13" t="s">
        <v>236</v>
      </c>
      <c r="B17" s="18">
        <f t="shared" ref="B17:E17" si="11">B6</f>
        <v>1000</v>
      </c>
      <c r="C17" s="18">
        <f t="shared" si="11"/>
        <v>1000</v>
      </c>
      <c r="D17" s="18">
        <f t="shared" si="11"/>
        <v>1000</v>
      </c>
      <c r="E17" s="18">
        <f t="shared" si="11"/>
        <v>1000</v>
      </c>
      <c r="F17" s="18">
        <f>5000</f>
        <v>5000</v>
      </c>
      <c r="G17" s="18">
        <f>6000</f>
        <v>6000</v>
      </c>
      <c r="H17" s="18">
        <f t="shared" ref="H17:I17" si="12">7000</f>
        <v>7000</v>
      </c>
      <c r="I17" s="18">
        <f t="shared" si="12"/>
        <v>7000</v>
      </c>
      <c r="J17" s="18">
        <f t="shared" ref="J17:K17" si="13">5000</f>
        <v>5000</v>
      </c>
      <c r="K17" s="18">
        <f t="shared" si="13"/>
        <v>5000</v>
      </c>
      <c r="L17" s="18">
        <f>8000</f>
        <v>8000</v>
      </c>
      <c r="M17" s="18">
        <f t="shared" ref="M17:N17" si="14">9000</f>
        <v>9000</v>
      </c>
      <c r="N17" s="18">
        <f t="shared" si="14"/>
        <v>9000</v>
      </c>
      <c r="O17" s="18">
        <f>6000</f>
        <v>6000</v>
      </c>
    </row>
    <row r="18">
      <c r="A18" s="13" t="s">
        <v>237</v>
      </c>
      <c r="B18" s="18">
        <f t="shared" ref="B18:I18" si="15">B7</f>
        <v>1600</v>
      </c>
      <c r="C18" s="18">
        <f t="shared" si="15"/>
        <v>6500</v>
      </c>
      <c r="D18" s="18">
        <f t="shared" si="15"/>
        <v>5500</v>
      </c>
      <c r="E18" s="18">
        <f t="shared" si="15"/>
        <v>8000</v>
      </c>
      <c r="F18" s="18">
        <f t="shared" si="15"/>
        <v>15000</v>
      </c>
      <c r="G18" s="18">
        <f t="shared" si="15"/>
        <v>8500</v>
      </c>
      <c r="H18" s="18">
        <f t="shared" si="15"/>
        <v>500</v>
      </c>
      <c r="I18" s="18">
        <f t="shared" si="15"/>
        <v>2000</v>
      </c>
      <c r="J18" s="44">
        <v>6000.0</v>
      </c>
      <c r="K18" s="44">
        <v>8000.0</v>
      </c>
      <c r="L18" s="44">
        <v>5000.0</v>
      </c>
      <c r="M18" s="44">
        <v>2000.0</v>
      </c>
      <c r="N18" s="44">
        <v>2000.0</v>
      </c>
      <c r="O18" s="44">
        <v>2000.0</v>
      </c>
    </row>
    <row r="19">
      <c r="A19" s="13" t="s">
        <v>82</v>
      </c>
      <c r="B19" s="18">
        <f t="shared" ref="B19:F19" si="16">B8</f>
        <v>0</v>
      </c>
      <c r="C19" s="18">
        <f t="shared" si="16"/>
        <v>0</v>
      </c>
      <c r="D19" s="18">
        <f t="shared" si="16"/>
        <v>0</v>
      </c>
      <c r="E19" s="18">
        <f t="shared" si="16"/>
        <v>0</v>
      </c>
      <c r="F19" s="18">
        <f t="shared" si="16"/>
        <v>0</v>
      </c>
      <c r="G19" s="18">
        <f t="shared" ref="G19:J19" si="17">G8*2</f>
        <v>1200</v>
      </c>
      <c r="H19" s="18">
        <f t="shared" si="17"/>
        <v>26400</v>
      </c>
      <c r="I19" s="18">
        <f t="shared" si="17"/>
        <v>38400</v>
      </c>
      <c r="J19" s="18">
        <f t="shared" si="17"/>
        <v>54000</v>
      </c>
      <c r="K19" s="18">
        <f t="shared" ref="K19:O19" si="18">K8*2.5</f>
        <v>27502.07175</v>
      </c>
      <c r="L19" s="18">
        <f t="shared" si="18"/>
        <v>27502.07175</v>
      </c>
      <c r="M19" s="18">
        <f t="shared" si="18"/>
        <v>36669.429</v>
      </c>
      <c r="N19" s="18">
        <f t="shared" si="18"/>
        <v>36669.429</v>
      </c>
      <c r="O19" s="18">
        <f t="shared" si="18"/>
        <v>55004.1435</v>
      </c>
    </row>
    <row r="20">
      <c r="A20" s="104" t="s">
        <v>21</v>
      </c>
      <c r="B20" s="105">
        <f t="shared" ref="B20:O20" si="19">SUM(B12:B19)</f>
        <v>60663.75</v>
      </c>
      <c r="C20" s="105">
        <f t="shared" si="19"/>
        <v>70802.70833</v>
      </c>
      <c r="D20" s="105">
        <f t="shared" si="19"/>
        <v>78041.66667</v>
      </c>
      <c r="E20" s="105">
        <f t="shared" si="19"/>
        <v>81375</v>
      </c>
      <c r="F20" s="105">
        <f t="shared" si="19"/>
        <v>88208.33333</v>
      </c>
      <c r="G20" s="105">
        <f t="shared" si="19"/>
        <v>91616.66667</v>
      </c>
      <c r="H20" s="105">
        <f t="shared" si="19"/>
        <v>153087.5</v>
      </c>
      <c r="I20" s="105">
        <f t="shared" si="19"/>
        <v>175587.5</v>
      </c>
      <c r="J20" s="105">
        <f t="shared" si="19"/>
        <v>191187.5</v>
      </c>
      <c r="K20" s="105">
        <f t="shared" si="19"/>
        <v>167689.5718</v>
      </c>
      <c r="L20" s="105">
        <f t="shared" si="19"/>
        <v>162689.5718</v>
      </c>
      <c r="M20" s="105">
        <f t="shared" si="19"/>
        <v>169856.929</v>
      </c>
      <c r="N20" s="105">
        <f t="shared" si="19"/>
        <v>175856.929</v>
      </c>
      <c r="O20" s="105">
        <f t="shared" si="19"/>
        <v>191191.6435</v>
      </c>
    </row>
    <row r="25">
      <c r="A25" s="104" t="s">
        <v>263</v>
      </c>
      <c r="K25" s="68">
        <v>5000.0</v>
      </c>
      <c r="L25" s="68">
        <v>10000.0</v>
      </c>
      <c r="M25" s="68">
        <v>10000.0</v>
      </c>
      <c r="N25" s="68">
        <v>10000.0</v>
      </c>
      <c r="O25" s="68">
        <v>2000.0</v>
      </c>
    </row>
    <row r="29">
      <c r="B29" s="13" t="s">
        <v>264</v>
      </c>
    </row>
    <row r="30">
      <c r="B30" s="4"/>
      <c r="C30" s="4"/>
      <c r="D30" s="4"/>
      <c r="E30" s="4"/>
      <c r="F30" s="4"/>
      <c r="G30" s="4"/>
      <c r="H30" s="4"/>
      <c r="I30" s="4"/>
      <c r="J30" s="4"/>
    </row>
    <row r="31">
      <c r="A31" s="13"/>
      <c r="B31" s="118"/>
      <c r="C31" s="118"/>
      <c r="D31" s="118"/>
      <c r="E31" s="118"/>
      <c r="F31" s="118"/>
      <c r="G31" s="118"/>
      <c r="H31" s="118"/>
      <c r="I31" s="118"/>
      <c r="J31" s="118"/>
    </row>
    <row r="32">
      <c r="A32" s="13"/>
    </row>
    <row r="33">
      <c r="A33" s="13"/>
      <c r="B33" s="119"/>
      <c r="C33" s="119"/>
      <c r="D33" s="119"/>
      <c r="E33" s="119"/>
      <c r="F33" s="119"/>
      <c r="G33" s="119"/>
      <c r="H33" s="119"/>
      <c r="I33" s="119"/>
      <c r="J33" s="119"/>
    </row>
    <row r="34">
      <c r="A34" s="13"/>
      <c r="B34" s="120"/>
      <c r="C34" s="120"/>
      <c r="D34" s="120"/>
      <c r="E34" s="120"/>
      <c r="F34" s="120"/>
      <c r="G34" s="120"/>
      <c r="H34" s="120"/>
      <c r="I34" s="120"/>
      <c r="J34" s="120"/>
    </row>
    <row r="35">
      <c r="A35" s="13"/>
      <c r="B35" s="120"/>
      <c r="C35" s="120"/>
      <c r="D35" s="120"/>
      <c r="E35" s="120"/>
      <c r="F35" s="120"/>
      <c r="G35" s="120"/>
      <c r="H35" s="120"/>
      <c r="I35" s="120"/>
      <c r="J35" s="120"/>
    </row>
    <row r="36">
      <c r="B36" s="125"/>
      <c r="C36" s="125"/>
      <c r="D36" s="125"/>
      <c r="E36" s="125"/>
      <c r="F36" s="125"/>
      <c r="G36" s="125"/>
      <c r="H36" s="125"/>
      <c r="I36" s="125"/>
      <c r="J36" s="1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</cols>
  <sheetData>
    <row r="1">
      <c r="A1" s="13" t="s">
        <v>278</v>
      </c>
      <c r="L1" s="13"/>
      <c r="M1" s="13"/>
      <c r="N1" s="13"/>
      <c r="O1" s="13"/>
    </row>
    <row r="2">
      <c r="A2" s="13" t="s">
        <v>279</v>
      </c>
      <c r="B2" s="114"/>
      <c r="C2" s="114">
        <v>1.99E7</v>
      </c>
      <c r="D2" s="126" t="s">
        <v>280</v>
      </c>
      <c r="K2" s="13"/>
    </row>
    <row r="3">
      <c r="A3" s="13" t="s">
        <v>281</v>
      </c>
      <c r="B3" s="114"/>
      <c r="C3" s="114">
        <v>8100000.0</v>
      </c>
    </row>
    <row r="4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6">
      <c r="B6" s="61"/>
      <c r="C6" s="61" t="s">
        <v>163</v>
      </c>
      <c r="D6" s="61" t="s">
        <v>164</v>
      </c>
      <c r="E6" s="61" t="s">
        <v>165</v>
      </c>
      <c r="F6" s="61" t="s">
        <v>166</v>
      </c>
      <c r="G6" s="61" t="s">
        <v>167</v>
      </c>
      <c r="H6" s="61" t="s">
        <v>168</v>
      </c>
      <c r="I6" s="61" t="s">
        <v>240</v>
      </c>
      <c r="J6" s="61" t="s">
        <v>241</v>
      </c>
      <c r="K6" s="61" t="s">
        <v>242</v>
      </c>
      <c r="L6" s="61" t="s">
        <v>243</v>
      </c>
    </row>
    <row r="7">
      <c r="A7" s="73" t="s">
        <v>282</v>
      </c>
      <c r="B7" s="114"/>
      <c r="C7" s="114">
        <f>'Walk Through'!L43</f>
        <v>4374</v>
      </c>
      <c r="D7" s="114">
        <f>'Walk Through'!N43</f>
        <v>6790.635</v>
      </c>
      <c r="E7" s="114">
        <v>6000.0</v>
      </c>
      <c r="F7" s="114">
        <v>6500.0</v>
      </c>
      <c r="G7" s="114">
        <f t="shared" ref="G7:L7" si="1">5000*G8</f>
        <v>50000</v>
      </c>
      <c r="H7" s="114">
        <f t="shared" si="1"/>
        <v>50000</v>
      </c>
      <c r="I7" s="114">
        <f t="shared" si="1"/>
        <v>125000</v>
      </c>
      <c r="J7" s="114">
        <f t="shared" si="1"/>
        <v>125000</v>
      </c>
      <c r="K7" s="114">
        <f t="shared" si="1"/>
        <v>250000</v>
      </c>
      <c r="L7" s="114">
        <f t="shared" si="1"/>
        <v>250000</v>
      </c>
    </row>
    <row r="8">
      <c r="A8" s="115" t="s">
        <v>283</v>
      </c>
      <c r="B8" s="13"/>
      <c r="C8" s="13">
        <v>3.0</v>
      </c>
      <c r="D8" s="13">
        <v>3.0</v>
      </c>
      <c r="E8" s="13">
        <v>5.0</v>
      </c>
      <c r="F8" s="13">
        <v>5.0</v>
      </c>
      <c r="G8" s="13">
        <v>10.0</v>
      </c>
      <c r="H8" s="13">
        <v>10.0</v>
      </c>
      <c r="I8" s="13">
        <v>25.0</v>
      </c>
      <c r="J8" s="13">
        <v>25.0</v>
      </c>
      <c r="K8" s="13">
        <v>50.0</v>
      </c>
      <c r="L8" s="13">
        <v>50.0</v>
      </c>
    </row>
    <row r="9">
      <c r="A9" s="73" t="s">
        <v>284</v>
      </c>
      <c r="B9" s="13"/>
      <c r="C9" s="114">
        <v>8000.0</v>
      </c>
      <c r="D9" s="114">
        <v>10000.0</v>
      </c>
      <c r="E9" s="114">
        <v>80000.0</v>
      </c>
      <c r="F9" s="114">
        <v>90000.0</v>
      </c>
      <c r="G9" s="114">
        <v>300000.0</v>
      </c>
      <c r="H9" s="114">
        <v>350000.0</v>
      </c>
      <c r="I9" s="114">
        <f t="shared" ref="I9:L9" si="2">5000*I10</f>
        <v>750000</v>
      </c>
      <c r="J9" s="114">
        <f t="shared" si="2"/>
        <v>750000</v>
      </c>
      <c r="K9" s="114">
        <f t="shared" si="2"/>
        <v>1500000</v>
      </c>
      <c r="L9" s="114">
        <f t="shared" si="2"/>
        <v>1500000</v>
      </c>
    </row>
    <row r="10">
      <c r="A10" s="115" t="s">
        <v>285</v>
      </c>
      <c r="C10" s="13">
        <v>3.0</v>
      </c>
      <c r="D10" s="13">
        <v>3.0</v>
      </c>
      <c r="E10" s="13">
        <v>20.0</v>
      </c>
      <c r="F10" s="13">
        <v>20.0</v>
      </c>
      <c r="G10" s="13">
        <v>60.0</v>
      </c>
      <c r="H10" s="13">
        <v>60.0</v>
      </c>
      <c r="I10" s="13">
        <v>150.0</v>
      </c>
      <c r="J10" s="13">
        <v>150.0</v>
      </c>
      <c r="K10" s="13">
        <v>300.0</v>
      </c>
      <c r="L10" s="13">
        <v>300.0</v>
      </c>
    </row>
    <row r="11" ht="15.0" customHeight="1">
      <c r="A11" s="46"/>
    </row>
    <row r="12" ht="15.0" customHeight="1">
      <c r="A12" s="113" t="s">
        <v>258</v>
      </c>
    </row>
    <row r="13">
      <c r="A13" s="46" t="s">
        <v>286</v>
      </c>
    </row>
    <row r="14">
      <c r="A14" s="13" t="s">
        <v>287</v>
      </c>
      <c r="B14" s="116"/>
      <c r="C14" s="116">
        <f t="shared" ref="C14:D14" si="3">0.02</f>
        <v>0.02</v>
      </c>
      <c r="D14" s="116">
        <f t="shared" si="3"/>
        <v>0.02</v>
      </c>
      <c r="E14" s="127">
        <v>0.0</v>
      </c>
      <c r="F14" s="127">
        <v>0.0</v>
      </c>
      <c r="G14" s="116">
        <f t="shared" ref="G14:H14" si="4">0.025</f>
        <v>0.025</v>
      </c>
      <c r="H14" s="116">
        <f t="shared" si="4"/>
        <v>0.025</v>
      </c>
      <c r="I14" s="116">
        <f>0.0125</f>
        <v>0.0125</v>
      </c>
      <c r="J14" s="116">
        <f>0.01</f>
        <v>0.01</v>
      </c>
      <c r="K14" s="116">
        <f t="shared" ref="K14:L14" si="5">0.00625</f>
        <v>0.00625</v>
      </c>
      <c r="L14" s="116">
        <f t="shared" si="5"/>
        <v>0.00625</v>
      </c>
    </row>
    <row r="15">
      <c r="A15" s="13" t="s">
        <v>288</v>
      </c>
      <c r="B15" s="13"/>
      <c r="C15" s="116">
        <f t="shared" ref="C15:D15" si="6">0.02</f>
        <v>0.02</v>
      </c>
      <c r="D15" s="116">
        <f t="shared" si="6"/>
        <v>0.02</v>
      </c>
      <c r="E15" s="127">
        <v>0.0</v>
      </c>
      <c r="F15" s="116">
        <f>0.01</f>
        <v>0.01</v>
      </c>
      <c r="G15" s="116">
        <f t="shared" ref="G15:J15" si="7">0.035</f>
        <v>0.035</v>
      </c>
      <c r="H15" s="116">
        <f t="shared" si="7"/>
        <v>0.035</v>
      </c>
      <c r="I15" s="116">
        <f t="shared" si="7"/>
        <v>0.035</v>
      </c>
      <c r="J15" s="116">
        <f t="shared" si="7"/>
        <v>0.035</v>
      </c>
      <c r="K15" s="116">
        <f t="shared" ref="K15:L15" si="8">0.025</f>
        <v>0.025</v>
      </c>
      <c r="L15" s="116">
        <f t="shared" si="8"/>
        <v>0.025</v>
      </c>
    </row>
    <row r="16">
      <c r="A16" s="13" t="s">
        <v>289</v>
      </c>
      <c r="B16" s="13"/>
      <c r="C16" s="13">
        <v>0.0</v>
      </c>
      <c r="D16" s="13">
        <v>0.0</v>
      </c>
      <c r="E16" s="13">
        <v>0.0</v>
      </c>
      <c r="F16" s="13">
        <v>5.0</v>
      </c>
      <c r="G16" s="13">
        <v>10.0</v>
      </c>
      <c r="H16" s="13">
        <v>15.0</v>
      </c>
      <c r="I16" s="13">
        <v>25.0</v>
      </c>
      <c r="J16" s="13">
        <v>40.0</v>
      </c>
      <c r="K16" s="13">
        <v>60.0</v>
      </c>
      <c r="L16" s="13">
        <v>90.0</v>
      </c>
    </row>
    <row r="17">
      <c r="A17" s="104" t="s">
        <v>290</v>
      </c>
      <c r="B17" s="117"/>
      <c r="C17" s="128">
        <f t="shared" ref="C17:L17" si="9">C14*C7*C16</f>
        <v>0</v>
      </c>
      <c r="D17" s="129">
        <f t="shared" si="9"/>
        <v>0</v>
      </c>
      <c r="E17" s="129">
        <f t="shared" si="9"/>
        <v>0</v>
      </c>
      <c r="F17" s="129">
        <f t="shared" si="9"/>
        <v>0</v>
      </c>
      <c r="G17" s="129">
        <f t="shared" si="9"/>
        <v>12500</v>
      </c>
      <c r="H17" s="129">
        <f t="shared" si="9"/>
        <v>18750</v>
      </c>
      <c r="I17" s="129">
        <f t="shared" si="9"/>
        <v>39062.5</v>
      </c>
      <c r="J17" s="129">
        <f t="shared" si="9"/>
        <v>50000</v>
      </c>
      <c r="K17" s="129">
        <f t="shared" si="9"/>
        <v>93750</v>
      </c>
      <c r="L17" s="130">
        <f t="shared" si="9"/>
        <v>140625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>
      <c r="A18" s="73" t="s">
        <v>265</v>
      </c>
      <c r="B18" s="121"/>
      <c r="C18" s="121">
        <v>0.0</v>
      </c>
      <c r="D18" s="121">
        <v>0.0</v>
      </c>
      <c r="E18" s="122">
        <f>E20/E19</f>
        <v>0</v>
      </c>
      <c r="F18" s="122">
        <f t="shared" ref="F18:L18" si="10">F17/F16</f>
        <v>0</v>
      </c>
      <c r="G18" s="122">
        <f t="shared" si="10"/>
        <v>1250</v>
      </c>
      <c r="H18" s="122">
        <f t="shared" si="10"/>
        <v>1250</v>
      </c>
      <c r="I18" s="122">
        <f t="shared" si="10"/>
        <v>1562.5</v>
      </c>
      <c r="J18" s="122">
        <f t="shared" si="10"/>
        <v>1250</v>
      </c>
      <c r="K18" s="122">
        <f t="shared" si="10"/>
        <v>1562.5</v>
      </c>
      <c r="L18" s="122">
        <f t="shared" si="10"/>
        <v>1562.5</v>
      </c>
    </row>
    <row r="19">
      <c r="A19" s="131" t="s">
        <v>291</v>
      </c>
      <c r="B19" s="121"/>
      <c r="C19" s="13">
        <v>0.0</v>
      </c>
      <c r="D19" s="13">
        <v>0.0</v>
      </c>
      <c r="E19" s="13">
        <v>5.0</v>
      </c>
      <c r="F19" s="13">
        <v>10.0</v>
      </c>
      <c r="G19" s="13">
        <v>25.0</v>
      </c>
      <c r="H19" s="13">
        <v>40.0</v>
      </c>
      <c r="I19" s="13">
        <v>70.0</v>
      </c>
      <c r="J19" s="13">
        <v>100.0</v>
      </c>
      <c r="K19" s="13">
        <v>130.0</v>
      </c>
      <c r="L19" s="13">
        <v>170.0</v>
      </c>
    </row>
    <row r="20">
      <c r="A20" s="104" t="s">
        <v>292</v>
      </c>
      <c r="B20" s="121"/>
      <c r="C20" s="128">
        <f t="shared" ref="C20:E20" si="11">C14*C7*C19</f>
        <v>0</v>
      </c>
      <c r="D20" s="129">
        <f t="shared" si="11"/>
        <v>0</v>
      </c>
      <c r="E20" s="129">
        <f t="shared" si="11"/>
        <v>0</v>
      </c>
      <c r="F20" s="129">
        <f t="shared" ref="F20:L20" si="12">F15*F9*F19</f>
        <v>9000</v>
      </c>
      <c r="G20" s="129">
        <f t="shared" si="12"/>
        <v>262500</v>
      </c>
      <c r="H20" s="129">
        <f t="shared" si="12"/>
        <v>490000</v>
      </c>
      <c r="I20" s="129">
        <f t="shared" si="12"/>
        <v>1837500</v>
      </c>
      <c r="J20" s="129">
        <f t="shared" si="12"/>
        <v>2625000</v>
      </c>
      <c r="K20" s="129">
        <f t="shared" si="12"/>
        <v>4875000</v>
      </c>
      <c r="L20" s="129">
        <f t="shared" si="12"/>
        <v>6375000</v>
      </c>
    </row>
    <row r="21">
      <c r="A21" s="73" t="s">
        <v>265</v>
      </c>
      <c r="C21" s="13">
        <v>0.0</v>
      </c>
      <c r="D21" s="13">
        <v>0.0</v>
      </c>
      <c r="E21" s="122">
        <f t="shared" ref="E21:L21" si="13">E20/E19</f>
        <v>0</v>
      </c>
      <c r="F21" s="122">
        <f t="shared" si="13"/>
        <v>900</v>
      </c>
      <c r="G21" s="122">
        <f t="shared" si="13"/>
        <v>10500</v>
      </c>
      <c r="H21" s="122">
        <f t="shared" si="13"/>
        <v>12250</v>
      </c>
      <c r="I21" s="122">
        <f t="shared" si="13"/>
        <v>26250</v>
      </c>
      <c r="J21" s="122">
        <f t="shared" si="13"/>
        <v>26250</v>
      </c>
      <c r="K21" s="122">
        <f t="shared" si="13"/>
        <v>37500</v>
      </c>
      <c r="L21" s="122">
        <f t="shared" si="13"/>
        <v>37500</v>
      </c>
    </row>
    <row r="22">
      <c r="A22" s="46"/>
    </row>
    <row r="23">
      <c r="A23" s="46" t="s">
        <v>193</v>
      </c>
    </row>
    <row r="24">
      <c r="A24" s="13" t="s">
        <v>268</v>
      </c>
      <c r="B24" s="68"/>
      <c r="C24" s="68">
        <v>10000.0</v>
      </c>
      <c r="D24" s="68">
        <v>10000.0</v>
      </c>
      <c r="E24" s="68">
        <v>10000.0</v>
      </c>
      <c r="F24" s="68">
        <v>10000.0</v>
      </c>
      <c r="G24" s="68">
        <v>10000.0</v>
      </c>
      <c r="H24" s="68">
        <v>10000.0</v>
      </c>
      <c r="I24" s="68">
        <v>15000.0</v>
      </c>
      <c r="J24" s="68">
        <v>15000.0</v>
      </c>
      <c r="K24" s="68">
        <v>15000.0</v>
      </c>
      <c r="L24" s="68">
        <v>15000.0</v>
      </c>
    </row>
    <row r="25">
      <c r="A25" s="13" t="s">
        <v>293</v>
      </c>
      <c r="B25" s="13"/>
      <c r="C25" s="13">
        <v>0.0</v>
      </c>
      <c r="D25" s="13">
        <v>0.0</v>
      </c>
      <c r="E25" s="13">
        <v>5.0</v>
      </c>
      <c r="F25" s="13">
        <v>5.0</v>
      </c>
      <c r="G25" s="13">
        <v>15.0</v>
      </c>
      <c r="H25" s="13">
        <v>15.0</v>
      </c>
      <c r="I25" s="13">
        <v>50.0</v>
      </c>
      <c r="J25" s="13">
        <v>50.0</v>
      </c>
      <c r="K25" s="13">
        <v>150.0</v>
      </c>
      <c r="L25" s="13">
        <v>150.0</v>
      </c>
    </row>
    <row r="26">
      <c r="A26" s="104" t="s">
        <v>294</v>
      </c>
      <c r="B26" s="98"/>
      <c r="C26" s="132">
        <f t="shared" ref="C26:L26" si="14">C25*C24</f>
        <v>0</v>
      </c>
      <c r="D26" s="133">
        <f t="shared" si="14"/>
        <v>0</v>
      </c>
      <c r="E26" s="133">
        <f t="shared" si="14"/>
        <v>50000</v>
      </c>
      <c r="F26" s="133">
        <f t="shared" si="14"/>
        <v>50000</v>
      </c>
      <c r="G26" s="133">
        <f t="shared" si="14"/>
        <v>150000</v>
      </c>
      <c r="H26" s="133">
        <f t="shared" si="14"/>
        <v>150000</v>
      </c>
      <c r="I26" s="133">
        <f t="shared" si="14"/>
        <v>750000</v>
      </c>
      <c r="J26" s="133">
        <f t="shared" si="14"/>
        <v>750000</v>
      </c>
      <c r="K26" s="133">
        <f t="shared" si="14"/>
        <v>2250000</v>
      </c>
      <c r="L26" s="134">
        <f t="shared" si="14"/>
        <v>2250000</v>
      </c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>
      <c r="A27" s="13" t="s">
        <v>293</v>
      </c>
      <c r="C27" s="13">
        <v>0.0</v>
      </c>
      <c r="D27" s="13">
        <v>0.0</v>
      </c>
      <c r="E27" s="13">
        <v>10.0</v>
      </c>
      <c r="F27" s="13">
        <v>10.0</v>
      </c>
      <c r="G27" s="13">
        <v>40.0</v>
      </c>
      <c r="H27" s="13">
        <v>40.0</v>
      </c>
      <c r="I27" s="13">
        <v>100.0</v>
      </c>
      <c r="J27" s="13">
        <v>100.0</v>
      </c>
      <c r="K27" s="13">
        <v>200.0</v>
      </c>
      <c r="L27" s="13">
        <v>200.0</v>
      </c>
    </row>
    <row r="28">
      <c r="A28" s="104" t="s">
        <v>295</v>
      </c>
      <c r="C28" s="132">
        <f t="shared" ref="C28:L28" si="15">C27*C24</f>
        <v>0</v>
      </c>
      <c r="D28" s="133">
        <f t="shared" si="15"/>
        <v>0</v>
      </c>
      <c r="E28" s="133">
        <f t="shared" si="15"/>
        <v>100000</v>
      </c>
      <c r="F28" s="133">
        <f t="shared" si="15"/>
        <v>100000</v>
      </c>
      <c r="G28" s="133">
        <f t="shared" si="15"/>
        <v>400000</v>
      </c>
      <c r="H28" s="133">
        <f t="shared" si="15"/>
        <v>400000</v>
      </c>
      <c r="I28" s="133">
        <f t="shared" si="15"/>
        <v>1500000</v>
      </c>
      <c r="J28" s="133">
        <f t="shared" si="15"/>
        <v>1500000</v>
      </c>
      <c r="K28" s="133">
        <f t="shared" si="15"/>
        <v>3000000</v>
      </c>
      <c r="L28" s="134">
        <f t="shared" si="15"/>
        <v>3000000</v>
      </c>
    </row>
    <row r="30">
      <c r="A30" s="46" t="s">
        <v>296</v>
      </c>
    </row>
    <row r="31">
      <c r="A31" s="13" t="s">
        <v>297</v>
      </c>
      <c r="B31" s="68"/>
      <c r="C31" s="68">
        <v>0.5</v>
      </c>
      <c r="D31" s="68">
        <v>0.5</v>
      </c>
      <c r="E31" s="68">
        <v>0.5</v>
      </c>
      <c r="F31" s="68">
        <v>0.5</v>
      </c>
      <c r="G31" s="68">
        <v>0.5</v>
      </c>
      <c r="H31" s="68">
        <v>0.5</v>
      </c>
      <c r="I31" s="68">
        <v>0.5</v>
      </c>
      <c r="J31" s="68">
        <v>0.5</v>
      </c>
      <c r="K31" s="68">
        <v>0.5</v>
      </c>
      <c r="L31" s="68">
        <v>0.5</v>
      </c>
    </row>
    <row r="32">
      <c r="A32" s="13" t="s">
        <v>270</v>
      </c>
      <c r="B32" s="13"/>
      <c r="C32" s="13">
        <v>0.0</v>
      </c>
      <c r="D32" s="13">
        <v>10.0</v>
      </c>
      <c r="E32" s="13">
        <v>12.0</v>
      </c>
      <c r="F32" s="13">
        <v>12.0</v>
      </c>
      <c r="G32" s="13">
        <v>12.0</v>
      </c>
      <c r="H32" s="13">
        <v>12.0</v>
      </c>
      <c r="I32" s="13">
        <v>12.0</v>
      </c>
      <c r="J32" s="13">
        <v>12.0</v>
      </c>
      <c r="K32" s="13">
        <v>12.0</v>
      </c>
      <c r="L32" s="13">
        <v>12.0</v>
      </c>
    </row>
    <row r="33">
      <c r="A33" s="104" t="s">
        <v>294</v>
      </c>
      <c r="B33" s="98"/>
      <c r="C33" s="132">
        <f t="shared" ref="C33:L33" si="16">C31*C32*C7</f>
        <v>0</v>
      </c>
      <c r="D33" s="133">
        <f t="shared" si="16"/>
        <v>33953.175</v>
      </c>
      <c r="E33" s="133">
        <f t="shared" si="16"/>
        <v>36000</v>
      </c>
      <c r="F33" s="133">
        <f t="shared" si="16"/>
        <v>39000</v>
      </c>
      <c r="G33" s="133">
        <f t="shared" si="16"/>
        <v>300000</v>
      </c>
      <c r="H33" s="133">
        <f t="shared" si="16"/>
        <v>300000</v>
      </c>
      <c r="I33" s="133">
        <f t="shared" si="16"/>
        <v>750000</v>
      </c>
      <c r="J33" s="133">
        <f t="shared" si="16"/>
        <v>750000</v>
      </c>
      <c r="K33" s="133">
        <f t="shared" si="16"/>
        <v>1500000</v>
      </c>
      <c r="L33" s="134">
        <f t="shared" si="16"/>
        <v>1500000</v>
      </c>
    </row>
    <row r="34">
      <c r="A34" s="104" t="s">
        <v>295</v>
      </c>
      <c r="C34" s="132">
        <f t="shared" ref="C34:L34" si="17">C31*C32*C9</f>
        <v>0</v>
      </c>
      <c r="D34" s="133">
        <f t="shared" si="17"/>
        <v>50000</v>
      </c>
      <c r="E34" s="133">
        <f t="shared" si="17"/>
        <v>480000</v>
      </c>
      <c r="F34" s="133">
        <f t="shared" si="17"/>
        <v>540000</v>
      </c>
      <c r="G34" s="133">
        <f t="shared" si="17"/>
        <v>1800000</v>
      </c>
      <c r="H34" s="133">
        <f t="shared" si="17"/>
        <v>2100000</v>
      </c>
      <c r="I34" s="133">
        <f t="shared" si="17"/>
        <v>4500000</v>
      </c>
      <c r="J34" s="133">
        <f t="shared" si="17"/>
        <v>4500000</v>
      </c>
      <c r="K34" s="133">
        <f t="shared" si="17"/>
        <v>9000000</v>
      </c>
      <c r="L34" s="134">
        <f t="shared" si="17"/>
        <v>9000000</v>
      </c>
    </row>
    <row r="36">
      <c r="A36" s="46" t="s">
        <v>298</v>
      </c>
    </row>
    <row r="37">
      <c r="A37" s="104" t="s">
        <v>179</v>
      </c>
      <c r="G37" s="123">
        <v>500000.0</v>
      </c>
      <c r="H37" s="98"/>
      <c r="I37" s="124">
        <v>1000000.0</v>
      </c>
      <c r="J37" s="98"/>
      <c r="K37" s="124">
        <v>5000000.0</v>
      </c>
    </row>
    <row r="39">
      <c r="A39" s="46" t="s">
        <v>272</v>
      </c>
    </row>
    <row r="40">
      <c r="A40" s="104" t="s">
        <v>179</v>
      </c>
      <c r="K40" s="123"/>
    </row>
    <row r="41">
      <c r="A41" s="104" t="s">
        <v>299</v>
      </c>
      <c r="C41" s="135">
        <f t="shared" ref="C41:L41" si="18">C17+C26+C33+C37+C40</f>
        <v>0</v>
      </c>
      <c r="D41" s="135">
        <f t="shared" si="18"/>
        <v>33953.175</v>
      </c>
      <c r="E41" s="135">
        <f t="shared" si="18"/>
        <v>86000</v>
      </c>
      <c r="F41" s="135">
        <f t="shared" si="18"/>
        <v>89000</v>
      </c>
      <c r="G41" s="105">
        <f t="shared" si="18"/>
        <v>962500</v>
      </c>
      <c r="H41" s="135">
        <f t="shared" si="18"/>
        <v>468750</v>
      </c>
      <c r="I41" s="135">
        <f t="shared" si="18"/>
        <v>2539062.5</v>
      </c>
      <c r="J41" s="135">
        <f t="shared" si="18"/>
        <v>1550000</v>
      </c>
      <c r="K41" s="135">
        <f t="shared" si="18"/>
        <v>8843750</v>
      </c>
      <c r="L41" s="135">
        <f t="shared" si="18"/>
        <v>3890625</v>
      </c>
    </row>
    <row r="42">
      <c r="A42" s="136" t="s">
        <v>300</v>
      </c>
      <c r="C42" s="137">
        <f>SUM(C41:D41)</f>
        <v>33953.175</v>
      </c>
      <c r="D42" s="138"/>
      <c r="E42" s="137">
        <f>SUM(E41:F41)</f>
        <v>175000</v>
      </c>
      <c r="F42" s="138"/>
      <c r="G42" s="139">
        <f>SUM(G41:H41)</f>
        <v>1431250</v>
      </c>
      <c r="H42" s="138"/>
      <c r="I42" s="137">
        <f>SUM(I41:J41)</f>
        <v>4089062.5</v>
      </c>
      <c r="J42" s="138"/>
      <c r="K42" s="137">
        <f>SUM(K41:L41)</f>
        <v>12734375</v>
      </c>
      <c r="L42" s="138"/>
    </row>
    <row r="43">
      <c r="A43" s="104" t="s">
        <v>301</v>
      </c>
      <c r="C43" s="135">
        <f t="shared" ref="C43:L43" si="19">C20+C28+C34+C37+C40</f>
        <v>0</v>
      </c>
      <c r="D43" s="135">
        <f t="shared" si="19"/>
        <v>50000</v>
      </c>
      <c r="E43" s="135">
        <f t="shared" si="19"/>
        <v>580000</v>
      </c>
      <c r="F43" s="135">
        <f t="shared" si="19"/>
        <v>649000</v>
      </c>
      <c r="G43" s="135">
        <f t="shared" si="19"/>
        <v>2962500</v>
      </c>
      <c r="H43" s="135">
        <f t="shared" si="19"/>
        <v>2990000</v>
      </c>
      <c r="I43" s="135">
        <f t="shared" si="19"/>
        <v>8837500</v>
      </c>
      <c r="J43" s="135">
        <f t="shared" si="19"/>
        <v>8625000</v>
      </c>
      <c r="K43" s="135">
        <f t="shared" si="19"/>
        <v>21875000</v>
      </c>
      <c r="L43" s="135">
        <f t="shared" si="19"/>
        <v>18375000</v>
      </c>
    </row>
    <row r="44">
      <c r="A44" s="136" t="s">
        <v>302</v>
      </c>
      <c r="C44" s="137">
        <f>SUM(C43:D43)</f>
        <v>50000</v>
      </c>
      <c r="D44" s="138"/>
      <c r="E44" s="137">
        <f>SUM(E43:F43)</f>
        <v>1229000</v>
      </c>
      <c r="F44" s="138"/>
      <c r="G44" s="137">
        <f>SUM(G43:H43)</f>
        <v>5952500</v>
      </c>
      <c r="H44" s="138"/>
      <c r="I44" s="137">
        <f>SUM(I43:J43)</f>
        <v>17462500</v>
      </c>
      <c r="J44" s="138"/>
      <c r="K44" s="137">
        <f>SUM(K43:L43)</f>
        <v>40250000</v>
      </c>
      <c r="L44" s="138"/>
    </row>
    <row r="47">
      <c r="A47" s="113" t="s">
        <v>303</v>
      </c>
      <c r="B47" s="61" t="s">
        <v>304</v>
      </c>
      <c r="C47" s="61" t="s">
        <v>305</v>
      </c>
      <c r="E47" s="61" t="s">
        <v>306</v>
      </c>
      <c r="G47" s="61" t="s">
        <v>307</v>
      </c>
      <c r="I47" s="61" t="s">
        <v>308</v>
      </c>
      <c r="K47" s="61" t="s">
        <v>309</v>
      </c>
    </row>
    <row r="48">
      <c r="A48" s="13" t="s">
        <v>34</v>
      </c>
      <c r="B48" s="18">
        <f>SUM('Salaries (goal)'!B52:F52)</f>
        <v>233793.1667</v>
      </c>
      <c r="C48" s="18">
        <f>SUM('Salaries (goal)'!G52:H52)</f>
        <v>707417.5</v>
      </c>
      <c r="E48" s="18">
        <f>SUM('Salaries (goal)'!I52:K52)</f>
        <v>1455621.875</v>
      </c>
      <c r="G48" s="18">
        <f>SUM('Salaries (goal)'!L52:N52)</f>
        <v>2164442.552</v>
      </c>
      <c r="I48" s="18">
        <f>SUM('Salaries (goal)'!O52:Q52)</f>
        <v>2887102.18</v>
      </c>
      <c r="K48" s="18">
        <f>SUM('Salaries (goal)'!R52:T52)</f>
        <v>3242769.789</v>
      </c>
    </row>
    <row r="49">
      <c r="A49" s="13" t="s">
        <v>50</v>
      </c>
      <c r="B49" s="18">
        <f t="shared" ref="B49:C49" si="20">B48*0.15</f>
        <v>35068.975</v>
      </c>
      <c r="C49" s="18">
        <f t="shared" si="20"/>
        <v>106112.625</v>
      </c>
      <c r="E49" s="18">
        <f>E48*0.15</f>
        <v>218343.2813</v>
      </c>
      <c r="G49" s="18">
        <f>G48*0.15</f>
        <v>324666.3828</v>
      </c>
      <c r="I49" s="18">
        <f>I48*0.15</f>
        <v>433065.327</v>
      </c>
      <c r="K49" s="18">
        <f>K48*0.15</f>
        <v>486415.4683</v>
      </c>
    </row>
    <row r="50">
      <c r="A50" s="13" t="s">
        <v>238</v>
      </c>
      <c r="B50" s="18">
        <f>SUM(Marketing!E2:I3)</f>
        <v>20000</v>
      </c>
      <c r="C50" s="44">
        <v>20000.0</v>
      </c>
      <c r="E50" s="44">
        <v>50000.0</v>
      </c>
      <c r="G50" s="44">
        <v>100000.0</v>
      </c>
      <c r="I50" s="44">
        <v>100001.0</v>
      </c>
      <c r="K50" s="44">
        <v>100002.0</v>
      </c>
    </row>
    <row r="51">
      <c r="A51" s="13" t="s">
        <v>235</v>
      </c>
      <c r="B51" s="44">
        <f>2250*5</f>
        <v>11250</v>
      </c>
      <c r="C51" s="44">
        <f>6500*12</f>
        <v>78000</v>
      </c>
      <c r="E51" s="44">
        <f>11000*12</f>
        <v>132000</v>
      </c>
      <c r="G51" s="44">
        <f>20000*12</f>
        <v>240000</v>
      </c>
      <c r="I51" s="18">
        <f>25000*12</f>
        <v>300000</v>
      </c>
      <c r="K51" s="18">
        <f>25000*12</f>
        <v>300000</v>
      </c>
    </row>
    <row r="52">
      <c r="A52" s="13" t="s">
        <v>53</v>
      </c>
      <c r="B52" s="18">
        <f>2500*5</f>
        <v>12500</v>
      </c>
      <c r="C52" s="18">
        <f t="shared" ref="C52:C53" si="21">4000*12</f>
        <v>48000</v>
      </c>
      <c r="E52" s="18">
        <f>6000*12</f>
        <v>72000</v>
      </c>
      <c r="G52" s="18">
        <f>8000*12</f>
        <v>96000</v>
      </c>
      <c r="I52" s="18">
        <f>10000*12</f>
        <v>120000</v>
      </c>
      <c r="K52" s="18">
        <f>12000*12</f>
        <v>144000</v>
      </c>
    </row>
    <row r="53">
      <c r="A53" s="13" t="s">
        <v>236</v>
      </c>
      <c r="B53" s="18">
        <f>1000*5</f>
        <v>5000</v>
      </c>
      <c r="C53" s="18">
        <f t="shared" si="21"/>
        <v>48000</v>
      </c>
      <c r="E53" s="18">
        <f>10000*12</f>
        <v>120000</v>
      </c>
      <c r="G53" s="18">
        <f>13000*12</f>
        <v>156000</v>
      </c>
      <c r="I53" s="18">
        <f>15000*12</f>
        <v>180000</v>
      </c>
      <c r="K53" s="18">
        <f>20000*12</f>
        <v>240000</v>
      </c>
    </row>
    <row r="54">
      <c r="A54" s="13" t="s">
        <v>237</v>
      </c>
      <c r="B54" s="44">
        <f>SUM(Marketing!E4:I6)</f>
        <v>21600</v>
      </c>
      <c r="C54" s="44">
        <v>20000.0</v>
      </c>
      <c r="E54" s="44">
        <v>50000.0</v>
      </c>
      <c r="G54" s="44">
        <v>80000.0</v>
      </c>
      <c r="I54" s="44">
        <v>90000.0</v>
      </c>
      <c r="K54" s="44">
        <v>100000.0</v>
      </c>
    </row>
    <row r="55">
      <c r="A55" s="13" t="s">
        <v>82</v>
      </c>
      <c r="B55" s="44">
        <v>0.0</v>
      </c>
      <c r="C55" s="18">
        <f>SUM(Rewards!G29:H29)</f>
        <v>125826.858</v>
      </c>
      <c r="E55" s="18">
        <f>((Rewards!$B$17*E7)*Rewards!I14)+((Rewards!$B$17*F7)*Rewards!J14)</f>
        <v>116100</v>
      </c>
      <c r="G55" s="18">
        <f>((Rewards!$B$17*G7)*Rewards!K14)+((Rewards!$B$17*H7)*Rewards!L14)</f>
        <v>600000</v>
      </c>
      <c r="I55" s="18">
        <f>((Rewards!$B$17*I7)*Rewards!M14)+((Rewards!$B$17*J7)*Rewards!N14)</f>
        <v>1200000</v>
      </c>
      <c r="K55" s="18">
        <f>((Rewards!$B$17*K7)*Rewards!O14)+((Rewards!$B$17*L7)*Rewards!P14)</f>
        <v>2400000</v>
      </c>
    </row>
    <row r="56">
      <c r="A56" s="136" t="s">
        <v>21</v>
      </c>
      <c r="B56" s="140">
        <f>SUM(B48:B55)</f>
        <v>339212.1417</v>
      </c>
      <c r="C56" s="139">
        <f>SUM(C48:D55)</f>
        <v>1153356.983</v>
      </c>
      <c r="D56" s="138"/>
      <c r="E56" s="139">
        <f>SUM(E48:F55)</f>
        <v>2214065.156</v>
      </c>
      <c r="F56" s="138"/>
      <c r="G56" s="139">
        <f>SUM(G48:H55)</f>
        <v>3761108.935</v>
      </c>
      <c r="H56" s="138"/>
      <c r="I56" s="139">
        <f>SUM(I48:J55)</f>
        <v>5310168.507</v>
      </c>
      <c r="J56" s="138"/>
      <c r="K56" s="139">
        <f>SUM(K48:L55)</f>
        <v>7013187.257</v>
      </c>
      <c r="L56" s="13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</sheetData>
  <mergeCells count="60">
    <mergeCell ref="G47:H47"/>
    <mergeCell ref="G48:H48"/>
    <mergeCell ref="C52:D52"/>
    <mergeCell ref="E52:F52"/>
    <mergeCell ref="C53:D53"/>
    <mergeCell ref="C54:D54"/>
    <mergeCell ref="E49:F49"/>
    <mergeCell ref="E48:F48"/>
    <mergeCell ref="E53:F53"/>
    <mergeCell ref="E54:F54"/>
    <mergeCell ref="G54:H54"/>
    <mergeCell ref="C48:D48"/>
    <mergeCell ref="C49:D49"/>
    <mergeCell ref="C47:D47"/>
    <mergeCell ref="C51:D51"/>
    <mergeCell ref="E47:F47"/>
    <mergeCell ref="I52:J52"/>
    <mergeCell ref="I53:J53"/>
    <mergeCell ref="I51:J51"/>
    <mergeCell ref="G51:H51"/>
    <mergeCell ref="G52:H52"/>
    <mergeCell ref="G53:H53"/>
    <mergeCell ref="E51:F51"/>
    <mergeCell ref="K52:L52"/>
    <mergeCell ref="K51:L51"/>
    <mergeCell ref="C44:D44"/>
    <mergeCell ref="C42:D42"/>
    <mergeCell ref="E42:F42"/>
    <mergeCell ref="E44:F44"/>
    <mergeCell ref="G42:H42"/>
    <mergeCell ref="G44:H44"/>
    <mergeCell ref="E50:F50"/>
    <mergeCell ref="C50:D50"/>
    <mergeCell ref="K53:L53"/>
    <mergeCell ref="K54:L54"/>
    <mergeCell ref="K50:L50"/>
    <mergeCell ref="K49:L49"/>
    <mergeCell ref="I47:J47"/>
    <mergeCell ref="I48:J48"/>
    <mergeCell ref="I44:J44"/>
    <mergeCell ref="I42:J42"/>
    <mergeCell ref="K42:L42"/>
    <mergeCell ref="K44:L44"/>
    <mergeCell ref="K48:L48"/>
    <mergeCell ref="K47:L47"/>
    <mergeCell ref="G49:H49"/>
    <mergeCell ref="G50:H50"/>
    <mergeCell ref="I49:J49"/>
    <mergeCell ref="I50:J50"/>
    <mergeCell ref="I55:J55"/>
    <mergeCell ref="I56:J56"/>
    <mergeCell ref="I54:J54"/>
    <mergeCell ref="E55:F55"/>
    <mergeCell ref="E56:F56"/>
    <mergeCell ref="C55:D55"/>
    <mergeCell ref="C56:D56"/>
    <mergeCell ref="K55:L55"/>
    <mergeCell ref="K56:L56"/>
    <mergeCell ref="G55:H55"/>
    <mergeCell ref="G56:H56"/>
  </mergeCells>
  <hyperlinks>
    <hyperlink r:id="rId1" ref="D2"/>
  </hyperlinks>
  <drawing r:id="rId2"/>
</worksheet>
</file>