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2340\Desktop\"/>
    </mc:Choice>
  </mc:AlternateContent>
  <bookViews>
    <workbookView xWindow="-108" yWindow="-108" windowWidth="23256" windowHeight="12576" tabRatio="879" firstSheet="2" activeTab="6"/>
  </bookViews>
  <sheets>
    <sheet name="Forwards" sheetId="7" r:id="rId1"/>
    <sheet name="Posición Natural" sheetId="8" r:id="rId2"/>
    <sheet name="FRA" sheetId="9" r:id="rId3"/>
    <sheet name="IRS" sheetId="10" r:id="rId4"/>
    <sheet name="Curr Swap" sheetId="11" r:id="rId5"/>
    <sheet name="Opciones Cotizadas" sheetId="12" r:id="rId6"/>
    <sheet name="Opciones Cotizadas AsVal" sheetId="14" r:id="rId7"/>
    <sheet name="Opciones Cotizadas (2)" sheetId="18" r:id="rId8"/>
    <sheet name="Opciones Cotizadas (2) AsVal" sheetId="20" r:id="rId9"/>
    <sheet name="BSM" sheetId="13" r:id="rId10"/>
    <sheet name="Estructuración" sheetId="17" r:id="rId11"/>
    <sheet name="Estructuración AsVal" sheetId="19" r:id="rId12"/>
  </sheets>
  <definedNames>
    <definedName name="d_1">BSM!$D$9</definedName>
    <definedName name="d_2">BSM!$D$10</definedName>
    <definedName name="dvd">BSM!$D$6</definedName>
    <definedName name="K">BSM!$D$3</definedName>
    <definedName name="Nd_1">BSM!$D$11</definedName>
    <definedName name="Nd_2">BSM!$D$12</definedName>
    <definedName name="rate">BSM!$D$5</definedName>
    <definedName name="S">BSM!$D$2</definedName>
    <definedName name="sigma">BSM!$D$7</definedName>
    <definedName name="T">BSM!$D$4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4" i="20" l="1"/>
  <c r="I33" i="20"/>
  <c r="I30" i="20"/>
  <c r="I29" i="20"/>
  <c r="I28" i="20"/>
  <c r="I27" i="20"/>
  <c r="I24" i="20"/>
  <c r="I23" i="20"/>
  <c r="I20" i="20"/>
  <c r="I19" i="20"/>
  <c r="I15" i="20"/>
  <c r="I14" i="20"/>
  <c r="I13" i="20"/>
  <c r="I12" i="20"/>
  <c r="I11" i="20"/>
  <c r="I10" i="20"/>
  <c r="I9" i="20"/>
  <c r="I8" i="20"/>
  <c r="I7" i="20"/>
  <c r="I6" i="20"/>
  <c r="C8" i="19"/>
  <c r="C3" i="19" s="1"/>
  <c r="C4" i="19" s="1"/>
  <c r="C5" i="19" s="1"/>
  <c r="O23" i="20" l="1"/>
  <c r="O33" i="20"/>
  <c r="J21" i="20"/>
  <c r="B19" i="20" s="1"/>
  <c r="P23" i="20"/>
  <c r="N29" i="20"/>
  <c r="P19" i="20"/>
  <c r="P29" i="20"/>
  <c r="M6" i="20"/>
  <c r="N6" i="20" s="1"/>
  <c r="M10" i="20"/>
  <c r="N10" i="20" s="1"/>
  <c r="L10" i="20"/>
  <c r="M14" i="20"/>
  <c r="N14" i="20" s="1"/>
  <c r="N28" i="20"/>
  <c r="M15" i="20"/>
  <c r="N15" i="20" s="1"/>
  <c r="L15" i="20"/>
  <c r="O28" i="20"/>
  <c r="N24" i="20"/>
  <c r="J31" i="20"/>
  <c r="P28" i="20"/>
  <c r="N34" i="20"/>
  <c r="M8" i="20"/>
  <c r="N8" i="20" s="1"/>
  <c r="M12" i="20"/>
  <c r="N12" i="20" s="1"/>
  <c r="P20" i="20"/>
  <c r="P30" i="20"/>
  <c r="P33" i="20"/>
  <c r="P35" i="20" s="1"/>
  <c r="N19" i="20"/>
  <c r="M7" i="20"/>
  <c r="N7" i="20" s="1"/>
  <c r="M11" i="20"/>
  <c r="N11" i="20" s="1"/>
  <c r="L11" i="20"/>
  <c r="O19" i="20"/>
  <c r="O29" i="20"/>
  <c r="K13" i="20"/>
  <c r="K9" i="20"/>
  <c r="L9" i="20" s="1"/>
  <c r="K14" i="20"/>
  <c r="L14" i="20" s="1"/>
  <c r="K6" i="20"/>
  <c r="L6" i="20" s="1"/>
  <c r="K8" i="20"/>
  <c r="L8" i="20" s="1"/>
  <c r="K10" i="20"/>
  <c r="K15" i="20"/>
  <c r="K11" i="20"/>
  <c r="K7" i="20"/>
  <c r="L7" i="20" s="1"/>
  <c r="K12" i="20"/>
  <c r="L12" i="20" s="1"/>
  <c r="M9" i="20"/>
  <c r="N9" i="20" s="1"/>
  <c r="L13" i="20"/>
  <c r="M13" i="20"/>
  <c r="N13" i="20" s="1"/>
  <c r="O24" i="20"/>
  <c r="N27" i="20"/>
  <c r="O34" i="20"/>
  <c r="N20" i="20"/>
  <c r="J25" i="20"/>
  <c r="P24" i="20"/>
  <c r="O27" i="20"/>
  <c r="N30" i="20"/>
  <c r="J35" i="20"/>
  <c r="P34" i="20"/>
  <c r="O20" i="20"/>
  <c r="N23" i="20"/>
  <c r="N25" i="20" s="1"/>
  <c r="P27" i="20"/>
  <c r="O30" i="20"/>
  <c r="N33" i="20"/>
  <c r="N35" i="20" s="1"/>
  <c r="C15" i="19"/>
  <c r="C22" i="19" s="1"/>
  <c r="D15" i="19"/>
  <c r="C19" i="19"/>
  <c r="D3" i="19"/>
  <c r="D4" i="19" s="1"/>
  <c r="D5" i="19" s="1"/>
  <c r="I30" i="18"/>
  <c r="I29" i="18"/>
  <c r="I28" i="18"/>
  <c r="I27" i="18"/>
  <c r="I34" i="18"/>
  <c r="I33" i="18"/>
  <c r="I24" i="18"/>
  <c r="I23" i="18"/>
  <c r="I20" i="18"/>
  <c r="I19" i="18"/>
  <c r="I15" i="18"/>
  <c r="I14" i="18"/>
  <c r="I13" i="18"/>
  <c r="I12" i="18"/>
  <c r="I11" i="18"/>
  <c r="I10" i="18"/>
  <c r="F6" i="12"/>
  <c r="C8" i="17"/>
  <c r="C3" i="17" s="1"/>
  <c r="C4" i="17" s="1"/>
  <c r="O15" i="18"/>
  <c r="K28" i="18"/>
  <c r="J12" i="18"/>
  <c r="J30" i="18"/>
  <c r="P10" i="18"/>
  <c r="J19" i="18"/>
  <c r="J24" i="18"/>
  <c r="L19" i="18"/>
  <c r="J28" i="18"/>
  <c r="M6" i="12"/>
  <c r="P15" i="18"/>
  <c r="J33" i="18"/>
  <c r="L24" i="18"/>
  <c r="K34" i="18"/>
  <c r="M30" i="18"/>
  <c r="J27" i="18"/>
  <c r="Q11" i="18"/>
  <c r="J34" i="18"/>
  <c r="M19" i="18"/>
  <c r="L6" i="12"/>
  <c r="L20" i="18"/>
  <c r="K20" i="18"/>
  <c r="O11" i="18"/>
  <c r="L23" i="18"/>
  <c r="M33" i="18"/>
  <c r="J13" i="18"/>
  <c r="C18" i="17"/>
  <c r="J23" i="18"/>
  <c r="P11" i="18"/>
  <c r="P14" i="18"/>
  <c r="K30" i="18"/>
  <c r="Q15" i="18"/>
  <c r="L29" i="18"/>
  <c r="K23" i="18"/>
  <c r="M20" i="18"/>
  <c r="Q14" i="18"/>
  <c r="M23" i="18"/>
  <c r="P13" i="18"/>
  <c r="O13" i="18"/>
  <c r="L28" i="18"/>
  <c r="K33" i="18"/>
  <c r="K27" i="18"/>
  <c r="M24" i="18"/>
  <c r="J10" i="18"/>
  <c r="C9" i="17"/>
  <c r="J15" i="18"/>
  <c r="J2" i="18"/>
  <c r="J11" i="18"/>
  <c r="L34" i="18"/>
  <c r="Q13" i="18"/>
  <c r="O14" i="18"/>
  <c r="J20" i="18"/>
  <c r="K29" i="18"/>
  <c r="L27" i="18"/>
  <c r="J29" i="18"/>
  <c r="M29" i="18"/>
  <c r="N6" i="12"/>
  <c r="O12" i="18"/>
  <c r="M28" i="18"/>
  <c r="L33" i="18"/>
  <c r="K24" i="18"/>
  <c r="Q12" i="18"/>
  <c r="C14" i="17"/>
  <c r="D14" i="17"/>
  <c r="P12" i="18"/>
  <c r="M27" i="18"/>
  <c r="Q10" i="18"/>
  <c r="L30" i="18"/>
  <c r="K19" i="18"/>
  <c r="J14" i="18"/>
  <c r="M34" i="18"/>
  <c r="O10" i="18"/>
  <c r="N31" i="20" l="1"/>
  <c r="P25" i="20"/>
  <c r="O21" i="20"/>
  <c r="P31" i="20"/>
  <c r="O35" i="20"/>
  <c r="O25" i="20"/>
  <c r="B33" i="20"/>
  <c r="B34" i="20"/>
  <c r="B27" i="20"/>
  <c r="B28" i="20"/>
  <c r="B23" i="20"/>
  <c r="B24" i="20"/>
  <c r="P21" i="20"/>
  <c r="O31" i="20"/>
  <c r="N21" i="20"/>
  <c r="D22" i="19"/>
  <c r="J31" i="18"/>
  <c r="C19" i="17"/>
  <c r="D15" i="17"/>
  <c r="D3" i="17"/>
  <c r="D4" i="17" s="1"/>
  <c r="D5" i="17" s="1"/>
  <c r="D22" i="17" s="1"/>
  <c r="C15" i="17"/>
  <c r="C5" i="17"/>
  <c r="O29" i="18"/>
  <c r="P30" i="18"/>
  <c r="P29" i="18"/>
  <c r="N30" i="18"/>
  <c r="N29" i="18"/>
  <c r="O30" i="18"/>
  <c r="P28" i="18"/>
  <c r="N27" i="18"/>
  <c r="O27" i="18"/>
  <c r="N28" i="18"/>
  <c r="P27" i="18"/>
  <c r="O28" i="18"/>
  <c r="O34" i="18"/>
  <c r="J35" i="18"/>
  <c r="P34" i="18"/>
  <c r="N33" i="18"/>
  <c r="P33" i="18"/>
  <c r="O33" i="18"/>
  <c r="N34" i="18"/>
  <c r="J25" i="18"/>
  <c r="N23" i="18"/>
  <c r="P24" i="18"/>
  <c r="O23" i="18"/>
  <c r="N24" i="18"/>
  <c r="P23" i="18"/>
  <c r="O24" i="18"/>
  <c r="J21" i="18"/>
  <c r="B19" i="18" s="1"/>
  <c r="K12" i="18"/>
  <c r="L12" i="18" s="1"/>
  <c r="K10" i="18"/>
  <c r="L10" i="18" s="1"/>
  <c r="K15" i="18"/>
  <c r="L15" i="18" s="1"/>
  <c r="K13" i="18"/>
  <c r="L13" i="18" s="1"/>
  <c r="K11" i="18"/>
  <c r="L11" i="18" s="1"/>
  <c r="K14" i="18"/>
  <c r="L14" i="18" s="1"/>
  <c r="M11" i="18"/>
  <c r="N11" i="18" s="1"/>
  <c r="M15" i="18"/>
  <c r="N15" i="18" s="1"/>
  <c r="M12" i="18"/>
  <c r="N12" i="18" s="1"/>
  <c r="M13" i="18"/>
  <c r="N13" i="18" s="1"/>
  <c r="M14" i="18"/>
  <c r="N14" i="18" s="1"/>
  <c r="M10" i="18"/>
  <c r="N10" i="18" s="1"/>
  <c r="I7" i="18"/>
  <c r="I6" i="18"/>
  <c r="K7" i="18"/>
  <c r="K8" i="18"/>
  <c r="K6" i="18"/>
  <c r="I8" i="18"/>
  <c r="Q6" i="18"/>
  <c r="P7" i="18"/>
  <c r="J6" i="18"/>
  <c r="O6" i="18"/>
  <c r="P6" i="18"/>
  <c r="O7" i="18"/>
  <c r="Q8" i="18"/>
  <c r="Q7" i="18"/>
  <c r="J8" i="18"/>
  <c r="P8" i="18"/>
  <c r="O8" i="18"/>
  <c r="J7" i="18"/>
  <c r="N31" i="18" l="1"/>
  <c r="P31" i="18"/>
  <c r="O31" i="18"/>
  <c r="C22" i="17"/>
  <c r="B28" i="18"/>
  <c r="B27" i="18"/>
  <c r="B23" i="18"/>
  <c r="B24" i="18"/>
  <c r="B33" i="18"/>
  <c r="B34" i="18"/>
  <c r="O35" i="18"/>
  <c r="N35" i="18"/>
  <c r="P35" i="18"/>
  <c r="O25" i="18"/>
  <c r="P25" i="18"/>
  <c r="N25" i="18"/>
  <c r="P19" i="18"/>
  <c r="O19" i="18"/>
  <c r="N19" i="18"/>
  <c r="I9" i="18"/>
  <c r="M6" i="18"/>
  <c r="N6" i="18" s="1"/>
  <c r="M7" i="18"/>
  <c r="N7" i="18" s="1"/>
  <c r="L6" i="18"/>
  <c r="L7" i="18"/>
  <c r="K9" i="18"/>
  <c r="L8" i="18"/>
  <c r="M8" i="18"/>
  <c r="N8" i="18" s="1"/>
  <c r="O9" i="18"/>
  <c r="P9" i="18"/>
  <c r="Q9" i="18"/>
  <c r="J9" i="18"/>
  <c r="N20" i="18" l="1"/>
  <c r="N21" i="18" s="1"/>
  <c r="O20" i="18"/>
  <c r="O21" i="18" s="1"/>
  <c r="P20" i="18"/>
  <c r="P21" i="18" s="1"/>
  <c r="L9" i="18"/>
  <c r="M9" i="18"/>
  <c r="N9" i="18" s="1"/>
  <c r="D4" i="13" l="1"/>
  <c r="D9" i="13" s="1"/>
  <c r="I7" i="14"/>
  <c r="J7" i="14" s="1"/>
  <c r="E7" i="14"/>
  <c r="E8" i="14" s="1"/>
  <c r="E9" i="14" s="1"/>
  <c r="K6" i="14"/>
  <c r="L6" i="14" s="1"/>
  <c r="I6" i="14"/>
  <c r="J6" i="14" s="1"/>
  <c r="K7" i="14" l="1"/>
  <c r="L7" i="14" s="1"/>
  <c r="E10" i="14"/>
  <c r="I9" i="14"/>
  <c r="J9" i="14" s="1"/>
  <c r="K9" i="14"/>
  <c r="L9" i="14" s="1"/>
  <c r="I8" i="14"/>
  <c r="J8" i="14" s="1"/>
  <c r="K8" i="14"/>
  <c r="L8" i="14" s="1"/>
  <c r="D11" i="13" l="1"/>
  <c r="D10" i="13"/>
  <c r="D12" i="13" s="1"/>
  <c r="D15" i="13" s="1"/>
  <c r="E11" i="14"/>
  <c r="I10" i="14"/>
  <c r="J10" i="14" s="1"/>
  <c r="K10" i="14"/>
  <c r="L10" i="14" s="1"/>
  <c r="D14" i="13" l="1"/>
  <c r="G6" i="13" s="1"/>
  <c r="K11" i="14"/>
  <c r="L11" i="14" s="1"/>
  <c r="E12" i="14"/>
  <c r="I11" i="14"/>
  <c r="J11" i="14" s="1"/>
  <c r="K12" i="14" l="1"/>
  <c r="L12" i="14" s="1"/>
  <c r="I12" i="14"/>
  <c r="J12" i="14" s="1"/>
  <c r="D7" i="12"/>
  <c r="D8" i="12" l="1"/>
  <c r="F7" i="12"/>
  <c r="N7" i="12"/>
  <c r="L7" i="12"/>
  <c r="G7" i="12"/>
  <c r="G2" i="12"/>
  <c r="M7" i="12"/>
  <c r="G6" i="12"/>
  <c r="H8" i="12" l="1"/>
  <c r="H7" i="12"/>
  <c r="I7" i="12" s="1"/>
  <c r="H6" i="12"/>
  <c r="I6" i="12" s="1"/>
  <c r="J6" i="12"/>
  <c r="K6" i="12" s="1"/>
  <c r="J7" i="12"/>
  <c r="K7" i="12" s="1"/>
  <c r="D9" i="12"/>
  <c r="H9" i="12" s="1"/>
  <c r="F8" i="12"/>
  <c r="N33" i="11"/>
  <c r="M24" i="11"/>
  <c r="O24" i="11" s="1"/>
  <c r="M23" i="11"/>
  <c r="O23" i="11" s="1"/>
  <c r="N22" i="11"/>
  <c r="M22" i="11"/>
  <c r="O22" i="11" s="1"/>
  <c r="M21" i="11"/>
  <c r="N21" i="11" s="1"/>
  <c r="M4" i="11"/>
  <c r="N13" i="11" s="1"/>
  <c r="K27" i="10"/>
  <c r="H27" i="10"/>
  <c r="K26" i="10"/>
  <c r="H26" i="10"/>
  <c r="K25" i="10"/>
  <c r="H25" i="10"/>
  <c r="K24" i="10"/>
  <c r="H24" i="10"/>
  <c r="J18" i="10"/>
  <c r="J24" i="10" s="1"/>
  <c r="J29" i="10" s="1"/>
  <c r="H13" i="10"/>
  <c r="H12" i="10"/>
  <c r="H11" i="10"/>
  <c r="H10" i="10"/>
  <c r="I9" i="9"/>
  <c r="I11" i="9" s="1"/>
  <c r="D12" i="8"/>
  <c r="C12" i="8"/>
  <c r="E11" i="8"/>
  <c r="E13" i="8" s="1"/>
  <c r="D11" i="8"/>
  <c r="C8" i="8"/>
  <c r="D13" i="8" s="1"/>
  <c r="D10" i="7"/>
  <c r="D11" i="7" s="1"/>
  <c r="D8" i="7"/>
  <c r="G8" i="12"/>
  <c r="N8" i="12"/>
  <c r="L8" i="12"/>
  <c r="M8" i="12"/>
  <c r="N23" i="11" l="1"/>
  <c r="C13" i="8"/>
  <c r="C15" i="8" s="1"/>
  <c r="N24" i="11"/>
  <c r="I15" i="10"/>
  <c r="I19" i="10" s="1"/>
  <c r="I25" i="10" s="1"/>
  <c r="D13" i="7"/>
  <c r="I8" i="12"/>
  <c r="J8" i="12"/>
  <c r="K8" i="12" s="1"/>
  <c r="N26" i="11"/>
  <c r="D15" i="8"/>
  <c r="O21" i="11"/>
  <c r="F11" i="8"/>
  <c r="E12" i="8"/>
  <c r="E15" i="8" s="1"/>
  <c r="D10" i="12"/>
  <c r="F9" i="12"/>
  <c r="L9" i="12"/>
  <c r="M9" i="12"/>
  <c r="N9" i="12"/>
  <c r="G9" i="12"/>
  <c r="N10" i="11" l="1"/>
  <c r="O14" i="11" s="1"/>
  <c r="I18" i="10"/>
  <c r="I24" i="10" s="1"/>
  <c r="I29" i="10" s="1"/>
  <c r="I20" i="10"/>
  <c r="I26" i="10" s="1"/>
  <c r="I21" i="10"/>
  <c r="I27" i="10" s="1"/>
  <c r="I9" i="12"/>
  <c r="J9" i="12"/>
  <c r="K9" i="12" s="1"/>
  <c r="F13" i="8"/>
  <c r="F12" i="8"/>
  <c r="F15" i="8" s="1"/>
  <c r="G11" i="8"/>
  <c r="D11" i="12"/>
  <c r="F10" i="12"/>
  <c r="H10" i="12"/>
  <c r="M10" i="12"/>
  <c r="N10" i="12"/>
  <c r="G10" i="12"/>
  <c r="L10" i="12"/>
  <c r="O15" i="11" l="1"/>
  <c r="O16" i="11"/>
  <c r="O13" i="11"/>
  <c r="I10" i="12"/>
  <c r="J10" i="12"/>
  <c r="K10" i="12" s="1"/>
  <c r="D12" i="12"/>
  <c r="F11" i="12"/>
  <c r="H11" i="12"/>
  <c r="I30" i="10"/>
  <c r="I31" i="10"/>
  <c r="O26" i="11"/>
  <c r="N27" i="11" s="1"/>
  <c r="G12" i="8"/>
  <c r="H11" i="8"/>
  <c r="G13" i="8"/>
  <c r="N11" i="12"/>
  <c r="M11" i="12"/>
  <c r="L11" i="12"/>
  <c r="G11" i="12"/>
  <c r="I11" i="12" l="1"/>
  <c r="J11" i="12"/>
  <c r="K11" i="12" s="1"/>
  <c r="H13" i="8"/>
  <c r="H12" i="8"/>
  <c r="H15" i="8" s="1"/>
  <c r="I11" i="8"/>
  <c r="F12" i="12"/>
  <c r="H12" i="12"/>
  <c r="G15" i="8"/>
  <c r="N30" i="11"/>
  <c r="N32" i="11" s="1"/>
  <c r="N35" i="11" s="1"/>
  <c r="N28" i="11"/>
  <c r="M12" i="12"/>
  <c r="N12" i="12"/>
  <c r="L12" i="12"/>
  <c r="G12" i="12"/>
  <c r="I12" i="12" l="1"/>
  <c r="J12" i="12"/>
  <c r="K12" i="12" s="1"/>
  <c r="I13" i="8"/>
  <c r="I12" i="8"/>
  <c r="I15" i="8" s="1"/>
  <c r="J11" i="8"/>
  <c r="J13" i="8" l="1"/>
  <c r="J12" i="8"/>
  <c r="K11" i="8"/>
  <c r="J15" i="8" l="1"/>
  <c r="K12" i="8"/>
  <c r="K13" i="8"/>
  <c r="K15" i="8" l="1"/>
</calcChain>
</file>

<file path=xl/comments1.xml><?xml version="1.0" encoding="utf-8"?>
<comments xmlns="http://schemas.openxmlformats.org/spreadsheetml/2006/main">
  <authors>
    <author>AgentUser</author>
  </authors>
  <commentList>
    <comment ref="G7" authorId="0" shapeId="0">
      <text>
        <r>
          <rPr>
            <b/>
            <sz val="9"/>
            <color indexed="81"/>
            <rFont val="Tahoma"/>
            <family val="2"/>
          </rPr>
          <t>Volatilidad (sigma) implícita para K=120 y T=1 mes.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<sst xmlns="http://schemas.openxmlformats.org/spreadsheetml/2006/main" count="574" uniqueCount="187">
  <si>
    <t>LIBOR en t = 0</t>
  </si>
  <si>
    <t>EURIBOR en t = 0</t>
  </si>
  <si>
    <t>Plazo</t>
  </si>
  <si>
    <t>t</t>
  </si>
  <si>
    <t>Bloomberg Ticker</t>
  </si>
  <si>
    <t>Tasa</t>
  </si>
  <si>
    <t>1D</t>
  </si>
  <si>
    <t>US00O/N Index</t>
  </si>
  <si>
    <t>EE00O/N Index</t>
  </si>
  <si>
    <t>1W</t>
  </si>
  <si>
    <t>US0001W Index</t>
  </si>
  <si>
    <t>EUR001W Index</t>
  </si>
  <si>
    <t>1M</t>
  </si>
  <si>
    <t>US0001M Index</t>
  </si>
  <si>
    <t>EUR001M Index</t>
  </si>
  <si>
    <t>2M</t>
  </si>
  <si>
    <t>US0002M Index</t>
  </si>
  <si>
    <t>EUR002M Index</t>
  </si>
  <si>
    <t>3M</t>
  </si>
  <si>
    <t>US0003M Index</t>
  </si>
  <si>
    <t>EUR003M Index</t>
  </si>
  <si>
    <t>6M</t>
  </si>
  <si>
    <t>US0006M Index</t>
  </si>
  <si>
    <t>EUR006M Index</t>
  </si>
  <si>
    <t>9M</t>
  </si>
  <si>
    <t>*Interpolado</t>
  </si>
  <si>
    <t>EUR009M Index</t>
  </si>
  <si>
    <t>1Y</t>
  </si>
  <si>
    <t>US0012M Index</t>
  </si>
  <si>
    <t>EUR012M Index</t>
  </si>
  <si>
    <t>LIBOR en t = 20</t>
  </si>
  <si>
    <t>EURIBOR en t = 20</t>
  </si>
  <si>
    <t>70D</t>
  </si>
  <si>
    <t>*Interpolado*</t>
  </si>
  <si>
    <t>160D</t>
  </si>
  <si>
    <t>250D</t>
  </si>
  <si>
    <t>340D</t>
  </si>
  <si>
    <t>S_0</t>
  </si>
  <si>
    <t>Size</t>
  </si>
  <si>
    <t>Fecha de vcto</t>
  </si>
  <si>
    <t>r</t>
  </si>
  <si>
    <t>1)</t>
  </si>
  <si>
    <t>F(0,T)</t>
  </si>
  <si>
    <t>2)</t>
  </si>
  <si>
    <t>Fecha actual</t>
  </si>
  <si>
    <t>Plazo remanente</t>
  </si>
  <si>
    <t>S_90 dias</t>
  </si>
  <si>
    <t>V_t(0,T)</t>
  </si>
  <si>
    <t>Subyacente</t>
  </si>
  <si>
    <t>Petróleo</t>
  </si>
  <si>
    <t>u</t>
  </si>
  <si>
    <t>y</t>
  </si>
  <si>
    <t>T</t>
  </si>
  <si>
    <t>S_T</t>
  </si>
  <si>
    <t>Profit_Posición N corta</t>
  </si>
  <si>
    <t>Profit_fwd largo</t>
  </si>
  <si>
    <t>Profit_Posición N corta Cubierta</t>
  </si>
  <si>
    <t>FRA 3X6</t>
  </si>
  <si>
    <t>NOMINAL</t>
  </si>
  <si>
    <t>F(0,T1,T2)</t>
  </si>
  <si>
    <t>1 y 2)</t>
  </si>
  <si>
    <t>3)</t>
  </si>
  <si>
    <t>V_T</t>
  </si>
  <si>
    <t>Nominal</t>
  </si>
  <si>
    <t>f</t>
  </si>
  <si>
    <t>Comprar bono float</t>
  </si>
  <si>
    <t>Vender bono fijo</t>
  </si>
  <si>
    <t>Z</t>
  </si>
  <si>
    <t>S</t>
  </si>
  <si>
    <t>CF Pata fija</t>
  </si>
  <si>
    <t>CF Pata float</t>
  </si>
  <si>
    <t>4)</t>
  </si>
  <si>
    <t>Valor</t>
  </si>
  <si>
    <t>Valor IRS Pfijo</t>
  </si>
  <si>
    <t>Valor IRS Pfloat</t>
  </si>
  <si>
    <t>N USD</t>
  </si>
  <si>
    <t>N EUR</t>
  </si>
  <si>
    <t>EUR/USD</t>
  </si>
  <si>
    <t>Vende bono cupón fijo USD</t>
  </si>
  <si>
    <t>Compra bono cupón float EUR</t>
  </si>
  <si>
    <t>CF pata larga EUR</t>
  </si>
  <si>
    <t>CF pata corta USD</t>
  </si>
  <si>
    <t>Tasa Swap de NA en USD</t>
  </si>
  <si>
    <t>Z USD</t>
  </si>
  <si>
    <t>Z EUR</t>
  </si>
  <si>
    <t>EUR/USD en t=20 días</t>
  </si>
  <si>
    <t>El valor es positivo porque la tasa forward de NA se redujo con el paso del tiempo porque la pendiente tiene pendiente positiva.</t>
  </si>
  <si>
    <t>GOOGL US Equity</t>
  </si>
  <si>
    <t>K</t>
  </si>
  <si>
    <t>Vencimientos disponibles</t>
  </si>
  <si>
    <t>7/17/2020</t>
  </si>
  <si>
    <t>8/21/2020</t>
  </si>
  <si>
    <t>9/18/2020</t>
  </si>
  <si>
    <t>11/20/2020</t>
  </si>
  <si>
    <t>12/18/2020</t>
  </si>
  <si>
    <t>1/15/2021</t>
  </si>
  <si>
    <t>1/21/2022</t>
  </si>
  <si>
    <t>2/19/2021</t>
  </si>
  <si>
    <t>6/18/2021</t>
  </si>
  <si>
    <t>δ</t>
  </si>
  <si>
    <t>σ</t>
  </si>
  <si>
    <t>Valor para A (largo EUR/corto USD)</t>
  </si>
  <si>
    <t>Valor para B (corto EUR/largo USD)</t>
  </si>
  <si>
    <t>Efecto FX</t>
  </si>
  <si>
    <t>Valor sin cambio FX</t>
  </si>
  <si>
    <t>Sensibilidad al FX</t>
  </si>
  <si>
    <t>Var FX (resta simple en pips)</t>
  </si>
  <si>
    <t>PX_LAST</t>
  </si>
  <si>
    <t>Precio</t>
  </si>
  <si>
    <t>Vencimiento</t>
  </si>
  <si>
    <t>Tipo</t>
  </si>
  <si>
    <t>C</t>
  </si>
  <si>
    <t>Ticker Bloomberg</t>
  </si>
  <si>
    <t>Breakeven en t=T</t>
  </si>
  <si>
    <t>BE (var%)</t>
  </si>
  <si>
    <t>d1</t>
  </si>
  <si>
    <t>d2</t>
  </si>
  <si>
    <t>c_mkt</t>
  </si>
  <si>
    <t>σ_imp</t>
  </si>
  <si>
    <t>GOOGL US 7/17/2020 C1300 Equity</t>
  </si>
  <si>
    <t>GOOGL US 7/17/2020 C1350 Equity</t>
  </si>
  <si>
    <t>GOOGL US 7/17/2020 C1400 Equity</t>
  </si>
  <si>
    <t>GOOGL US 7/17/2020 C1450 Equity</t>
  </si>
  <si>
    <t>GOOGL US 7/17/2020 C1500 Equity</t>
  </si>
  <si>
    <t>GOOGL US 7/17/2020 C1550 Equity</t>
  </si>
  <si>
    <t>GOOGL US 7/17/2020 C1600 Equity</t>
  </si>
  <si>
    <t>N(d1)</t>
  </si>
  <si>
    <t>N(d2)</t>
  </si>
  <si>
    <t>p_BSM</t>
  </si>
  <si>
    <t>c_BSM</t>
  </si>
  <si>
    <t>Data de mercado</t>
  </si>
  <si>
    <t>dif BSM_mkt</t>
  </si>
  <si>
    <t>DELTA</t>
  </si>
  <si>
    <t>VEGA</t>
  </si>
  <si>
    <t>Vega</t>
  </si>
  <si>
    <t>Posición</t>
  </si>
  <si>
    <t>P</t>
  </si>
  <si>
    <t>2Y</t>
  </si>
  <si>
    <t>Time Value</t>
  </si>
  <si>
    <t>Intrinsic value</t>
  </si>
  <si>
    <t>N</t>
  </si>
  <si>
    <t>Costo</t>
  </si>
  <si>
    <t>SPY US Equity</t>
  </si>
  <si>
    <t>Precio bono cupón cero</t>
  </si>
  <si>
    <t>Costo de la opción</t>
  </si>
  <si>
    <t>Participación</t>
  </si>
  <si>
    <t>SPY US 12/17/2021 C315 Equity</t>
  </si>
  <si>
    <t>Precio Opción</t>
  </si>
  <si>
    <t>3Y</t>
  </si>
  <si>
    <t>5Y</t>
  </si>
  <si>
    <t>Curva Corp USD A</t>
  </si>
  <si>
    <t>observables</t>
  </si>
  <si>
    <t>no obs</t>
  </si>
  <si>
    <t>calculado según BSM</t>
  </si>
  <si>
    <t>precios BSM</t>
  </si>
  <si>
    <t>Comentario</t>
  </si>
  <si>
    <t>OPT_THETA</t>
  </si>
  <si>
    <t xml:space="preserve">Delta </t>
  </si>
  <si>
    <t>Theta</t>
  </si>
  <si>
    <t>Cerca de ATM, mayor incertidumbre</t>
  </si>
  <si>
    <t>Call Deep ITM, casi certidumbre</t>
  </si>
  <si>
    <t>Call Deep OTM, casi certidumbre</t>
  </si>
  <si>
    <t>Nombre de estrategia</t>
  </si>
  <si>
    <t>Long Call Spread</t>
  </si>
  <si>
    <t>Contrato</t>
  </si>
  <si>
    <t>ESTRATEGIA</t>
  </si>
  <si>
    <t>Long Straddle</t>
  </si>
  <si>
    <t>Long Strangle (1460,1430)</t>
  </si>
  <si>
    <t>Comnetario</t>
  </si>
  <si>
    <t>Apreciación por encima de 1350, pero sólo hasta 1550</t>
  </si>
  <si>
    <t>Apuesta a volatilidad</t>
  </si>
  <si>
    <t>Apuesta a volatilidad, pero con BE más díficiles de cumplir</t>
  </si>
  <si>
    <t>Breakeven</t>
  </si>
  <si>
    <t>Long Straddle acotado (1400,1490)</t>
  </si>
  <si>
    <t>Apuesta a volatilidad, pero con benefecicios acotados para reducir costo</t>
  </si>
  <si>
    <t>Curva Corp USD BBB</t>
  </si>
  <si>
    <t>r (de emisor del bono)</t>
  </si>
  <si>
    <t>Fondos disponibles</t>
  </si>
  <si>
    <t>SPY US 12/17/2021 C350 Equity</t>
  </si>
  <si>
    <t>CORP A</t>
  </si>
  <si>
    <t>CORP BBB</t>
  </si>
  <si>
    <t>Bono rating A con long call spread</t>
  </si>
  <si>
    <t>Bono rating BBB con long call</t>
  </si>
  <si>
    <t>Tipo de estructura</t>
  </si>
  <si>
    <t>Apuesta a volatilidad, doble Breakeven</t>
  </si>
  <si>
    <t>Apuesta a volatilidad, pero con benefecicios acotados para reducir costo, doble Breakeven</t>
  </si>
  <si>
    <t>Apuesta a volatilidad, doble Breakeven, pero con BE más díficiles de cumplir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</si>
</sst>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43" formatCode="_-* #,##0.00_-;\-* #,##0.00_-;_-* &quot;-&quot;??_-;_-@_-"/>
    <numFmt numFmtId="164" formatCode="_-&quot;£&quot;* #,##0.00_-;\-&quot;£&quot;* #,##0.00_-;_-&quot;£&quot;* &quot;-&quot;??_-;_-@_-"/>
    <numFmt numFmtId="165" formatCode="0.000"/>
    <numFmt numFmtId="166" formatCode="_-[$$-409]* #,##0.00_ ;_-[$$-409]* \-#,##0.00\ ;_-[$$-409]* &quot;-&quot;??_ ;_-@_ "/>
    <numFmt numFmtId="167" formatCode="0.0000%"/>
    <numFmt numFmtId="168" formatCode="_-[$$-2C0A]\ * #,##0.00_-;\-[$$-2C0A]\ * #,##0.00_-;_-[$$-2C0A]\ * &quot;-&quot;??_-;_-@_-"/>
    <numFmt numFmtId="169" formatCode="0.0000"/>
    <numFmt numFmtId="170" formatCode="_-[$$-2C0A]\ * #,##0_-;\-[$$-2C0A]\ * #,##0_-;_-[$$-2C0A]\ * &quot;-&quot;??_-;_-@_-"/>
    <numFmt numFmtId="171" formatCode="0.000%"/>
    <numFmt numFmtId="172" formatCode="_-[$€-2]\ * #,##0.00_-;\-[$€-2]\ * #,##0.00_-;_-[$€-2]\ * &quot;-&quot;??_-;_-@_-"/>
    <numFmt numFmtId="173" formatCode="0.00000"/>
    <numFmt numFmtId="174" formatCode="_-[$€-2]\ * #,##0_-;\-[$€-2]\ * #,##0_-;_-[$€-2]\ * &quot;-&quot;??_-;_-@_-"/>
    <numFmt numFmtId="175" formatCode="[$-409]dd\-mmm\-yy;@"/>
    <numFmt numFmtId="176" formatCode="_([$$-409]* #,##0.00_);_([$$-409]* \(#,##0.00\);_([$$-409]* &quot;-&quot;??_);_(@_)"/>
    <numFmt numFmtId="177" formatCode="_([$$-409]* #,##0_);_([$$-409]* \(#,##0\);_([$$-409]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86">
    <xf numFmtId="0" fontId="0" fillId="0" borderId="0" xfId="0"/>
    <xf numFmtId="0" fontId="2" fillId="2" borderId="0" xfId="0" applyFont="1" applyFill="1" applyAlignment="1">
      <alignment horizontal="center"/>
    </xf>
    <xf numFmtId="9" fontId="0" fillId="0" borderId="0" xfId="2" applyFont="1" applyFill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7" fontId="0" fillId="0" borderId="0" xfId="2" applyNumberFormat="1" applyFont="1" applyFill="1" applyAlignment="1">
      <alignment horizontal="center"/>
    </xf>
    <xf numFmtId="167" fontId="0" fillId="0" borderId="0" xfId="2" applyNumberFormat="1" applyFont="1" applyFill="1"/>
    <xf numFmtId="168" fontId="0" fillId="0" borderId="0" xfId="0" applyNumberFormat="1"/>
    <xf numFmtId="15" fontId="0" fillId="0" borderId="0" xfId="0" applyNumberFormat="1"/>
    <xf numFmtId="10" fontId="0" fillId="0" borderId="0" xfId="0" applyNumberFormat="1"/>
    <xf numFmtId="14" fontId="0" fillId="0" borderId="0" xfId="0" applyNumberFormat="1"/>
    <xf numFmtId="169" fontId="0" fillId="0" borderId="0" xfId="0" applyNumberFormat="1"/>
    <xf numFmtId="168" fontId="0" fillId="0" borderId="0" xfId="2" applyNumberFormat="1" applyFont="1"/>
    <xf numFmtId="1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15" fontId="0" fillId="3" borderId="0" xfId="0" applyNumberFormat="1" applyFill="1" applyAlignment="1">
      <alignment horizontal="center"/>
    </xf>
    <xf numFmtId="166" fontId="0" fillId="3" borderId="0" xfId="1" applyNumberFormat="1" applyFont="1" applyFill="1" applyAlignment="1">
      <alignment horizontal="center"/>
    </xf>
    <xf numFmtId="167" fontId="0" fillId="3" borderId="0" xfId="2" applyNumberFormat="1" applyFont="1" applyFill="1" applyAlignment="1">
      <alignment horizontal="center"/>
    </xf>
    <xf numFmtId="170" fontId="0" fillId="0" borderId="0" xfId="0" applyNumberFormat="1"/>
    <xf numFmtId="167" fontId="0" fillId="0" borderId="0" xfId="2" applyNumberFormat="1" applyFont="1"/>
    <xf numFmtId="172" fontId="0" fillId="0" borderId="0" xfId="0" applyNumberFormat="1"/>
    <xf numFmtId="167" fontId="0" fillId="4" borderId="0" xfId="2" applyNumberFormat="1" applyFont="1" applyFill="1" applyAlignment="1">
      <alignment horizontal="center"/>
    </xf>
    <xf numFmtId="167" fontId="0" fillId="5" borderId="0" xfId="2" applyNumberFormat="1" applyFont="1" applyFill="1"/>
    <xf numFmtId="0" fontId="3" fillId="0" borderId="0" xfId="0" applyFont="1" applyFill="1"/>
    <xf numFmtId="0" fontId="3" fillId="0" borderId="0" xfId="0" applyFont="1"/>
    <xf numFmtId="167" fontId="3" fillId="0" borderId="0" xfId="0" applyNumberFormat="1" applyFont="1" applyFill="1"/>
    <xf numFmtId="170" fontId="3" fillId="0" borderId="0" xfId="0" applyNumberFormat="1" applyFont="1" applyFill="1"/>
    <xf numFmtId="0" fontId="3" fillId="0" borderId="0" xfId="0" applyFont="1" applyFill="1" applyAlignment="1">
      <alignment horizontal="center"/>
    </xf>
    <xf numFmtId="165" fontId="3" fillId="0" borderId="0" xfId="0" applyNumberFormat="1" applyFont="1" applyFill="1" applyAlignment="1">
      <alignment horizontal="center"/>
    </xf>
    <xf numFmtId="173" fontId="3" fillId="0" borderId="0" xfId="0" applyNumberFormat="1" applyFont="1" applyFill="1" applyAlignment="1">
      <alignment horizontal="center"/>
    </xf>
    <xf numFmtId="171" fontId="3" fillId="0" borderId="0" xfId="2" applyNumberFormat="1" applyFont="1" applyFill="1"/>
    <xf numFmtId="0" fontId="3" fillId="0" borderId="0" xfId="0" applyNumberFormat="1" applyFont="1" applyFill="1" applyAlignment="1">
      <alignment horizontal="center"/>
    </xf>
    <xf numFmtId="174" fontId="0" fillId="0" borderId="0" xfId="0" applyNumberFormat="1"/>
    <xf numFmtId="166" fontId="0" fillId="0" borderId="0" xfId="3" applyNumberFormat="1" applyFont="1"/>
    <xf numFmtId="169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3" fillId="0" borderId="0" xfId="2" applyNumberFormat="1" applyFont="1" applyFill="1" applyAlignment="1">
      <alignment horizontal="center"/>
    </xf>
    <xf numFmtId="166" fontId="0" fillId="0" borderId="0" xfId="0" applyNumberFormat="1"/>
    <xf numFmtId="166" fontId="2" fillId="2" borderId="0" xfId="0" applyNumberFormat="1" applyFont="1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75" fontId="0" fillId="0" borderId="0" xfId="0" applyNumberFormat="1" applyAlignment="1">
      <alignment horizontal="center"/>
    </xf>
    <xf numFmtId="10" fontId="0" fillId="0" borderId="0" xfId="2" applyNumberFormat="1" applyFont="1" applyAlignment="1">
      <alignment horizontal="center"/>
    </xf>
    <xf numFmtId="0" fontId="0" fillId="0" borderId="0" xfId="0" applyAlignment="1">
      <alignment horizontal="center" vertical="center" wrapText="1"/>
    </xf>
    <xf numFmtId="14" fontId="0" fillId="0" borderId="0" xfId="0" quotePrefix="1" applyNumberFormat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5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1" fontId="0" fillId="0" borderId="0" xfId="2" applyNumberFormat="1" applyFont="1" applyAlignment="1">
      <alignment horizontal="center"/>
    </xf>
    <xf numFmtId="0" fontId="0" fillId="0" borderId="0" xfId="0" applyAlignment="1">
      <alignment horizontal="center"/>
    </xf>
    <xf numFmtId="10" fontId="0" fillId="6" borderId="0" xfId="0" applyNumberFormat="1" applyFill="1"/>
    <xf numFmtId="10" fontId="0" fillId="6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169" fontId="0" fillId="0" borderId="0" xfId="0" applyNumberFormat="1" applyAlignment="1">
      <alignment horizontal="left"/>
    </xf>
    <xf numFmtId="176" fontId="0" fillId="0" borderId="0" xfId="3" applyNumberFormat="1" applyFont="1"/>
    <xf numFmtId="0" fontId="0" fillId="0" borderId="0" xfId="0" applyAlignment="1">
      <alignment horizontal="center"/>
    </xf>
    <xf numFmtId="167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175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 vertical="center"/>
    </xf>
    <xf numFmtId="177" fontId="0" fillId="0" borderId="0" xfId="2" applyNumberFormat="1" applyFont="1"/>
    <xf numFmtId="0" fontId="0" fillId="0" borderId="0" xfId="0" applyAlignment="1">
      <alignment horizontal="center" vertical="center" wrapText="1"/>
    </xf>
    <xf numFmtId="177" fontId="0" fillId="4" borderId="0" xfId="2" applyNumberFormat="1" applyFont="1" applyFill="1"/>
    <xf numFmtId="10" fontId="0" fillId="4" borderId="0" xfId="2" applyNumberFormat="1" applyFont="1" applyFill="1" applyAlignment="1">
      <alignment horizontal="center"/>
    </xf>
    <xf numFmtId="0" fontId="0" fillId="0" borderId="0" xfId="0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textRotation="90"/>
    </xf>
    <xf numFmtId="0" fontId="0" fillId="0" borderId="0" xfId="0" applyAlignment="1">
      <alignment horizontal="center" textRotation="90" wrapText="1"/>
    </xf>
    <xf numFmtId="0" fontId="2" fillId="2" borderId="0" xfId="0" applyFont="1" applyFill="1" applyAlignment="1">
      <alignment horizontal="center" vertical="center"/>
    </xf>
  </cellXfs>
  <cellStyles count="4">
    <cellStyle name="Millares" xfId="1" builtinId="3"/>
    <cellStyle name="Moneda" xfId="3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1.9338200000000001</v>
        <stp/>
        <stp>##V3_BDPV12</stp>
        <stp>GOOGL US 8/21/2020 P1400 Equity</stp>
        <stp>VEGA</stp>
        <stp>[Ejercicios de clase.xlsx]Opciones Cotizadas (2)!R12C16</stp>
        <tr r="P12" s="18"/>
      </tp>
      <tp>
        <v>1.9338200000000001</v>
        <stp/>
        <stp>##V3_BDPV12</stp>
        <stp>GOOGL US 8/21/2020 P1400 Equity</stp>
        <stp>VEGA</stp>
        <stp>[Ejercicios de clase.xlsx]Opciones Cotizadas (2)!R30C12</stp>
        <tr r="L30" s="18"/>
      </tp>
      <tp>
        <v>2.1354579999999999</v>
        <stp/>
        <stp>##V3_BDPV12</stp>
        <stp>GOOGL US 8/21/2020 P1450 Equity</stp>
        <stp>VEGA</stp>
        <stp>[Ejercicios de clase.xlsx]Opciones Cotizadas (2)!R13C16</stp>
        <tr r="P13" s="18"/>
      </tp>
      <tp>
        <v>2.1195149999999998</v>
        <stp/>
        <stp>##V3_BDPV12</stp>
        <stp>GOOGL US 8/21/2020 C1445 Equity</stp>
        <stp>VEGA</stp>
        <stp>[Ejercicios de clase.xlsx]Opciones Cotizadas (2)!R23C12</stp>
        <tr r="L23" s="18"/>
      </tp>
      <tp>
        <v>2.1195149999999998</v>
        <stp/>
        <stp>##V3_BDPV12</stp>
        <stp>GOOGL US 8/21/2020 C1445 Equity</stp>
        <stp>VEGA</stp>
        <stp>[Ejercicios de clase.xlsx]Opciones Cotizadas (2)!R27C12</stp>
        <tr r="L27" s="18"/>
      </tp>
      <tp>
        <v>2.1208719999999999</v>
        <stp/>
        <stp>##V3_BDPV12</stp>
        <stp>GOOGL US 8/21/2020 P1445 Equity</stp>
        <stp>VEGA</stp>
        <stp>[Ejercicios de clase.xlsx]Opciones Cotizadas (2)!R24C12</stp>
        <tr r="L24" s="18"/>
      </tp>
      <tp>
        <v>2.1208719999999999</v>
        <stp/>
        <stp>##V3_BDPV12</stp>
        <stp>GOOGL US 8/21/2020 P1445 Equity</stp>
        <stp>VEGA</stp>
        <stp>[Ejercicios de clase.xlsx]Opciones Cotizadas (2)!R28C12</stp>
        <tr r="L28" s="18"/>
      </tp>
      <tp>
        <v>2.176641</v>
        <stp/>
        <stp>##V3_BDPV12</stp>
        <stp>GOOGL US 8/21/2020 C1490 Equity</stp>
        <stp>VEGA</stp>
        <stp>[Ejercicios de clase.xlsx]Opciones Cotizadas (2)!R29C12</stp>
        <tr r="L29" s="18"/>
      </tp>
      <tp>
        <v>2.1663510000000001</v>
        <stp/>
        <stp>##V3_BDPV12</stp>
        <stp>GOOGL US 8/21/2020 C1500 Equity</stp>
        <stp>VEGA</stp>
        <stp>[Ejercicios de clase.xlsx]Opciones Cotizadas (2)!R33C12</stp>
        <tr r="L33" s="18"/>
      </tp>
      <tp>
        <v>2.1692040000000001</v>
        <stp/>
        <stp>##V3_BDPV12</stp>
        <stp>GOOGL US 8/21/2020 P1500 Equity</stp>
        <stp>VEGA</stp>
        <stp>[Ejercicios de clase.xlsx]Opciones Cotizadas (2)!R14C16</stp>
        <tr r="P14" s="18"/>
      </tp>
      <tp>
        <v>1.9707600000000001</v>
        <stp/>
        <stp>##V3_BDPV12</stp>
        <stp>GOOGL US 8/21/2020 C1550 Equity</stp>
        <stp>VEGA</stp>
        <stp>[Ejercicios de clase.xlsx]Opciones Cotizadas (2)!R20C12</stp>
        <tr r="L20" s="18"/>
      </tp>
      <tp>
        <v>2.0379330000000002</v>
        <stp/>
        <stp>##V3_BDPV12</stp>
        <stp>GOOGL US 8/21/2020 C1540 Equity</stp>
        <stp>VEGA</stp>
        <stp>[Ejercicios de clase.xlsx]Opciones Cotizadas (2)!R10C16</stp>
        <tr r="P10" s="18"/>
      </tp>
      <tp>
        <v>2.0529519999999999</v>
        <stp/>
        <stp>##V3_BDPV12</stp>
        <stp>GOOGL US 8/21/2020 P1540 Equity</stp>
        <stp>VEGA</stp>
        <stp>[Ejercicios de clase.xlsx]Opciones Cotizadas (2)!R15C16</stp>
        <tr r="P15" s="18"/>
      </tp>
      <tp>
        <v>0.32703110000000002</v>
        <stp/>
        <stp>##V3_BDPV12</stp>
        <stp>GOOGL US 8/21/2020 C1550 Equity</stp>
        <stp>DELTA</stp>
        <stp>[Ejercicios de clase.xlsx]Opciones Cotizadas (2)!R20C11</stp>
        <tr r="K20" s="18"/>
      </tp>
      <tp>
        <v>0.7965856</v>
        <stp/>
        <stp>##V3_BDPV12</stp>
        <stp>GOOGL US 8/21/2020 C1350 Equity</stp>
        <stp>DELTA</stp>
        <stp>[Ejercicios de clase.xlsx]Opciones Cotizadas (2)!R19C11</stp>
        <tr r="K19" s="18"/>
      </tp>
      <tp>
        <v>-0.2227316</v>
        <stp/>
        <stp>##V3_BDPV12</stp>
        <stp>GOOGL US 8/21/2020 P1350 Equity</stp>
        <stp>DELTA</stp>
        <stp>[Ejercicios de clase.xlsx]Opciones Cotizadas (2)!R11C15</stp>
        <tr r="O11" s="18"/>
      </tp>
      <tp>
        <v>-0.4204446</v>
        <stp/>
        <stp>##V3_BDPV12</stp>
        <stp>GOOGL US 8/21/2020 P1450 Equity</stp>
        <stp>DELTA</stp>
        <stp>[Ejercicios de clase.xlsx]Opciones Cotizadas (2)!R13C15</stp>
        <tr r="O13" s="18"/>
      </tp>
      <tp>
        <v>0.59267420000000004</v>
        <stp/>
        <stp>##V3_BDPV12</stp>
        <stp>GOOGL US 8/21/2020 C1445 Equity</stp>
        <stp>DELTA</stp>
        <stp>[Ejercicios de clase.xlsx]Opciones Cotizadas (2)!R27C11</stp>
        <tr r="K27" s="18"/>
      </tp>
      <tp>
        <v>0.59267420000000004</v>
        <stp/>
        <stp>##V3_BDPV12</stp>
        <stp>GOOGL US 8/21/2020 C1445 Equity</stp>
        <stp>DELTA</stp>
        <stp>[Ejercicios de clase.xlsx]Opciones Cotizadas (2)!R23C11</stp>
        <tr r="K23" s="18"/>
      </tp>
      <tp>
        <v>0.35722700000000002</v>
        <stp/>
        <stp>##V3_BDPV12</stp>
        <stp>GOOGL US 8/21/2020 C1540 Equity</stp>
        <stp>DELTA</stp>
        <stp>[Ejercicios de clase.xlsx]Opciones Cotizadas (2)!R10C15</stp>
        <tr r="O10" s="18"/>
      </tp>
      <tp>
        <v>-0.40837639999999997</v>
        <stp/>
        <stp>##V3_BDPV12</stp>
        <stp>GOOGL US 8/21/2020 P1445 Equity</stp>
        <stp>DELTA</stp>
        <stp>[Ejercicios de clase.xlsx]Opciones Cotizadas (2)!R28C11</stp>
        <tr r="K28" s="18"/>
      </tp>
      <tp>
        <v>-0.40837639999999997</v>
        <stp/>
        <stp>##V3_BDPV12</stp>
        <stp>GOOGL US 8/21/2020 P1445 Equity</stp>
        <stp>DELTA</stp>
        <stp>[Ejercicios de clase.xlsx]Opciones Cotizadas (2)!R24C11</stp>
        <tr r="K24" s="18"/>
      </tp>
      <tp>
        <v>-0.63504550000000004</v>
        <stp/>
        <stp>##V3_BDPV12</stp>
        <stp>GOOGL US 8/21/2020 P1540 Equity</stp>
        <stp>DELTA</stp>
        <stp>[Ejercicios de clase.xlsx]Opciones Cotizadas (2)!R15C15</stp>
        <tr r="O15" s="18"/>
      </tp>
      <tp>
        <v>0.4573758</v>
        <stp/>
        <stp>##V3_BDPV12</stp>
        <stp>GOOGL US 8/21/2020 C1500 Equity</stp>
        <stp>DELTA</stp>
        <stp>[Ejercicios de clase.xlsx]Opciones Cotizadas (2)!R33C11</stp>
        <tr r="K33" s="18"/>
      </tp>
      <tp>
        <v>1.545412</v>
        <stp/>
        <stp>##V3_BDPV12</stp>
        <stp>GOOGL US 8/21/2020 C1350 Equity</stp>
        <stp>VEGA</stp>
        <stp>[Ejercicios de clase.xlsx]Opciones Cotizadas (2)!R19C12</stp>
        <tr r="L19" s="18"/>
      </tp>
      <tp>
        <v>1.6286229999999999</v>
        <stp/>
        <stp>##V3_BDPV12</stp>
        <stp>GOOGL US 8/21/2020 P1350 Equity</stp>
        <stp>VEGA</stp>
        <stp>[Ejercicios de clase.xlsx]Opciones Cotizadas (2)!R11C16</stp>
        <tr r="P11" s="18"/>
      </tp>
      <tp>
        <v>-0.53776740000000001</v>
        <stp/>
        <stp>##V3_BDPV12</stp>
        <stp>GOOGL US 8/21/2020 P1500 Equity</stp>
        <stp>DELTA</stp>
        <stp>[Ejercicios de clase.xlsx]Opciones Cotizadas (2)!R14C15</stp>
        <tr r="O14" s="18"/>
      </tp>
      <tp>
        <v>-0.31237819999999999</v>
        <stp/>
        <stp>##V3_BDPV12</stp>
        <stp>GOOGL US 8/21/2020 P1400 Equity</stp>
        <stp>DELTA</stp>
        <stp>[Ejercicios de clase.xlsx]Opciones Cotizadas (2)!R12C15</stp>
        <tr r="O12" s="18"/>
      </tp>
      <tp>
        <v>-0.31237819999999999</v>
        <stp/>
        <stp>##V3_BDPV12</stp>
        <stp>GOOGL US 8/21/2020 P1400 Equity</stp>
        <stp>DELTA</stp>
        <stp>[Ejercicios de clase.xlsx]Opciones Cotizadas (2)!R30C11</stp>
        <tr r="K30" s="18"/>
      </tp>
      <tp>
        <v>1.87849</v>
        <stp/>
        <stp>##V3_BDPV12</stp>
        <stp>GOOGL US 8/21/2020 P1390 Equity</stp>
        <stp>VEGA</stp>
        <stp>[Ejercicios de clase.xlsx]Opciones Cotizadas (2)!R34C12</stp>
        <tr r="L34" s="18"/>
      </tp>
      <tp>
        <v>0.7965856</v>
        <stp/>
        <stp>##V3_BDPV12</stp>
        <stp>GOOGL US 8/21/2020 C1350 Equity</stp>
        <stp>DELTA</stp>
        <stp>[Ejercicios de clase.xlsx]Opciones Cotizadas (2)!R6C15</stp>
        <tr r="O6" s="18"/>
      </tp>
      <tp>
        <v>0.48190280000000002</v>
        <stp/>
        <stp>##V3_BDPV12</stp>
        <stp>GOOGL US 8/21/2020 C1490 Equity</stp>
        <stp>DELTA</stp>
        <stp>[Ejercicios de clase.xlsx]Opciones Cotizadas (2)!R29C11</stp>
        <tr r="K29" s="18"/>
      </tp>
      <tp>
        <v>-0.29273959999999999</v>
        <stp/>
        <stp>##V3_BDPV12</stp>
        <stp>GOOGL US 8/21/2020 P1390 Equity</stp>
        <stp>DELTA</stp>
        <stp>[Ejercicios de clase.xlsx]Opciones Cotizadas (2)!R34C11</stp>
        <tr r="K34" s="18"/>
      </tp>
      <tp>
        <v>0.4573758</v>
        <stp/>
        <stp>##V3_BDPV12</stp>
        <stp>GOOGL US 8/21/2020 C1500 Equity</stp>
        <stp>DELTA</stp>
        <stp>[Ejercicios de clase.xlsx]Opciones Cotizadas (2)!R9C15</stp>
        <tr r="O9" s="18"/>
      </tp>
      <tp>
        <v>102.9</v>
        <stp/>
        <stp>##V3_BDPV12</stp>
        <stp>GOOGL US 8/21/2020 C1400 Equity</stp>
        <stp>PX_LAST</stp>
        <stp>[Ejercicios de clase.xlsx]Opciones Cotizadas (2)!R7C10</stp>
        <tr r="J7" s="18"/>
      </tp>
      <tp>
        <v>78.8</v>
        <stp/>
        <stp>##V3_BDPV12</stp>
        <stp>GOOGL US 8/21/2020 C1450 Equity</stp>
        <stp>PX_LAST</stp>
        <stp>[Ejercicios de clase.xlsx]Opciones Cotizadas (2)!R8C10</stp>
        <tr r="J8" s="18"/>
      </tp>
      <tp>
        <v>51.92</v>
        <stp/>
        <stp>##V3_BDPV12</stp>
        <stp>GOOGL US 8/21/2020 C1500 Equity</stp>
        <stp>PX_LAST</stp>
        <stp>[Ejercicios de clase.xlsx]Opciones Cotizadas (2)!R9C10</stp>
        <tr r="J9" s="18"/>
      </tp>
      <tp>
        <v>125.4</v>
        <stp/>
        <stp>##V3_BDPV12</stp>
        <stp>GOOGL US 8/21/2020 C1350 Equity</stp>
        <stp>PX_LAST</stp>
        <stp>[Ejercicios de clase.xlsx]Opciones Cotizadas (2)!R6C10</stp>
        <tr r="J6" s="18"/>
      </tp>
      <tp>
        <v>0.5802794</v>
        <stp/>
        <stp>##V3_BDPV12</stp>
        <stp>GOOGL US 8/21/2020 C1450 Equity</stp>
        <stp>DELTA</stp>
        <stp>[Ejercicios de clase.xlsx]Opciones Cotizadas (2)!R8C15</stp>
        <tr r="O8" s="18"/>
      </tp>
      <tp>
        <v>0.69701500000000005</v>
        <stp/>
        <stp>##V3_BDPV12</stp>
        <stp>GOOGL US 8/21/2020 C1400 Equity</stp>
        <stp>DELTA</stp>
        <stp>[Ejercicios de clase.xlsx]Opciones Cotizadas (2)!R7C15</stp>
        <tr r="O7" s="18"/>
      </tp>
    </main>
    <main first="bloomberg.rtd">
      <tp>
        <v>2.1346419999999999</v>
        <stp/>
        <stp>##V3_BDPV12</stp>
        <stp>GOOGL US 8/21/2020 C1450 Equity</stp>
        <stp>VEGA</stp>
        <stp>[Ejercicios de clase.xlsx]Opciones Cotizadas (2)!R8C16</stp>
        <tr r="P8" s="18"/>
      </tp>
      <tp>
        <v>1.9075139999999999</v>
        <stp/>
        <stp>##V3_BDPV12</stp>
        <stp>GOOGL US 8/21/2020 C1400 Equity</stp>
        <stp>VEGA</stp>
        <stp>[Ejercicios de clase.xlsx]Opciones Cotizadas (2)!R7C16</stp>
        <tr r="P7" s="18"/>
      </tp>
    </main>
    <main first="bloomberg.rtd">
      <tp>
        <v>2.1663510000000001</v>
        <stp/>
        <stp>##V3_BDPV12</stp>
        <stp>GOOGL US 8/21/2020 C1500 Equity</stp>
        <stp>VEGA</stp>
        <stp>[Ejercicios de clase.xlsx]Opciones Cotizadas (2)!R9C16</stp>
        <tr r="P9" s="18"/>
      </tp>
    </main>
    <main first="bloomberg.rtd">
      <tp>
        <v>1.545412</v>
        <stp/>
        <stp>##V3_BDPV12</stp>
        <stp>GOOGL US 8/21/2020 C1350 Equity</stp>
        <stp>VEGA</stp>
        <stp>[Ejercicios de clase.xlsx]Opciones Cotizadas (2)!R6C16</stp>
        <tr r="P6" s="18"/>
      </tp>
    </main>
    <main first="bloomberg.rtd">
      <tp>
        <v>0.1600781</v>
        <stp/>
        <stp>##V3_BDPV12</stp>
        <stp>GOOGL US 7/17/2020 C1550 Equity</stp>
        <stp>DELTA</stp>
        <stp>[Ejercicios de clase.xlsx]Opciones Cotizadas!R11C12</stp>
        <tr r="L11" s="12"/>
      </tp>
      <tp>
        <v>0.37059350000000002</v>
        <stp/>
        <stp>##V3_BDPV12</stp>
        <stp>GOOGL US 7/17/2020 C1500 Equity</stp>
        <stp>DELTA</stp>
        <stp>[Ejercicios de clase.xlsx]Opciones Cotizadas!R10C12</stp>
        <tr r="L10" s="12"/>
      </tp>
      <tp>
        <v>6.1095499999999997E-2</v>
        <stp/>
        <stp>##V3_BDPV12</stp>
        <stp>GOOGL US 7/17/2020 C1600 Equity</stp>
        <stp>DELTA</stp>
        <stp>[Ejercicios de clase.xlsx]Opciones Cotizadas!R12C12</stp>
        <tr r="L12" s="12"/>
      </tp>
      <tp>
        <v>0.93531399999999998</v>
        <stp/>
        <stp>##V3_BDPV12</stp>
        <stp>GOOGL US 7/17/2020 C1350 Equity</stp>
        <stp>DELTA</stp>
        <stp>[Ejercicios de clase.xlsx]Opciones Cotizadas!R7C12</stp>
        <tr r="L7" s="12"/>
      </tp>
      <tp>
        <v>1</v>
        <stp/>
        <stp>##V3_BDPV12</stp>
        <stp>GOOGL US 7/17/2020 C1300 Equity</stp>
        <stp>DELTA</stp>
        <stp>[Ejercicios de clase.xlsx]Opciones Cotizadas!R6C12</stp>
        <tr r="L6" s="12"/>
      </tp>
    </main>
    <main first="bloomberg.rtd">
      <tp>
        <v>0.62919570000000002</v>
        <stp/>
        <stp>##V3_BDPV12</stp>
        <stp>GOOGL US 7/17/2020 C1450 Equity</stp>
        <stp>DELTA</stp>
        <stp>[Ejercicios de clase.xlsx]Opciones Cotizadas!R9C12</stp>
        <tr r="L9" s="12"/>
      </tp>
      <tp>
        <v>0.84039399999999997</v>
        <stp/>
        <stp>##V3_BDPV12</stp>
        <stp>GOOGL US 7/17/2020 C1400 Equity</stp>
        <stp>DELTA</stp>
        <stp>[Ejercicios de clase.xlsx]Opciones Cotizadas!R8C12</stp>
        <tr r="L8" s="12"/>
      </tp>
      <tp>
        <v>0.36258750000000001</v>
        <stp/>
        <stp>##V3_BDPV12</stp>
        <stp>GOOGL US 7/17/2020 C1600 Equity</stp>
        <stp>VEGA</stp>
        <stp>[Ejercicios de clase.xlsx]Opciones Cotizadas!R12C13</stp>
        <tr r="M12" s="12"/>
      </tp>
      <tp>
        <v>1.1334919999999999</v>
        <stp/>
        <stp>##V3_BDPV12</stp>
        <stp>GOOGL US 7/17/2020 C1500 Equity</stp>
        <stp>VEGA</stp>
        <stp>[Ejercicios de clase.xlsx]Opciones Cotizadas!R10C13</stp>
        <tr r="M10" s="12"/>
      </tp>
      <tp>
        <v>0.73068049999999996</v>
        <stp/>
        <stp>##V3_BDPV12</stp>
        <stp>GOOGL US 7/17/2020 C1550 Equity</stp>
        <stp>VEGA</stp>
        <stp>[Ejercicios de clase.xlsx]Opciones Cotizadas!R11C13</stp>
        <tr r="M11" s="12"/>
      </tp>
      <tp>
        <v>0</v>
        <stp/>
        <stp>##V3_BDPV12</stp>
        <stp>GOOGL US 7/17/2020 C1300 Equity</stp>
        <stp>VEGA</stp>
        <stp>[Ejercicios de clase.xlsx]Opciones Cotizadas!R6C13</stp>
        <tr r="M6" s="12"/>
      </tp>
      <tp>
        <v>0.37856970000000001</v>
        <stp/>
        <stp>##V3_BDPV12</stp>
        <stp>GOOGL US 7/17/2020 C1350 Equity</stp>
        <stp>VEGA</stp>
        <stp>[Ejercicios de clase.xlsx]Opciones Cotizadas!R7C13</stp>
        <tr r="M7" s="12"/>
      </tp>
      <tp>
        <v>0.72836350000000005</v>
        <stp/>
        <stp>##V3_BDPV12</stp>
        <stp>GOOGL US 7/17/2020 C1400 Equity</stp>
        <stp>VEGA</stp>
        <stp>[Ejercicios de clase.xlsx]Opciones Cotizadas!R8C13</stp>
        <tr r="M8" s="12"/>
      </tp>
      <tp>
        <v>1.1335679999999999</v>
        <stp/>
        <stp>##V3_BDPV12</stp>
        <stp>GOOGL US 7/17/2020 C1450 Equity</stp>
        <stp>VEGA</stp>
        <stp>[Ejercicios de clase.xlsx]Opciones Cotizadas!R9C13</stp>
        <tr r="M9" s="12"/>
      </tp>
    </main>
    <main first="bloomberg.rtd">
      <tp>
        <v>2</v>
        <stp/>
        <stp>##V3_BDPV12</stp>
        <stp>GOOGL US 7/17/2020 C1600 Equity</stp>
        <stp>PX_LAST</stp>
        <stp>[Ejercicios de clase.xlsx]Opciones Cotizadas!R12C7</stp>
        <tr r="G12" s="12"/>
      </tp>
      <tp>
        <v>-0.57992330000000003</v>
        <stp/>
        <stp>##V3_BDPV12</stp>
        <stp>GOOGL US 8/21/2020 C1400 Equity</stp>
        <stp>OPT_THETA</stp>
        <stp>[Ejercicios de clase.xlsx]Opciones Cotizadas (2)!R7C17</stp>
        <tr r="Q7" s="18"/>
      </tp>
      <tp>
        <v>-0.65474469999999996</v>
        <stp/>
        <stp>##V3_BDPV12</stp>
        <stp>GOOGL US 8/21/2020 C1450 Equity</stp>
        <stp>OPT_THETA</stp>
        <stp>[Ejercicios de clase.xlsx]Opciones Cotizadas (2)!R8C17</stp>
        <tr r="Q8" s="18"/>
      </tp>
      <tp>
        <v>18</v>
        <stp/>
        <stp>##V3_BDPV12</stp>
        <stp>GOOGL US 7/17/2020 C1500 Equity</stp>
        <stp>PX_LAST</stp>
        <stp>[Ejercicios de clase.xlsx]Opciones Cotizadas!R10C7</stp>
        <tr r="G10" s="12"/>
      </tp>
      <tp>
        <v>-0.61716749999999998</v>
        <stp/>
        <stp>##V3_BDPV12</stp>
        <stp>GOOGL US 8/21/2020 P1390 Equity</stp>
        <stp>OPT_THETA</stp>
        <stp>[Ejercicios de clase.xlsx]Opciones Cotizadas (2)!R34C13</stp>
        <tr r="M34" s="18"/>
      </tp>
      <tp>
        <v>-0.63297879999999995</v>
        <stp/>
        <stp>##V3_BDPV12</stp>
        <stp>GOOGL US 8/21/2020 C1500 Equity</stp>
        <stp>OPT_THETA</stp>
        <stp>[Ejercicios de clase.xlsx]Opciones Cotizadas (2)!R9C17</stp>
        <tr r="Q9" s="18"/>
      </tp>
      <tp>
        <v>-0.61811260000000001</v>
        <stp/>
        <stp>##V3_BDPV12</stp>
        <stp>GOOGL US 8/21/2020 C1490 Equity</stp>
        <stp>OPT_THETA</stp>
        <stp>[Ejercicios de clase.xlsx]Opciones Cotizadas (2)!R29C13</stp>
        <tr r="M29" s="18"/>
      </tp>
      <tp>
        <v>6</v>
        <stp/>
        <stp>##V3_BDPV12</stp>
        <stp>GOOGL US 7/17/2020 C1550 Equity</stp>
        <stp>PX_LAST</stp>
        <stp>[Ejercicios de clase.xlsx]Opciones Cotizadas!R11C7</stp>
        <tr r="G11" s="12"/>
      </tp>
      <tp>
        <v>30.66</v>
        <stp/>
        <stp>##V3_BDPV12</stp>
        <stp>SPY US 12/17/2021 C315 Equity</stp>
        <stp>PX_MID</stp>
        <stp>[Ejercicios de clase.xlsx]Estructuración!R14C4</stp>
        <tr r="D14" s="17"/>
      </tp>
      <tp>
        <v>30.66</v>
        <stp/>
        <stp>##V3_BDPV12</stp>
        <stp>SPY US 12/17/2021 C315 Equity</stp>
        <stp>PX_MID</stp>
        <stp>[Ejercicios de clase.xlsx]Estructuración!R14C3</stp>
        <tr r="C14" s="17"/>
      </tp>
      <tp>
        <v>-0.47660059999999999</v>
        <stp/>
        <stp>##V3_BDPV12</stp>
        <stp>GOOGL US 8/21/2020 C1350 Equity</stp>
        <stp>OPT_THETA</stp>
        <stp>[Ejercicios de clase.xlsx]Opciones Cotizadas (2)!R6C17</stp>
        <tr r="Q6" s="18"/>
      </tp>
      <tp>
        <v>-0.63089309999999998</v>
        <stp/>
        <stp>##V3_BDPV12</stp>
        <stp>GOOGL US 8/21/2020 P1400 Equity</stp>
        <stp>OPT_THETA</stp>
        <stp>[Ejercicios de clase.xlsx]Opciones Cotizadas (2)!R30C13</stp>
        <tr r="M30" s="18"/>
      </tp>
      <tp>
        <v>-0.63089309999999998</v>
        <stp/>
        <stp>##V3_BDPV12</stp>
        <stp>GOOGL US 8/21/2020 P1400 Equity</stp>
        <stp>OPT_THETA</stp>
        <stp>[Ejercicios de clase.xlsx]Opciones Cotizadas (2)!R12C17</stp>
        <tr r="Q12" s="18"/>
      </tp>
      <tp>
        <v>-0.66039000000000003</v>
        <stp/>
        <stp>##V3_BDPV12</stp>
        <stp>GOOGL US 8/21/2020 P1500 Equity</stp>
        <stp>OPT_THETA</stp>
        <stp>[Ejercicios de clase.xlsx]Opciones Cotizadas (2)!R14C17</stp>
        <tr r="Q14" s="18"/>
      </tp>
      <tp>
        <v>-0.63297879999999995</v>
        <stp/>
        <stp>##V3_BDPV12</stp>
        <stp>GOOGL US 8/21/2020 C1500 Equity</stp>
        <stp>OPT_THETA</stp>
        <stp>[Ejercicios de clase.xlsx]Opciones Cotizadas (2)!R33C13</stp>
        <tr r="M33" s="18"/>
      </tp>
      <tp>
        <v>88.19</v>
        <stp/>
        <stp>##V3_BDPV12</stp>
        <stp>GOOGL US 8/21/2020 P1500 Equity</stp>
        <stp>PX_LAST</stp>
        <stp>[Ejercicios de clase.xlsx]Opciones Cotizadas (2)!R14C10</stp>
        <tr r="J14" s="18"/>
      </tp>
      <tp>
        <v>51.92</v>
        <stp/>
        <stp>##V3_BDPV12</stp>
        <stp>GOOGL US 8/21/2020 C1500 Equity</stp>
        <stp>PX_LAST</stp>
        <stp>[Ejercicios de clase.xlsx]Opciones Cotizadas (2)!R33C10</stp>
        <tr r="J33" s="18"/>
      </tp>
      <tp>
        <v>110</v>
        <stp/>
        <stp>##V3_BDPV12</stp>
        <stp>GOOGL US 8/21/2020 P1540 Equity</stp>
        <stp>PX_LAST</stp>
        <stp>[Ejercicios de clase.xlsx]Opciones Cotizadas (2)!R15C10</stp>
        <tr r="J15" s="18"/>
      </tp>
      <tp>
        <v>31.63</v>
        <stp/>
        <stp>##V3_BDPV12</stp>
        <stp>GOOGL US 8/21/2020 C1540 Equity</stp>
        <stp>PX_LAST</stp>
        <stp>[Ejercicios de clase.xlsx]Opciones Cotizadas (2)!R10C10</stp>
        <tr r="J10" s="18"/>
      </tp>
      <tp>
        <v>28.27</v>
        <stp/>
        <stp>##V3_BDPV12</stp>
        <stp>GOOGL US 8/21/2020 C1550 Equity</stp>
        <stp>PX_LAST</stp>
        <stp>[Ejercicios de clase.xlsx]Opciones Cotizadas (2)!R20C10</stp>
        <tr r="J20" s="18"/>
      </tp>
      <tp>
        <v>39.700000000000003</v>
        <stp/>
        <stp>##V3_BDPV12</stp>
        <stp>GOOGL US 8/21/2020 P1400 Equity</stp>
        <stp>PX_LAST</stp>
        <stp>[Ejercicios de clase.xlsx]Opciones Cotizadas (2)!R12C10</stp>
        <tr r="J12" s="18"/>
      </tp>
      <tp>
        <v>39.700000000000003</v>
        <stp/>
        <stp>##V3_BDPV12</stp>
        <stp>GOOGL US 8/21/2020 P1400 Equity</stp>
        <stp>PX_LAST</stp>
        <stp>[Ejercicios de clase.xlsx]Opciones Cotizadas (2)!R30C10</stp>
        <tr r="J30" s="18"/>
      </tp>
      <tp>
        <v>59.6</v>
        <stp/>
        <stp>##V3_BDPV12</stp>
        <stp>GOOGL US 8/21/2020 P1450 Equity</stp>
        <stp>PX_LAST</stp>
        <stp>[Ejercicios de clase.xlsx]Opciones Cotizadas (2)!R13C10</stp>
        <tr r="J13" s="18"/>
      </tp>
      <tp>
        <v>58.4</v>
        <stp/>
        <stp>##V3_BDPV12</stp>
        <stp>GOOGL US 8/21/2020 P1445 Equity</stp>
        <stp>PX_LAST</stp>
        <stp>[Ejercicios de clase.xlsx]Opciones Cotizadas (2)!R28C10</stp>
        <tr r="J28" s="18"/>
      </tp>
      <tp>
        <v>58.4</v>
        <stp/>
        <stp>##V3_BDPV12</stp>
        <stp>GOOGL US 8/21/2020 P1445 Equity</stp>
        <stp>PX_LAST</stp>
        <stp>[Ejercicios de clase.xlsx]Opciones Cotizadas (2)!R24C10</stp>
        <tr r="J24" s="18"/>
      </tp>
      <tp>
        <v>76.37</v>
        <stp/>
        <stp>##V3_BDPV12</stp>
        <stp>GOOGL US 8/21/2020 C1445 Equity</stp>
        <stp>PX_LAST</stp>
        <stp>[Ejercicios de clase.xlsx]Opciones Cotizadas (2)!R23C10</stp>
        <tr r="J23" s="18"/>
      </tp>
      <tp>
        <v>76.37</v>
        <stp/>
        <stp>##V3_BDPV12</stp>
        <stp>GOOGL US 8/21/2020 C1445 Equity</stp>
        <stp>PX_LAST</stp>
        <stp>[Ejercicios de clase.xlsx]Opciones Cotizadas (2)!R27C10</stp>
        <tr r="J27" s="18"/>
      </tp>
      <tp>
        <v>52.9</v>
        <stp/>
        <stp>##V3_BDPV12</stp>
        <stp>GOOGL US 8/21/2020 C1490 Equity</stp>
        <stp>PX_LAST</stp>
        <stp>[Ejercicios de clase.xlsx]Opciones Cotizadas (2)!R29C10</stp>
        <tr r="J29" s="18"/>
      </tp>
      <tp>
        <v>26.2</v>
        <stp/>
        <stp>##V3_BDPV12</stp>
        <stp>GOOGL US 8/21/2020 P1350 Equity</stp>
        <stp>PX_LAST</stp>
        <stp>[Ejercicios de clase.xlsx]Opciones Cotizadas (2)!R11C10</stp>
        <tr r="J11" s="18"/>
      </tp>
      <tp>
        <v>125.4</v>
        <stp/>
        <stp>##V3_BDPV12</stp>
        <stp>GOOGL US 8/21/2020 C1350 Equity</stp>
        <stp>PX_LAST</stp>
        <stp>[Ejercicios de clase.xlsx]Opciones Cotizadas (2)!R19C10</stp>
        <tr r="J19" s="18"/>
      </tp>
      <tp>
        <v>35.4</v>
        <stp/>
        <stp>##V3_BDPV12</stp>
        <stp>GOOGL US 8/21/2020 P1390 Equity</stp>
        <stp>PX_LAST</stp>
        <stp>[Ejercicios de clase.xlsx]Opciones Cotizadas (2)!R34C10</stp>
        <tr r="J34" s="18"/>
      </tp>
      <tp>
        <v>13.565</v>
        <stp/>
        <stp>##V3_BDPV12</stp>
        <stp>SPY US 12/17/2021 C350 Equity</stp>
        <stp>PX_MID</stp>
        <stp>[Ejercicios de clase.xlsx]Estructuración!R18C3</stp>
        <tr r="C18" s="17"/>
      </tp>
      <tp>
        <v>-0.65997320000000004</v>
        <stp/>
        <stp>##V3_BDPV12</stp>
        <stp>GOOGL US 8/21/2020 P1445 Equity</stp>
        <stp>OPT_THETA</stp>
        <stp>[Ejercicios de clase.xlsx]Opciones Cotizadas (2)!R24C13</stp>
        <tr r="M24" s="18"/>
      </tp>
      <tp>
        <v>-0.65997320000000004</v>
        <stp/>
        <stp>##V3_BDPV12</stp>
        <stp>GOOGL US 8/21/2020 P1445 Equity</stp>
        <stp>OPT_THETA</stp>
        <stp>[Ejercicios de clase.xlsx]Opciones Cotizadas (2)!R28C13</stp>
        <tr r="M28" s="18"/>
      </tp>
      <tp>
        <v>-0.60660579999999997</v>
        <stp/>
        <stp>##V3_BDPV12</stp>
        <stp>GOOGL US 8/21/2020 P1540 Equity</stp>
        <stp>OPT_THETA</stp>
        <stp>[Ejercicios de clase.xlsx]Opciones Cotizadas (2)!R15C17</stp>
        <tr r="Q15" s="18"/>
      </tp>
      <tp>
        <v>-0.64569120000000002</v>
        <stp/>
        <stp>##V3_BDPV12</stp>
        <stp>GOOGL US 8/21/2020 C1445 Equity</stp>
        <stp>OPT_THETA</stp>
        <stp>[Ejercicios de clase.xlsx]Opciones Cotizadas (2)!R23C13</stp>
        <tr r="M23" s="18"/>
      </tp>
      <tp>
        <v>-0.64569120000000002</v>
        <stp/>
        <stp>##V3_BDPV12</stp>
        <stp>GOOGL US 8/21/2020 C1445 Equity</stp>
        <stp>OPT_THETA</stp>
        <stp>[Ejercicios de clase.xlsx]Opciones Cotizadas (2)!R27C13</stp>
        <tr r="M27" s="18"/>
      </tp>
      <tp>
        <v>-0.57114540000000003</v>
        <stp/>
        <stp>##V3_BDPV12</stp>
        <stp>GOOGL US 8/21/2020 C1540 Equity</stp>
        <stp>OPT_THETA</stp>
        <stp>[Ejercicios de clase.xlsx]Opciones Cotizadas (2)!R10C17</stp>
        <tr r="Q10" s="18"/>
      </tp>
      <tp>
        <v>-0.67162180000000005</v>
        <stp/>
        <stp>##V3_BDPV12</stp>
        <stp>GOOGL US 8/21/2020 P1450 Equity</stp>
        <stp>OPT_THETA</stp>
        <stp>[Ejercicios de clase.xlsx]Opciones Cotizadas (2)!R13C17</stp>
        <tr r="Q13" s="18"/>
      </tp>
      <tp>
        <v>-0.55304279999999995</v>
        <stp/>
        <stp>##V3_BDPV12</stp>
        <stp>GOOGL US 8/21/2020 P1350 Equity</stp>
        <stp>OPT_THETA</stp>
        <stp>[Ejercicios de clase.xlsx]Opciones Cotizadas (2)!R11C17</stp>
        <tr r="Q11" s="18"/>
      </tp>
      <tp>
        <v>-0.5354989</v>
        <stp/>
        <stp>##V3_BDPV12</stp>
        <stp>GOOGL US 8/21/2020 C1550 Equity</stp>
        <stp>OPT_THETA</stp>
        <stp>[Ejercicios de clase.xlsx]Opciones Cotizadas (2)!R20C13</stp>
        <tr r="M20" s="18"/>
      </tp>
      <tp>
        <v>-0.47660059999999999</v>
        <stp/>
        <stp>##V3_BDPV12</stp>
        <stp>GOOGL US 8/21/2020 C1350 Equity</stp>
        <stp>OPT_THETA</stp>
        <stp>[Ejercicios de clase.xlsx]Opciones Cotizadas (2)!R19C13</stp>
        <tr r="M19" s="18"/>
      </tp>
    </main>
    <main first="bloomberg.rtd">
      <tp>
        <v>117.45</v>
        <stp/>
        <stp>##V3_BDPV12</stp>
        <stp>GOOGL US 7/17/2020 C1350 Equity</stp>
        <stp>PX_LAST</stp>
        <stp>[Ejercicios de clase.xlsx]Opciones Cotizadas!R7C7</stp>
        <tr r="G7" s="12"/>
      </tp>
    </main>
    <main first="bloomberg.rtd">
      <tp>
        <v>168</v>
        <stp/>
        <stp>##V3_BDPV12</stp>
        <stp>GOOGL US 7/17/2020 C1300 Equity</stp>
        <stp>PX_LAST</stp>
        <stp>[Ejercicios de clase.xlsx]Opciones Cotizadas!R6C7</stp>
        <tr r="G6" s="12"/>
      </tp>
    </main>
    <main first="bloomberg.rtd">
      <tp>
        <v>77.3</v>
        <stp/>
        <stp>##V3_BDPV12</stp>
        <stp>GOOGL US 7/17/2020 C1400 Equity</stp>
        <stp>PX_LAST</stp>
        <stp>[Ejercicios de clase.xlsx]Opciones Cotizadas!R8C7</stp>
        <tr r="G8" s="12"/>
      </tp>
    </main>
    <main first="bloomberg.rtd">
      <tp>
        <v>1474.17</v>
        <stp/>
        <stp>##V3_BDPV12</stp>
        <stp>GOOGL US Equity</stp>
        <stp>PX_LAST</stp>
        <stp>[Ejercicios de clase.xlsx]Opciones Cotizadas!R2C7</stp>
        <tr r="G2" s="12"/>
      </tp>
    </main>
    <main first="bloomberg.rtd">
      <tp>
        <v>1474.17</v>
        <stp/>
        <stp>##V3_BDPV12</stp>
        <stp>GOOGL US Equity</stp>
        <stp>PX_LAST</stp>
        <stp>[Ejercicios de clase.xlsx]Opciones Cotizadas (2)!R2C10</stp>
        <tr r="J2" s="18"/>
      </tp>
    </main>
    <main first="bloomberg.rtd">
      <tp>
        <v>43.71</v>
        <stp/>
        <stp>##V3_BDPV12</stp>
        <stp>GOOGL US 7/17/2020 C1450 Equity</stp>
        <stp>PX_LAST</stp>
        <stp>[Ejercicios de clase.xlsx]Opciones Cotizadas!R9C7</stp>
        <tr r="G9" s="12"/>
      </tp>
    </main>
    <main first="bloomberg.rtd">
      <tp>
        <v>-0.62326550000000003</v>
        <stp/>
        <stp>##V3_BDPV12</stp>
        <stp>GOOGL US 7/17/2020 C1400 Equity</stp>
        <stp>OPT_THETA</stp>
        <stp>[Ejercicios de clase.xlsx]Opciones Cotizadas!R8C14</stp>
        <tr r="N8" s="12"/>
      </tp>
      <tp>
        <v>-0.98123800000000005</v>
        <stp/>
        <stp>##V3_BDPV12</stp>
        <stp>GOOGL US 7/17/2020 C1450 Equity</stp>
        <stp>OPT_THETA</stp>
        <stp>[Ejercicios de clase.xlsx]Opciones Cotizadas!R9C14</stp>
        <tr r="N9" s="12"/>
      </tp>
      <tp>
        <v>0</v>
        <stp/>
        <stp>##V3_BDPV12</stp>
        <stp>GOOGL US 7/17/2020 C1300 Equity</stp>
        <stp>OPT_THETA</stp>
        <stp>[Ejercicios de clase.xlsx]Opciones Cotizadas!R6C14</stp>
        <tr r="N6" s="12"/>
      </tp>
      <tp>
        <v>-0.3556472</v>
        <stp/>
        <stp>##V3_BDPV12</stp>
        <stp>GOOGL US 7/17/2020 C1350 Equity</stp>
        <stp>OPT_THETA</stp>
        <stp>[Ejercicios de clase.xlsx]Opciones Cotizadas!R7C14</stp>
        <tr r="N7" s="12"/>
      </tp>
      <tp>
        <v>-0.3007012</v>
        <stp/>
        <stp>##V3_BDPV12</stp>
        <stp>GOOGL US 7/17/2020 C1600 Equity</stp>
        <stp>OPT_THETA</stp>
        <stp>[Ejercicios de clase.xlsx]Opciones Cotizadas!R12C14</stp>
        <tr r="N12" s="12"/>
      </tp>
      <tp>
        <v>-0.91699940000000002</v>
        <stp/>
        <stp>##V3_BDPV12</stp>
        <stp>GOOGL US 7/17/2020 C1500 Equity</stp>
        <stp>OPT_THETA</stp>
        <stp>[Ejercicios de clase.xlsx]Opciones Cotizadas!R10C14</stp>
        <tr r="N10" s="12"/>
      </tp>
      <tp>
        <v>-0.58558980000000005</v>
        <stp/>
        <stp>##V3_BDPV12</stp>
        <stp>GOOGL US 7/17/2020 C1550 Equity</stp>
        <stp>OPT_THETA</stp>
        <stp>[Ejercicios de clase.xlsx]Opciones Cotizadas!R11C14</stp>
        <tr r="N11" s="12"/>
      </tp>
      <tp>
        <v>313.37</v>
        <stp/>
        <stp>##V3_BDPV12</stp>
        <stp>SPY US Equity</stp>
        <stp>PX_MID</stp>
        <stp>[Ejercicios de clase.xlsx]Estructuración!R9C3</stp>
        <tr r="C9" s="17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4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437536</xdr:colOff>
      <xdr:row>0</xdr:row>
      <xdr:rowOff>89121</xdr:rowOff>
    </xdr:from>
    <xdr:to>
      <xdr:col>13</xdr:col>
      <xdr:colOff>261761</xdr:colOff>
      <xdr:row>15</xdr:row>
      <xdr:rowOff>15500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704625-B2A5-4CBC-BDDF-32329B19C8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5636" y="89121"/>
          <a:ext cx="4701025" cy="2669579"/>
        </a:xfrm>
        <a:prstGeom prst="rect">
          <a:avLst/>
        </a:prstGeom>
      </xdr:spPr>
    </xdr:pic>
    <xdr:clientData/>
  </xdr:twoCellAnchor>
  <xdr:twoCellAnchor editAs="oneCell">
    <xdr:from>
      <xdr:col>9</xdr:col>
      <xdr:colOff>340361</xdr:colOff>
      <xdr:row>15</xdr:row>
      <xdr:rowOff>89673</xdr:rowOff>
    </xdr:from>
    <xdr:to>
      <xdr:col>13</xdr:col>
      <xdr:colOff>578151</xdr:colOff>
      <xdr:row>19</xdr:row>
      <xdr:rowOff>31693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7820AFB-B92C-4111-8BB0-AFAEF9B68D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26861" y="2832873"/>
          <a:ext cx="2676190" cy="673540"/>
        </a:xfrm>
        <a:prstGeom prst="rect">
          <a:avLst/>
        </a:prstGeom>
      </xdr:spPr>
    </xdr:pic>
    <xdr:clientData/>
  </xdr:twoCellAnchor>
  <xdr:twoCellAnchor editAs="oneCell">
    <xdr:from>
      <xdr:col>5</xdr:col>
      <xdr:colOff>569843</xdr:colOff>
      <xdr:row>15</xdr:row>
      <xdr:rowOff>132521</xdr:rowOff>
    </xdr:from>
    <xdr:to>
      <xdr:col>9</xdr:col>
      <xdr:colOff>207633</xdr:colOff>
      <xdr:row>18</xdr:row>
      <xdr:rowOff>118787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26DB3C3-9686-4DB1-8EC4-C20816736A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17943" y="2875721"/>
          <a:ext cx="2076190" cy="5349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383540</xdr:colOff>
      <xdr:row>1</xdr:row>
      <xdr:rowOff>68580</xdr:rowOff>
    </xdr:from>
    <xdr:to>
      <xdr:col>13</xdr:col>
      <xdr:colOff>487921</xdr:colOff>
      <xdr:row>6</xdr:row>
      <xdr:rowOff>144656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8EB9A8-3638-4DEE-A37C-9EC3A59BC1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00190" y="252730"/>
          <a:ext cx="3152381" cy="99682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161290</xdr:colOff>
      <xdr:row>1</xdr:row>
      <xdr:rowOff>129540</xdr:rowOff>
    </xdr:from>
    <xdr:to>
      <xdr:col>23</xdr:col>
      <xdr:colOff>145755</xdr:colOff>
      <xdr:row>18</xdr:row>
      <xdr:rowOff>175260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BC1635-CF64-49E5-99B3-751B32BB8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26470" y="312420"/>
          <a:ext cx="3032465" cy="3154680"/>
        </a:xfrm>
        <a:prstGeom prst="rect">
          <a:avLst/>
        </a:prstGeom>
      </xdr:spPr>
    </xdr:pic>
    <xdr:clientData/>
  </xdr:twoCellAnchor>
  <xdr:twoCellAnchor editAs="oneCell">
    <xdr:from>
      <xdr:col>6</xdr:col>
      <xdr:colOff>325120</xdr:colOff>
      <xdr:row>13</xdr:row>
      <xdr:rowOff>119380</xdr:rowOff>
    </xdr:from>
    <xdr:to>
      <xdr:col>11</xdr:col>
      <xdr:colOff>12700</xdr:colOff>
      <xdr:row>17</xdr:row>
      <xdr:rowOff>94565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1864B0A-692B-49B7-8222-F8F721172B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48380" y="2496820"/>
          <a:ext cx="3131820" cy="706705"/>
        </a:xfrm>
        <a:prstGeom prst="rect">
          <a:avLst/>
        </a:prstGeom>
      </xdr:spPr>
    </xdr:pic>
    <xdr:clientData/>
  </xdr:twoCellAnchor>
  <xdr:twoCellAnchor editAs="oneCell">
    <xdr:from>
      <xdr:col>6</xdr:col>
      <xdr:colOff>267970</xdr:colOff>
      <xdr:row>18</xdr:row>
      <xdr:rowOff>89175</xdr:rowOff>
    </xdr:from>
    <xdr:to>
      <xdr:col>13</xdr:col>
      <xdr:colOff>540194</xdr:colOff>
      <xdr:row>22</xdr:row>
      <xdr:rowOff>66807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667BAE-CA2E-404F-9FE6-3FAAE62DBA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91230" y="3381015"/>
          <a:ext cx="4966144" cy="70915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548640</xdr:colOff>
      <xdr:row>1</xdr:row>
      <xdr:rowOff>158454</xdr:rowOff>
    </xdr:from>
    <xdr:to>
      <xdr:col>16</xdr:col>
      <xdr:colOff>266699</xdr:colOff>
      <xdr:row>15</xdr:row>
      <xdr:rowOff>144009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D1AB7D-F7D5-43EC-B964-4AC250E582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93695" y="341125"/>
          <a:ext cx="2771278" cy="2542952"/>
        </a:xfrm>
        <a:prstGeom prst="rect">
          <a:avLst/>
        </a:prstGeom>
      </xdr:spPr>
    </xdr:pic>
    <xdr:clientData/>
  </xdr:twoCellAnchor>
  <xdr:twoCellAnchor editAs="oneCell">
    <xdr:from>
      <xdr:col>11</xdr:col>
      <xdr:colOff>316308</xdr:colOff>
      <xdr:row>16</xdr:row>
      <xdr:rowOff>158143</xdr:rowOff>
    </xdr:from>
    <xdr:to>
      <xdr:col>16</xdr:col>
      <xdr:colOff>4815</xdr:colOff>
      <xdr:row>25</xdr:row>
      <xdr:rowOff>131204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A66E1D1-A507-409E-822C-537294D5B8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96226" y="3080883"/>
          <a:ext cx="2741726" cy="1617102"/>
        </a:xfrm>
        <a:prstGeom prst="rect">
          <a:avLst/>
        </a:prstGeom>
      </xdr:spPr>
    </xdr:pic>
    <xdr:clientData/>
  </xdr:twoCellAnchor>
  <xdr:twoCellAnchor editAs="oneCell">
    <xdr:from>
      <xdr:col>18</xdr:col>
      <xdr:colOff>533400</xdr:colOff>
      <xdr:row>4</xdr:row>
      <xdr:rowOff>68580</xdr:rowOff>
    </xdr:from>
    <xdr:to>
      <xdr:col>23</xdr:col>
      <xdr:colOff>123495</xdr:colOff>
      <xdr:row>9</xdr:row>
      <xdr:rowOff>1799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C9107A5-B5EA-47E4-9276-C5F7712745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77600" y="800100"/>
          <a:ext cx="2638095" cy="847619"/>
        </a:xfrm>
        <a:prstGeom prst="rect">
          <a:avLst/>
        </a:prstGeom>
      </xdr:spPr>
    </xdr:pic>
    <xdr:clientData/>
  </xdr:twoCellAnchor>
  <xdr:twoCellAnchor editAs="oneCell">
    <xdr:from>
      <xdr:col>18</xdr:col>
      <xdr:colOff>601980</xdr:colOff>
      <xdr:row>15</xdr:row>
      <xdr:rowOff>160020</xdr:rowOff>
    </xdr:from>
    <xdr:to>
      <xdr:col>27</xdr:col>
      <xdr:colOff>172724</xdr:colOff>
      <xdr:row>19</xdr:row>
      <xdr:rowOff>95167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841388E-198A-4A25-9EF6-128DC3516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346180" y="2903220"/>
          <a:ext cx="5057143" cy="66666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237876</xdr:colOff>
      <xdr:row>0</xdr:row>
      <xdr:rowOff>99060</xdr:rowOff>
    </xdr:from>
    <xdr:to>
      <xdr:col>24</xdr:col>
      <xdr:colOff>129309</xdr:colOff>
      <xdr:row>9</xdr:row>
      <xdr:rowOff>43559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9C09FD-18BC-42B0-8960-F4E15C460C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57236" y="99060"/>
          <a:ext cx="5377833" cy="1590419"/>
        </a:xfrm>
        <a:prstGeom prst="rect">
          <a:avLst/>
        </a:prstGeom>
      </xdr:spPr>
    </xdr:pic>
    <xdr:clientData/>
  </xdr:twoCellAnchor>
  <xdr:twoCellAnchor editAs="oneCell">
    <xdr:from>
      <xdr:col>15</xdr:col>
      <xdr:colOff>396240</xdr:colOff>
      <xdr:row>9</xdr:row>
      <xdr:rowOff>37224</xdr:rowOff>
    </xdr:from>
    <xdr:to>
      <xdr:col>24</xdr:col>
      <xdr:colOff>220980</xdr:colOff>
      <xdr:row>14</xdr:row>
      <xdr:rowOff>121877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A33BE00-664D-4D01-9964-85C58EA8F2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92840" y="1683144"/>
          <a:ext cx="5311140" cy="999053"/>
        </a:xfrm>
        <a:prstGeom prst="rect">
          <a:avLst/>
        </a:prstGeom>
      </xdr:spPr>
    </xdr:pic>
    <xdr:clientData/>
  </xdr:twoCellAnchor>
  <xdr:twoCellAnchor editAs="oneCell">
    <xdr:from>
      <xdr:col>13</xdr:col>
      <xdr:colOff>174708</xdr:colOff>
      <xdr:row>3</xdr:row>
      <xdr:rowOff>163432</xdr:rowOff>
    </xdr:from>
    <xdr:to>
      <xdr:col>15</xdr:col>
      <xdr:colOff>28794</xdr:colOff>
      <xdr:row>7</xdr:row>
      <xdr:rowOff>123092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4BBE02C-3816-4518-944F-FABA3E284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62216" y="708555"/>
          <a:ext cx="2157671" cy="686491"/>
        </a:xfrm>
        <a:prstGeom prst="rect">
          <a:avLst/>
        </a:prstGeom>
      </xdr:spPr>
    </xdr:pic>
    <xdr:clientData/>
  </xdr:twoCellAnchor>
  <xdr:twoCellAnchor editAs="oneCell">
    <xdr:from>
      <xdr:col>16</xdr:col>
      <xdr:colOff>161365</xdr:colOff>
      <xdr:row>20</xdr:row>
      <xdr:rowOff>4930</xdr:rowOff>
    </xdr:from>
    <xdr:to>
      <xdr:col>24</xdr:col>
      <xdr:colOff>341708</xdr:colOff>
      <xdr:row>23</xdr:row>
      <xdr:rowOff>122957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7D631D0-6AD5-4403-A6FD-B8D6A19274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806518" y="3590812"/>
          <a:ext cx="5057143" cy="65591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391934</xdr:colOff>
      <xdr:row>15</xdr:row>
      <xdr:rowOff>180560</xdr:rowOff>
    </xdr:from>
    <xdr:to>
      <xdr:col>22</xdr:col>
      <xdr:colOff>350520</xdr:colOff>
      <xdr:row>29</xdr:row>
      <xdr:rowOff>171035</xdr:rowOff>
    </xdr:to>
    <xdr:pic>
      <xdr:nvPicPr>
        <xdr:cNvPr id="4" name="Picture 3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1181"/>
        <a:stretch/>
      </xdr:blipFill>
      <xdr:spPr bwMode="auto">
        <a:xfrm>
          <a:off x="12583934" y="2923760"/>
          <a:ext cx="4134346" cy="2733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391934</xdr:colOff>
      <xdr:row>15</xdr:row>
      <xdr:rowOff>180560</xdr:rowOff>
    </xdr:from>
    <xdr:to>
      <xdr:col>21</xdr:col>
      <xdr:colOff>45720</xdr:colOff>
      <xdr:row>30</xdr:row>
      <xdr:rowOff>171035</xdr:rowOff>
    </xdr:to>
    <xdr:pic>
      <xdr:nvPicPr>
        <xdr:cNvPr id="2" name="Picture 3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1181"/>
        <a:stretch/>
      </xdr:blipFill>
      <xdr:spPr bwMode="auto">
        <a:xfrm>
          <a:off x="12583934" y="2923760"/>
          <a:ext cx="4134346" cy="2733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226447</xdr:colOff>
      <xdr:row>5</xdr:row>
      <xdr:rowOff>139952</xdr:rowOff>
    </xdr:from>
    <xdr:to>
      <xdr:col>17</xdr:col>
      <xdr:colOff>176533</xdr:colOff>
      <xdr:row>17</xdr:row>
      <xdr:rowOff>147752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27686" y="1092452"/>
          <a:ext cx="4240478" cy="25257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3"/>
  <sheetViews>
    <sheetView workbookViewId="0">
      <selection activeCell="D14" sqref="D14"/>
    </sheetView>
  </sheetViews>
  <sheetFormatPr baseColWidth="10" defaultColWidth="8.88671875" defaultRowHeight="14.4" x14ac:dyDescent="0.3"/>
  <cols>
    <col min="2" max="2" width="12.44140625" style="15" bestFit="1" customWidth="1"/>
    <col min="3" max="3" width="15.109375" bestFit="1" customWidth="1"/>
    <col min="4" max="4" width="10.6640625" bestFit="1" customWidth="1"/>
  </cols>
  <sheetData>
    <row r="2" spans="2:4" x14ac:dyDescent="0.3">
      <c r="B2" s="15" t="s">
        <v>37</v>
      </c>
      <c r="C2" s="6">
        <v>1763</v>
      </c>
    </row>
    <row r="3" spans="2:4" x14ac:dyDescent="0.3">
      <c r="B3" s="15" t="s">
        <v>38</v>
      </c>
      <c r="C3">
        <v>2000</v>
      </c>
    </row>
    <row r="4" spans="2:4" x14ac:dyDescent="0.3">
      <c r="B4" s="15" t="s">
        <v>39</v>
      </c>
      <c r="C4" s="7">
        <v>44371</v>
      </c>
    </row>
    <row r="5" spans="2:4" x14ac:dyDescent="0.3">
      <c r="B5" s="15" t="s">
        <v>2</v>
      </c>
      <c r="C5">
        <v>1</v>
      </c>
    </row>
    <row r="6" spans="2:4" x14ac:dyDescent="0.3">
      <c r="B6" s="15" t="s">
        <v>40</v>
      </c>
      <c r="C6" s="8">
        <v>1.4999999999999999E-2</v>
      </c>
    </row>
    <row r="8" spans="2:4" x14ac:dyDescent="0.3">
      <c r="B8" s="15" t="s">
        <v>41</v>
      </c>
      <c r="C8" t="s">
        <v>42</v>
      </c>
      <c r="D8" s="6">
        <f>+C2*(1+C6)^C5</f>
        <v>1789.4449999999999</v>
      </c>
    </row>
    <row r="10" spans="2:4" x14ac:dyDescent="0.3">
      <c r="B10" s="15" t="s">
        <v>43</v>
      </c>
      <c r="C10" t="s">
        <v>44</v>
      </c>
      <c r="D10" s="9">
        <f ca="1">+TODAY()+90</f>
        <v>44104</v>
      </c>
    </row>
    <row r="11" spans="2:4" x14ac:dyDescent="0.3">
      <c r="C11" t="s">
        <v>45</v>
      </c>
      <c r="D11" s="10">
        <f ca="1">+(C4-D10)/365</f>
        <v>0.73150684931506849</v>
      </c>
    </row>
    <row r="12" spans="2:4" x14ac:dyDescent="0.3">
      <c r="C12" t="s">
        <v>46</v>
      </c>
      <c r="D12" s="6">
        <v>1763</v>
      </c>
    </row>
    <row r="13" spans="2:4" x14ac:dyDescent="0.3">
      <c r="C13" t="s">
        <v>47</v>
      </c>
      <c r="D13" s="6">
        <f ca="1">+D12-D8/(1+C6)^D11</f>
        <v>-7.0616808094509906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I16"/>
  <sheetViews>
    <sheetView zoomScale="115" zoomScaleNormal="115" workbookViewId="0">
      <selection activeCell="D12" sqref="D12"/>
    </sheetView>
  </sheetViews>
  <sheetFormatPr baseColWidth="10" defaultColWidth="8.88671875" defaultRowHeight="14.4" x14ac:dyDescent="0.3"/>
  <cols>
    <col min="3" max="3" width="11.5546875" style="43" bestFit="1" customWidth="1"/>
    <col min="4" max="4" width="7.6640625" bestFit="1" customWidth="1"/>
    <col min="6" max="6" width="12.33203125" bestFit="1" customWidth="1"/>
    <col min="7" max="7" width="11.5546875" bestFit="1" customWidth="1"/>
    <col min="8" max="8" width="14.44140625" style="61" customWidth="1"/>
    <col min="9" max="9" width="8.88671875" style="52"/>
  </cols>
  <sheetData>
    <row r="2" spans="2:9" x14ac:dyDescent="0.3">
      <c r="B2" s="83" t="s">
        <v>151</v>
      </c>
      <c r="C2" s="43" t="s">
        <v>37</v>
      </c>
      <c r="D2">
        <v>119.06</v>
      </c>
      <c r="F2" s="77" t="s">
        <v>130</v>
      </c>
      <c r="G2" s="77"/>
    </row>
    <row r="3" spans="2:9" x14ac:dyDescent="0.3">
      <c r="B3" s="83"/>
      <c r="C3" s="43" t="s">
        <v>88</v>
      </c>
      <c r="D3">
        <v>120</v>
      </c>
      <c r="F3" s="52" t="s">
        <v>117</v>
      </c>
      <c r="G3" s="35">
        <v>4.4000000000000004</v>
      </c>
      <c r="H3" s="63"/>
    </row>
    <row r="4" spans="2:9" x14ac:dyDescent="0.3">
      <c r="B4" s="83"/>
      <c r="C4" s="43" t="s">
        <v>52</v>
      </c>
      <c r="D4" s="48">
        <f>3/12</f>
        <v>0.25</v>
      </c>
      <c r="F4" s="52" t="s">
        <v>88</v>
      </c>
      <c r="G4" s="60">
        <v>120</v>
      </c>
      <c r="H4" s="63"/>
    </row>
    <row r="5" spans="2:9" x14ac:dyDescent="0.3">
      <c r="B5" s="83"/>
      <c r="C5" s="43" t="s">
        <v>40</v>
      </c>
      <c r="D5" s="8">
        <v>2E-3</v>
      </c>
      <c r="F5" s="52" t="s">
        <v>52</v>
      </c>
      <c r="G5" s="40">
        <v>8.3333333333333329E-2</v>
      </c>
      <c r="H5" s="63"/>
    </row>
    <row r="6" spans="2:9" x14ac:dyDescent="0.3">
      <c r="B6" s="83"/>
      <c r="C6" s="43" t="s">
        <v>99</v>
      </c>
      <c r="D6" s="8">
        <v>1.7999999999999999E-2</v>
      </c>
      <c r="F6" s="60" t="s">
        <v>131</v>
      </c>
      <c r="G6" s="35">
        <f>+D14-G3</f>
        <v>1.3531387088150382E-5</v>
      </c>
      <c r="H6" s="63"/>
    </row>
    <row r="7" spans="2:9" x14ac:dyDescent="0.3">
      <c r="B7" s="65" t="s">
        <v>152</v>
      </c>
      <c r="C7" s="43" t="s">
        <v>100</v>
      </c>
      <c r="D7" s="58">
        <v>0.21352781003335916</v>
      </c>
      <c r="F7" s="52" t="s">
        <v>118</v>
      </c>
      <c r="G7" s="59">
        <v>0.21352781003335916</v>
      </c>
      <c r="H7" s="63"/>
      <c r="I7" s="60"/>
    </row>
    <row r="8" spans="2:9" x14ac:dyDescent="0.3">
      <c r="H8" s="63"/>
      <c r="I8" s="60"/>
    </row>
    <row r="9" spans="2:9" x14ac:dyDescent="0.3">
      <c r="B9" s="84" t="s">
        <v>153</v>
      </c>
      <c r="C9" s="43" t="s">
        <v>115</v>
      </c>
      <c r="D9" s="10">
        <f>+(LN((S*EXP(-dvd*T))/(K*EXP(-rate*T)))+sigma^2/2*T)/(sigma*SQRT(T))</f>
        <v>-5.7743385731663016E-2</v>
      </c>
      <c r="F9" s="65"/>
      <c r="H9" s="63"/>
    </row>
    <row r="10" spans="2:9" x14ac:dyDescent="0.3">
      <c r="B10" s="84"/>
      <c r="C10" s="43" t="s">
        <v>116</v>
      </c>
      <c r="D10" s="10">
        <f>+d_1-sigma*SQRT(T)</f>
        <v>-0.16450729074834258</v>
      </c>
      <c r="H10" s="62"/>
    </row>
    <row r="11" spans="2:9" x14ac:dyDescent="0.3">
      <c r="B11" s="84"/>
      <c r="C11" s="43" t="s">
        <v>126</v>
      </c>
      <c r="D11" s="10">
        <f>+NORMSDIST(d_1)</f>
        <v>0.47697651725619988</v>
      </c>
    </row>
    <row r="12" spans="2:9" x14ac:dyDescent="0.3">
      <c r="B12" s="84"/>
      <c r="C12" s="43" t="s">
        <v>127</v>
      </c>
      <c r="D12" s="10">
        <f>+NORMSDIST(d_2)</f>
        <v>0.43466590387624893</v>
      </c>
    </row>
    <row r="13" spans="2:9" x14ac:dyDescent="0.3">
      <c r="C13" s="60"/>
      <c r="I13" s="60"/>
    </row>
    <row r="14" spans="2:9" ht="24" customHeight="1" x14ac:dyDescent="0.3">
      <c r="B14" s="84" t="s">
        <v>154</v>
      </c>
      <c r="C14" s="43" t="s">
        <v>129</v>
      </c>
      <c r="D14" s="10">
        <f>+S*EXP(-dvd*T)*Nd_1-K*EXP(-rate*T)*Nd_2</f>
        <v>4.4000135313870885</v>
      </c>
      <c r="I14" s="60"/>
    </row>
    <row r="15" spans="2:9" ht="24" customHeight="1" x14ac:dyDescent="0.3">
      <c r="B15" s="84"/>
      <c r="C15" s="43" t="s">
        <v>128</v>
      </c>
      <c r="D15" s="10">
        <f>+K*EXP(-rate*T)*(1-Nd_2)-S*EXP(-dvd*T)*(1-Nd_1)</f>
        <v>5.8145948525787432</v>
      </c>
    </row>
    <row r="16" spans="2:9" x14ac:dyDescent="0.3">
      <c r="C16" s="60"/>
      <c r="D16" s="10"/>
      <c r="I16" s="60"/>
    </row>
  </sheetData>
  <mergeCells count="4">
    <mergeCell ref="F2:G2"/>
    <mergeCell ref="B2:B6"/>
    <mergeCell ref="B9:B12"/>
    <mergeCell ref="B14:B15"/>
  </mergeCells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zoomScaleNormal="100" workbookViewId="0">
      <selection activeCell="E23" sqref="E23"/>
    </sheetView>
  </sheetViews>
  <sheetFormatPr baseColWidth="10" defaultColWidth="8.88671875" defaultRowHeight="14.4" x14ac:dyDescent="0.3"/>
  <cols>
    <col min="2" max="2" width="22.109375" bestFit="1" customWidth="1"/>
    <col min="3" max="4" width="28.5546875" style="65" bestFit="1" customWidth="1"/>
    <col min="5" max="5" width="7.6640625" customWidth="1"/>
  </cols>
  <sheetData>
    <row r="2" spans="2:11" x14ac:dyDescent="0.3">
      <c r="C2" s="65" t="s">
        <v>179</v>
      </c>
      <c r="D2" s="65" t="s">
        <v>180</v>
      </c>
    </row>
    <row r="3" spans="2:11" x14ac:dyDescent="0.3">
      <c r="B3" t="s">
        <v>176</v>
      </c>
      <c r="C3" s="66">
        <f ca="1">+(H10+((C8-G10)/(G11-G10))*(H11-H10))/100</f>
        <v>4.6261643835616437E-3</v>
      </c>
      <c r="D3" s="66">
        <f ca="1">+(K10+((C8-G10)/(G11-G10))*(K11-K10))/100</f>
        <v>8.7496438356164385E-3</v>
      </c>
    </row>
    <row r="4" spans="2:11" x14ac:dyDescent="0.3">
      <c r="B4" t="s">
        <v>143</v>
      </c>
      <c r="C4" s="45">
        <f ca="1">1/(1+C3)^$C$8</f>
        <v>0.99328277259697006</v>
      </c>
      <c r="D4" s="45">
        <f ca="1">1/(1+D3)^$C$8</f>
        <v>0.98735926923901884</v>
      </c>
    </row>
    <row r="5" spans="2:11" x14ac:dyDescent="0.3">
      <c r="B5" t="s">
        <v>177</v>
      </c>
      <c r="C5" s="45">
        <f ca="1">1-C4</f>
        <v>6.717227403029935E-3</v>
      </c>
      <c r="D5" s="45">
        <f ca="1">1-D4</f>
        <v>1.2640730760981156E-2</v>
      </c>
    </row>
    <row r="7" spans="2:11" x14ac:dyDescent="0.3">
      <c r="B7" t="s">
        <v>109</v>
      </c>
      <c r="C7" s="71">
        <v>44547</v>
      </c>
      <c r="D7" s="71"/>
      <c r="F7" s="85" t="s">
        <v>150</v>
      </c>
      <c r="G7" s="85"/>
      <c r="H7" s="85"/>
      <c r="J7" s="85" t="s">
        <v>175</v>
      </c>
      <c r="K7" s="85"/>
    </row>
    <row r="8" spans="2:11" x14ac:dyDescent="0.3">
      <c r="B8" t="s">
        <v>52</v>
      </c>
      <c r="C8" s="40">
        <f ca="1">+(C7-TODAY())/365</f>
        <v>1.4602739726027398</v>
      </c>
      <c r="D8" s="40"/>
      <c r="F8" s="55" t="s">
        <v>52</v>
      </c>
      <c r="G8" s="55" t="s">
        <v>52</v>
      </c>
      <c r="H8" s="55" t="s">
        <v>5</v>
      </c>
      <c r="J8" s="55" t="s">
        <v>52</v>
      </c>
      <c r="K8" s="55" t="s">
        <v>5</v>
      </c>
    </row>
    <row r="9" spans="2:11" x14ac:dyDescent="0.3">
      <c r="B9" t="s">
        <v>142</v>
      </c>
      <c r="C9" s="70">
        <f>+_xll.BDP(B9,"PX_MID")</f>
        <v>313.37</v>
      </c>
      <c r="D9" s="70"/>
      <c r="F9" s="65" t="s">
        <v>18</v>
      </c>
      <c r="G9" s="65">
        <v>0.25</v>
      </c>
      <c r="H9" s="35">
        <v>0.34300000000000003</v>
      </c>
      <c r="I9" s="35"/>
      <c r="J9" s="65" t="s">
        <v>18</v>
      </c>
      <c r="K9" s="35">
        <v>0.76500000000000001</v>
      </c>
    </row>
    <row r="10" spans="2:11" x14ac:dyDescent="0.3">
      <c r="F10" s="65" t="s">
        <v>27</v>
      </c>
      <c r="G10" s="40">
        <v>1</v>
      </c>
      <c r="H10" s="35">
        <v>0.435</v>
      </c>
      <c r="I10" s="35"/>
      <c r="J10" s="65" t="s">
        <v>27</v>
      </c>
      <c r="K10" s="35">
        <v>0.83399999999999996</v>
      </c>
    </row>
    <row r="11" spans="2:11" x14ac:dyDescent="0.3">
      <c r="F11" s="65" t="s">
        <v>137</v>
      </c>
      <c r="G11" s="40">
        <v>2</v>
      </c>
      <c r="H11" s="35">
        <v>0.495</v>
      </c>
      <c r="I11" s="35"/>
      <c r="J11" s="65" t="s">
        <v>137</v>
      </c>
      <c r="K11" s="35">
        <v>0.92300000000000004</v>
      </c>
    </row>
    <row r="12" spans="2:11" x14ac:dyDescent="0.3">
      <c r="F12" s="65" t="s">
        <v>148</v>
      </c>
      <c r="G12" s="40">
        <v>3</v>
      </c>
      <c r="H12" s="35">
        <v>0.63</v>
      </c>
      <c r="I12" s="35"/>
      <c r="J12" s="65" t="s">
        <v>148</v>
      </c>
      <c r="K12" s="35">
        <v>1.0900000000000001</v>
      </c>
    </row>
    <row r="13" spans="2:11" x14ac:dyDescent="0.3">
      <c r="C13" t="s">
        <v>146</v>
      </c>
      <c r="D13" t="s">
        <v>146</v>
      </c>
      <c r="F13" s="65" t="s">
        <v>149</v>
      </c>
      <c r="G13" s="40">
        <v>5</v>
      </c>
      <c r="H13" s="35">
        <v>0.94599999999999995</v>
      </c>
      <c r="I13" s="35"/>
      <c r="J13" s="65" t="s">
        <v>149</v>
      </c>
      <c r="K13" s="35">
        <v>1.45</v>
      </c>
    </row>
    <row r="14" spans="2:11" x14ac:dyDescent="0.3">
      <c r="B14" t="s">
        <v>147</v>
      </c>
      <c r="C14" s="70">
        <f>+_xll.BDP(C13,"PX_MID")</f>
        <v>30.66</v>
      </c>
      <c r="D14" s="70">
        <f>+_xll.BDP(D13,"PX_MID")</f>
        <v>30.66</v>
      </c>
    </row>
    <row r="15" spans="2:11" x14ac:dyDescent="0.3">
      <c r="B15" t="s">
        <v>144</v>
      </c>
      <c r="C15" s="45">
        <f>+C14/$C$9</f>
        <v>9.7839614513195269E-2</v>
      </c>
      <c r="D15" s="45">
        <f>+D14/$C$9</f>
        <v>9.7839614513195269E-2</v>
      </c>
    </row>
    <row r="17" spans="2:4" x14ac:dyDescent="0.3">
      <c r="C17" t="s">
        <v>178</v>
      </c>
    </row>
    <row r="18" spans="2:4" x14ac:dyDescent="0.3">
      <c r="B18" t="s">
        <v>147</v>
      </c>
      <c r="C18" s="70">
        <f>+_xll.BDP(C17,"PX_MID")</f>
        <v>13.565</v>
      </c>
    </row>
    <row r="19" spans="2:4" x14ac:dyDescent="0.3">
      <c r="B19" t="s">
        <v>144</v>
      </c>
      <c r="C19" s="45">
        <f>+C18/$C$9</f>
        <v>4.3287487634425754E-2</v>
      </c>
    </row>
    <row r="20" spans="2:4" x14ac:dyDescent="0.3">
      <c r="C20" s="45"/>
    </row>
    <row r="21" spans="2:4" x14ac:dyDescent="0.3">
      <c r="B21" t="s">
        <v>183</v>
      </c>
      <c r="C21" s="76" t="s">
        <v>181</v>
      </c>
      <c r="D21" s="76" t="s">
        <v>182</v>
      </c>
    </row>
    <row r="22" spans="2:4" x14ac:dyDescent="0.3">
      <c r="B22" t="s">
        <v>145</v>
      </c>
      <c r="C22" s="45">
        <f ca="1">+$C$5/(C15-C19)</f>
        <v>0.12313410653919218</v>
      </c>
      <c r="D22" s="45">
        <f ca="1">+$D$5/D15</f>
        <v>0.12919849310400081</v>
      </c>
    </row>
  </sheetData>
  <mergeCells count="2">
    <mergeCell ref="F7:H7"/>
    <mergeCell ref="J7:K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F19" sqref="F19"/>
    </sheetView>
  </sheetViews>
  <sheetFormatPr baseColWidth="10" defaultColWidth="8.88671875" defaultRowHeight="14.4" x14ac:dyDescent="0.3"/>
  <cols>
    <col min="2" max="2" width="22.109375" bestFit="1" customWidth="1"/>
    <col min="3" max="4" width="28.5546875" style="69" bestFit="1" customWidth="1"/>
    <col min="5" max="5" width="7.6640625" customWidth="1"/>
  </cols>
  <sheetData>
    <row r="2" spans="2:11" x14ac:dyDescent="0.3">
      <c r="C2" s="69" t="s">
        <v>179</v>
      </c>
      <c r="D2" s="69" t="s">
        <v>180</v>
      </c>
    </row>
    <row r="3" spans="2:11" x14ac:dyDescent="0.3">
      <c r="B3" t="s">
        <v>176</v>
      </c>
      <c r="C3" s="66">
        <f ca="1">+(H10+((C8-G10)/(G11-G10))*(H11-H10))/100</f>
        <v>4.6261643835616437E-3</v>
      </c>
      <c r="D3" s="66">
        <f ca="1">+(K10+((C8-G10)/(G11-G10))*(K11-K10))/100</f>
        <v>8.7496438356164385E-3</v>
      </c>
    </row>
    <row r="4" spans="2:11" x14ac:dyDescent="0.3">
      <c r="B4" t="s">
        <v>143</v>
      </c>
      <c r="C4" s="45">
        <f ca="1">1/(1+C3)^$C$8</f>
        <v>0.99328277259697006</v>
      </c>
      <c r="D4" s="45">
        <f ca="1">1/(1+D3)^$C$8</f>
        <v>0.98735926923901884</v>
      </c>
    </row>
    <row r="5" spans="2:11" x14ac:dyDescent="0.3">
      <c r="B5" t="s">
        <v>177</v>
      </c>
      <c r="C5" s="45">
        <f ca="1">1-C4</f>
        <v>6.717227403029935E-3</v>
      </c>
      <c r="D5" s="45">
        <f ca="1">1-D4</f>
        <v>1.2640730760981156E-2</v>
      </c>
    </row>
    <row r="7" spans="2:11" x14ac:dyDescent="0.3">
      <c r="B7" t="s">
        <v>109</v>
      </c>
      <c r="C7" s="71">
        <v>44547</v>
      </c>
      <c r="D7" s="71"/>
      <c r="F7" s="85" t="s">
        <v>150</v>
      </c>
      <c r="G7" s="85"/>
      <c r="H7" s="85"/>
      <c r="J7" s="85" t="s">
        <v>175</v>
      </c>
      <c r="K7" s="85"/>
    </row>
    <row r="8" spans="2:11" x14ac:dyDescent="0.3">
      <c r="B8" t="s">
        <v>52</v>
      </c>
      <c r="C8" s="40">
        <f ca="1">+(C7-TODAY())/365</f>
        <v>1.4602739726027398</v>
      </c>
      <c r="D8" s="40"/>
      <c r="F8" s="72" t="s">
        <v>52</v>
      </c>
      <c r="G8" s="72" t="s">
        <v>52</v>
      </c>
      <c r="H8" s="72" t="s">
        <v>5</v>
      </c>
      <c r="J8" s="72" t="s">
        <v>52</v>
      </c>
      <c r="K8" s="72" t="s">
        <v>5</v>
      </c>
    </row>
    <row r="9" spans="2:11" x14ac:dyDescent="0.3">
      <c r="B9" t="s">
        <v>142</v>
      </c>
      <c r="C9" s="70">
        <v>313.375</v>
      </c>
      <c r="D9" s="70"/>
      <c r="F9" s="69" t="s">
        <v>18</v>
      </c>
      <c r="G9" s="69">
        <v>0.25</v>
      </c>
      <c r="H9" s="35">
        <v>0.34300000000000003</v>
      </c>
      <c r="I9" s="35"/>
      <c r="J9" s="69" t="s">
        <v>18</v>
      </c>
      <c r="K9" s="35">
        <v>0.76500000000000001</v>
      </c>
    </row>
    <row r="10" spans="2:11" x14ac:dyDescent="0.3">
      <c r="F10" s="69" t="s">
        <v>27</v>
      </c>
      <c r="G10" s="40">
        <v>1</v>
      </c>
      <c r="H10" s="35">
        <v>0.435</v>
      </c>
      <c r="I10" s="35"/>
      <c r="J10" s="69" t="s">
        <v>27</v>
      </c>
      <c r="K10" s="35">
        <v>0.83399999999999996</v>
      </c>
    </row>
    <row r="11" spans="2:11" x14ac:dyDescent="0.3">
      <c r="F11" s="69" t="s">
        <v>137</v>
      </c>
      <c r="G11" s="40">
        <v>2</v>
      </c>
      <c r="H11" s="35">
        <v>0.495</v>
      </c>
      <c r="I11" s="35"/>
      <c r="J11" s="69" t="s">
        <v>137</v>
      </c>
      <c r="K11" s="35">
        <v>0.92300000000000004</v>
      </c>
    </row>
    <row r="12" spans="2:11" x14ac:dyDescent="0.3">
      <c r="F12" s="69" t="s">
        <v>148</v>
      </c>
      <c r="G12" s="40">
        <v>3</v>
      </c>
      <c r="H12" s="35">
        <v>0.63</v>
      </c>
      <c r="I12" s="35"/>
      <c r="J12" s="69" t="s">
        <v>148</v>
      </c>
      <c r="K12" s="35">
        <v>1.0900000000000001</v>
      </c>
    </row>
    <row r="13" spans="2:11" x14ac:dyDescent="0.3">
      <c r="C13" t="s">
        <v>146</v>
      </c>
      <c r="D13" t="s">
        <v>146</v>
      </c>
      <c r="F13" s="69" t="s">
        <v>149</v>
      </c>
      <c r="G13" s="40">
        <v>5</v>
      </c>
      <c r="H13" s="35">
        <v>0.94599999999999995</v>
      </c>
      <c r="I13" s="35"/>
      <c r="J13" s="69" t="s">
        <v>149</v>
      </c>
      <c r="K13" s="35">
        <v>1.45</v>
      </c>
    </row>
    <row r="14" spans="2:11" x14ac:dyDescent="0.3">
      <c r="B14" t="s">
        <v>147</v>
      </c>
      <c r="C14" s="70">
        <v>30.61</v>
      </c>
      <c r="D14" s="70">
        <v>30.61</v>
      </c>
    </row>
    <row r="15" spans="2:11" x14ac:dyDescent="0.3">
      <c r="B15" t="s">
        <v>144</v>
      </c>
      <c r="C15" s="45">
        <f>+C14/$C$9</f>
        <v>9.7678500199441562E-2</v>
      </c>
      <c r="D15" s="45">
        <f>+D14/$C$9</f>
        <v>9.7678500199441562E-2</v>
      </c>
    </row>
    <row r="17" spans="2:4" x14ac:dyDescent="0.3">
      <c r="C17" t="s">
        <v>178</v>
      </c>
    </row>
    <row r="18" spans="2:4" x14ac:dyDescent="0.3">
      <c r="B18" t="s">
        <v>147</v>
      </c>
      <c r="C18" s="70">
        <v>13.49</v>
      </c>
    </row>
    <row r="19" spans="2:4" x14ac:dyDescent="0.3">
      <c r="B19" t="s">
        <v>144</v>
      </c>
      <c r="C19" s="45">
        <f>+C18/$C$9</f>
        <v>4.3047467092142001E-2</v>
      </c>
    </row>
    <row r="20" spans="2:4" x14ac:dyDescent="0.3">
      <c r="C20" s="45"/>
    </row>
    <row r="21" spans="2:4" x14ac:dyDescent="0.3">
      <c r="B21" t="s">
        <v>183</v>
      </c>
      <c r="C21" s="76" t="s">
        <v>181</v>
      </c>
      <c r="D21" s="76" t="s">
        <v>182</v>
      </c>
    </row>
    <row r="22" spans="2:4" x14ac:dyDescent="0.3">
      <c r="B22" t="s">
        <v>145</v>
      </c>
      <c r="C22" s="45">
        <f ca="1">+$C$5/(C15-C19)</f>
        <v>0.12295625802713235</v>
      </c>
      <c r="D22" s="45">
        <f ca="1">+$D$5/D15</f>
        <v>0.12941159758975726</v>
      </c>
    </row>
  </sheetData>
  <mergeCells count="2">
    <mergeCell ref="F7:H7"/>
    <mergeCell ref="J7:K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5"/>
  <sheetViews>
    <sheetView zoomScale="120" zoomScaleNormal="120" workbookViewId="0">
      <selection activeCell="B18" sqref="B18"/>
    </sheetView>
  </sheetViews>
  <sheetFormatPr baseColWidth="10" defaultColWidth="8.88671875" defaultRowHeight="14.4" x14ac:dyDescent="0.3"/>
  <cols>
    <col min="2" max="2" width="28.44140625" style="15" bestFit="1" customWidth="1"/>
  </cols>
  <sheetData>
    <row r="2" spans="2:11" x14ac:dyDescent="0.3">
      <c r="B2" s="15" t="s">
        <v>48</v>
      </c>
      <c r="C2" t="s">
        <v>49</v>
      </c>
    </row>
    <row r="3" spans="2:11" x14ac:dyDescent="0.3">
      <c r="B3" s="15" t="s">
        <v>37</v>
      </c>
      <c r="C3" s="11">
        <v>37</v>
      </c>
    </row>
    <row r="4" spans="2:11" x14ac:dyDescent="0.3">
      <c r="B4" s="15" t="s">
        <v>40</v>
      </c>
      <c r="C4" s="8">
        <v>1.4999999999999999E-2</v>
      </c>
    </row>
    <row r="5" spans="2:11" x14ac:dyDescent="0.3">
      <c r="B5" s="15" t="s">
        <v>50</v>
      </c>
      <c r="C5" s="8">
        <v>0.01</v>
      </c>
    </row>
    <row r="6" spans="2:11" x14ac:dyDescent="0.3">
      <c r="B6" s="15" t="s">
        <v>51</v>
      </c>
      <c r="C6" s="8">
        <v>2E-3</v>
      </c>
    </row>
    <row r="7" spans="2:11" x14ac:dyDescent="0.3">
      <c r="B7" s="15" t="s">
        <v>52</v>
      </c>
      <c r="C7">
        <v>0.25</v>
      </c>
    </row>
    <row r="8" spans="2:11" x14ac:dyDescent="0.3">
      <c r="B8" s="15" t="s">
        <v>42</v>
      </c>
      <c r="C8" s="11">
        <f>+C3*((1+C4)*(1+C5)/(1+C6))^C7</f>
        <v>37.211883076692423</v>
      </c>
    </row>
    <row r="9" spans="2:11" x14ac:dyDescent="0.3">
      <c r="C9" s="11"/>
    </row>
    <row r="11" spans="2:11" x14ac:dyDescent="0.3">
      <c r="B11" s="1" t="s">
        <v>53</v>
      </c>
      <c r="C11" s="39">
        <v>33</v>
      </c>
      <c r="D11" s="39">
        <f>+C11+1</f>
        <v>34</v>
      </c>
      <c r="E11" s="39">
        <f t="shared" ref="E11:K11" si="0">+D11+1</f>
        <v>35</v>
      </c>
      <c r="F11" s="39">
        <f t="shared" si="0"/>
        <v>36</v>
      </c>
      <c r="G11" s="39">
        <f t="shared" si="0"/>
        <v>37</v>
      </c>
      <c r="H11" s="39">
        <f t="shared" si="0"/>
        <v>38</v>
      </c>
      <c r="I11" s="39">
        <f t="shared" si="0"/>
        <v>39</v>
      </c>
      <c r="J11" s="39">
        <f t="shared" si="0"/>
        <v>40</v>
      </c>
      <c r="K11" s="39">
        <f t="shared" si="0"/>
        <v>41</v>
      </c>
    </row>
    <row r="12" spans="2:11" x14ac:dyDescent="0.3">
      <c r="B12" s="15" t="s">
        <v>54</v>
      </c>
      <c r="C12" s="6">
        <f>-C11+$C$3</f>
        <v>4</v>
      </c>
      <c r="D12" s="6">
        <f t="shared" ref="D12:K12" si="1">-D11+$C$3</f>
        <v>3</v>
      </c>
      <c r="E12" s="6">
        <f t="shared" si="1"/>
        <v>2</v>
      </c>
      <c r="F12" s="6">
        <f t="shared" si="1"/>
        <v>1</v>
      </c>
      <c r="G12" s="6">
        <f t="shared" si="1"/>
        <v>0</v>
      </c>
      <c r="H12" s="6">
        <f t="shared" si="1"/>
        <v>-1</v>
      </c>
      <c r="I12" s="6">
        <f t="shared" si="1"/>
        <v>-2</v>
      </c>
      <c r="J12" s="6">
        <f t="shared" si="1"/>
        <v>-3</v>
      </c>
      <c r="K12" s="6">
        <f t="shared" si="1"/>
        <v>-4</v>
      </c>
    </row>
    <row r="13" spans="2:11" x14ac:dyDescent="0.3">
      <c r="B13" s="15" t="s">
        <v>55</v>
      </c>
      <c r="C13" s="6">
        <f>+C11-$C$8</f>
        <v>-4.2118830766924233</v>
      </c>
      <c r="D13" s="6">
        <f t="shared" ref="D13:K13" si="2">+D11-$C$8</f>
        <v>-3.2118830766924233</v>
      </c>
      <c r="E13" s="6">
        <f t="shared" si="2"/>
        <v>-2.2118830766924233</v>
      </c>
      <c r="F13" s="6">
        <f t="shared" si="2"/>
        <v>-1.2118830766924233</v>
      </c>
      <c r="G13" s="6">
        <f t="shared" si="2"/>
        <v>-0.21188307669242334</v>
      </c>
      <c r="H13" s="6">
        <f t="shared" si="2"/>
        <v>0.78811692330757666</v>
      </c>
      <c r="I13" s="6">
        <f t="shared" si="2"/>
        <v>1.7881169233075767</v>
      </c>
      <c r="J13" s="6">
        <f t="shared" si="2"/>
        <v>2.7881169233075767</v>
      </c>
      <c r="K13" s="6">
        <f t="shared" si="2"/>
        <v>3.7881169233075767</v>
      </c>
    </row>
    <row r="15" spans="2:11" x14ac:dyDescent="0.3">
      <c r="B15" s="15" t="s">
        <v>56</v>
      </c>
      <c r="C15" s="6">
        <f>+C12+C13</f>
        <v>-0.21188307669242334</v>
      </c>
      <c r="D15" s="6">
        <f t="shared" ref="D15:K15" si="3">+D12+D13</f>
        <v>-0.21188307669242334</v>
      </c>
      <c r="E15" s="6">
        <f t="shared" si="3"/>
        <v>-0.21188307669242334</v>
      </c>
      <c r="F15" s="6">
        <f t="shared" si="3"/>
        <v>-0.21188307669242334</v>
      </c>
      <c r="G15" s="6">
        <f t="shared" si="3"/>
        <v>-0.21188307669242334</v>
      </c>
      <c r="H15" s="6">
        <f t="shared" si="3"/>
        <v>-0.21188307669242334</v>
      </c>
      <c r="I15" s="6">
        <f t="shared" si="3"/>
        <v>-0.21188307669242334</v>
      </c>
      <c r="J15" s="6">
        <f t="shared" si="3"/>
        <v>-0.21188307669242334</v>
      </c>
      <c r="K15" s="6">
        <f t="shared" si="3"/>
        <v>-0.21188307669242334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6"/>
  <sheetViews>
    <sheetView zoomScaleNormal="100" workbookViewId="0">
      <selection activeCell="E16" sqref="E16"/>
    </sheetView>
  </sheetViews>
  <sheetFormatPr baseColWidth="10" defaultColWidth="8.88671875" defaultRowHeight="14.4" x14ac:dyDescent="0.3"/>
  <cols>
    <col min="1" max="1" width="4.6640625" customWidth="1"/>
    <col min="2" max="3" width="6.6640625" style="15" customWidth="1"/>
    <col min="4" max="4" width="15.44140625" style="15" customWidth="1"/>
    <col min="5" max="5" width="9.33203125" style="2" customWidth="1"/>
    <col min="6" max="6" width="4.88671875" style="2" customWidth="1"/>
    <col min="7" max="7" width="8.88671875" style="15"/>
    <col min="8" max="8" width="9.33203125" bestFit="1" customWidth="1"/>
    <col min="9" max="9" width="14.33203125" bestFit="1" customWidth="1"/>
    <col min="13" max="13" width="9.33203125" bestFit="1" customWidth="1"/>
  </cols>
  <sheetData>
    <row r="3" spans="2:9" x14ac:dyDescent="0.3">
      <c r="F3" s="15"/>
    </row>
    <row r="4" spans="2:9" x14ac:dyDescent="0.3">
      <c r="B4" s="77" t="s">
        <v>0</v>
      </c>
      <c r="C4" s="77"/>
      <c r="D4" s="77"/>
      <c r="E4" s="77"/>
      <c r="F4" s="15"/>
    </row>
    <row r="5" spans="2:9" x14ac:dyDescent="0.3">
      <c r="B5" s="1" t="s">
        <v>2</v>
      </c>
      <c r="C5" s="1" t="s">
        <v>3</v>
      </c>
      <c r="D5" s="1" t="s">
        <v>4</v>
      </c>
      <c r="E5" s="1" t="s">
        <v>5</v>
      </c>
      <c r="F5" s="15"/>
    </row>
    <row r="6" spans="2:9" x14ac:dyDescent="0.3">
      <c r="B6" s="16" t="s">
        <v>6</v>
      </c>
      <c r="C6" s="41">
        <v>2.7777777777777779E-3</v>
      </c>
      <c r="D6" s="17" t="s">
        <v>7</v>
      </c>
      <c r="E6" s="18">
        <v>7.0999999999999991E-4</v>
      </c>
      <c r="F6" s="15"/>
      <c r="H6" t="s">
        <v>57</v>
      </c>
    </row>
    <row r="7" spans="2:9" x14ac:dyDescent="0.3">
      <c r="B7" s="16" t="s">
        <v>9</v>
      </c>
      <c r="C7" s="41">
        <v>1.9444444444444445E-2</v>
      </c>
      <c r="D7" s="17" t="s">
        <v>10</v>
      </c>
      <c r="E7" s="18">
        <v>1.09E-3</v>
      </c>
      <c r="F7" s="15"/>
      <c r="H7" t="s">
        <v>58</v>
      </c>
      <c r="I7" s="19">
        <v>1000000</v>
      </c>
    </row>
    <row r="8" spans="2:9" x14ac:dyDescent="0.3">
      <c r="B8" s="16" t="s">
        <v>12</v>
      </c>
      <c r="C8" s="41">
        <v>8.3333333333333329E-2</v>
      </c>
      <c r="D8" s="17" t="s">
        <v>13</v>
      </c>
      <c r="E8" s="18">
        <v>1.8500000000000001E-3</v>
      </c>
      <c r="F8" s="15"/>
    </row>
    <row r="9" spans="2:9" x14ac:dyDescent="0.3">
      <c r="B9" s="16" t="s">
        <v>15</v>
      </c>
      <c r="C9" s="41">
        <v>0.16666666666666666</v>
      </c>
      <c r="D9" s="17" t="s">
        <v>16</v>
      </c>
      <c r="E9" s="18">
        <v>2.5200000000000001E-3</v>
      </c>
      <c r="F9" s="15"/>
      <c r="G9" s="15" t="s">
        <v>60</v>
      </c>
      <c r="H9" t="s">
        <v>59</v>
      </c>
      <c r="I9" s="23">
        <f>+((1+E11*C11)/(1+E10*C10)-1)*(1/(C11-C10))</f>
        <v>4.68652025870675E-3</v>
      </c>
    </row>
    <row r="10" spans="2:9" x14ac:dyDescent="0.3">
      <c r="B10" s="12" t="s">
        <v>18</v>
      </c>
      <c r="C10" s="40">
        <v>0.25</v>
      </c>
      <c r="D10" s="14" t="s">
        <v>19</v>
      </c>
      <c r="E10" s="22">
        <v>2.97E-3</v>
      </c>
      <c r="F10" s="15"/>
    </row>
    <row r="11" spans="2:9" x14ac:dyDescent="0.3">
      <c r="B11" s="15" t="s">
        <v>21</v>
      </c>
      <c r="C11" s="40">
        <v>0.5</v>
      </c>
      <c r="D11" s="14" t="s">
        <v>22</v>
      </c>
      <c r="E11" s="4">
        <v>3.8300000000000001E-3</v>
      </c>
      <c r="F11" s="15"/>
      <c r="G11" s="15" t="s">
        <v>61</v>
      </c>
      <c r="H11" t="s">
        <v>62</v>
      </c>
      <c r="I11" s="6">
        <f>+-I7*(E10-I9)*(C11-C10)/(1+E10*C10)</f>
        <v>428.81167201021992</v>
      </c>
    </row>
    <row r="12" spans="2:9" x14ac:dyDescent="0.3">
      <c r="B12" s="15" t="s">
        <v>24</v>
      </c>
      <c r="C12" s="40">
        <v>0.75</v>
      </c>
      <c r="D12" s="14" t="s">
        <v>25</v>
      </c>
      <c r="E12" s="4">
        <v>4.7399999999999994E-3</v>
      </c>
      <c r="F12" s="15"/>
      <c r="H12" t="s">
        <v>86</v>
      </c>
    </row>
    <row r="13" spans="2:9" x14ac:dyDescent="0.3">
      <c r="B13" s="15" t="s">
        <v>27</v>
      </c>
      <c r="C13" s="40">
        <v>1</v>
      </c>
      <c r="D13" s="14" t="s">
        <v>28</v>
      </c>
      <c r="E13" s="4">
        <v>5.6499999999999996E-3</v>
      </c>
      <c r="F13" s="15"/>
    </row>
    <row r="14" spans="2:9" x14ac:dyDescent="0.3">
      <c r="B14" s="12"/>
      <c r="C14" s="13"/>
      <c r="D14" s="3"/>
      <c r="E14" s="4"/>
      <c r="F14" s="15"/>
    </row>
    <row r="15" spans="2:9" x14ac:dyDescent="0.3">
      <c r="F15" s="15"/>
    </row>
    <row r="16" spans="2:9" x14ac:dyDescent="0.3">
      <c r="F16" s="15"/>
    </row>
  </sheetData>
  <mergeCells count="1">
    <mergeCell ref="B4:E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1"/>
  <sheetViews>
    <sheetView zoomScale="85" zoomScaleNormal="85" workbookViewId="0">
      <selection activeCell="H9" sqref="H9"/>
    </sheetView>
  </sheetViews>
  <sheetFormatPr baseColWidth="10" defaultColWidth="8.88671875" defaultRowHeight="14.4" x14ac:dyDescent="0.3"/>
  <cols>
    <col min="2" max="3" width="6.6640625" style="15" customWidth="1"/>
    <col min="4" max="4" width="16.6640625" style="15" bestFit="1" customWidth="1"/>
    <col min="5" max="5" width="9.33203125" style="2" customWidth="1"/>
    <col min="6" max="6" width="3" customWidth="1"/>
    <col min="7" max="7" width="8.88671875" style="28"/>
    <col min="8" max="8" width="17.33203125" style="24" bestFit="1" customWidth="1"/>
    <col min="9" max="10" width="13.33203125" style="24" bestFit="1" customWidth="1"/>
    <col min="11" max="14" width="8.88671875" style="24"/>
    <col min="15" max="15" width="8.88671875" style="25"/>
  </cols>
  <sheetData>
    <row r="2" spans="2:9" x14ac:dyDescent="0.3">
      <c r="G2" s="28" t="s">
        <v>63</v>
      </c>
      <c r="H2" s="27">
        <v>20000000</v>
      </c>
    </row>
    <row r="3" spans="2:9" x14ac:dyDescent="0.3">
      <c r="G3" s="28" t="s">
        <v>52</v>
      </c>
      <c r="H3" s="24">
        <v>1</v>
      </c>
    </row>
    <row r="4" spans="2:9" x14ac:dyDescent="0.3">
      <c r="B4" s="77" t="s">
        <v>0</v>
      </c>
      <c r="C4" s="77"/>
      <c r="D4" s="77"/>
      <c r="E4" s="77"/>
      <c r="G4" s="28" t="s">
        <v>64</v>
      </c>
      <c r="H4" s="24">
        <v>4</v>
      </c>
    </row>
    <row r="5" spans="2:9" x14ac:dyDescent="0.3">
      <c r="B5" s="1" t="s">
        <v>2</v>
      </c>
      <c r="C5" s="1" t="s">
        <v>3</v>
      </c>
      <c r="D5" s="1" t="s">
        <v>4</v>
      </c>
      <c r="E5" s="1" t="s">
        <v>5</v>
      </c>
    </row>
    <row r="6" spans="2:9" x14ac:dyDescent="0.3">
      <c r="B6" s="12" t="s">
        <v>6</v>
      </c>
      <c r="C6" s="40">
        <v>2.7777777777777779E-3</v>
      </c>
      <c r="D6" s="3" t="s">
        <v>7</v>
      </c>
      <c r="E6" s="4">
        <v>7.0999999999999991E-4</v>
      </c>
      <c r="F6" s="5"/>
      <c r="G6" s="37" t="s">
        <v>41</v>
      </c>
      <c r="H6" s="24" t="s">
        <v>65</v>
      </c>
    </row>
    <row r="7" spans="2:9" x14ac:dyDescent="0.3">
      <c r="B7" s="12" t="s">
        <v>9</v>
      </c>
      <c r="C7" s="40">
        <v>1.9444444444444445E-2</v>
      </c>
      <c r="D7" s="3" t="s">
        <v>10</v>
      </c>
      <c r="E7" s="4">
        <v>1.09E-3</v>
      </c>
      <c r="F7" s="5"/>
      <c r="G7" s="37"/>
      <c r="H7" s="24" t="s">
        <v>66</v>
      </c>
    </row>
    <row r="8" spans="2:9" x14ac:dyDescent="0.3">
      <c r="B8" s="12" t="s">
        <v>12</v>
      </c>
      <c r="C8" s="40">
        <v>8.3333333333333329E-2</v>
      </c>
      <c r="D8" s="3" t="s">
        <v>13</v>
      </c>
      <c r="E8" s="4">
        <v>1.8500000000000001E-3</v>
      </c>
      <c r="F8" s="5"/>
      <c r="G8" s="37"/>
    </row>
    <row r="9" spans="2:9" x14ac:dyDescent="0.3">
      <c r="B9" s="12" t="s">
        <v>15</v>
      </c>
      <c r="C9" s="40">
        <v>0.16666666666666666</v>
      </c>
      <c r="D9" s="3" t="s">
        <v>16</v>
      </c>
      <c r="E9" s="4">
        <v>2.5200000000000001E-3</v>
      </c>
      <c r="F9" s="5"/>
      <c r="G9" s="37" t="s">
        <v>43</v>
      </c>
      <c r="H9" s="1" t="s">
        <v>67</v>
      </c>
    </row>
    <row r="10" spans="2:9" x14ac:dyDescent="0.3">
      <c r="B10" s="12" t="s">
        <v>18</v>
      </c>
      <c r="C10" s="40">
        <v>0.25</v>
      </c>
      <c r="D10" s="14" t="s">
        <v>19</v>
      </c>
      <c r="E10" s="4">
        <v>2.97E-3</v>
      </c>
      <c r="F10" s="5"/>
      <c r="G10" s="37"/>
      <c r="H10" s="30">
        <f>1/(1+C10*E10)</f>
        <v>0.99925805089720876</v>
      </c>
    </row>
    <row r="11" spans="2:9" x14ac:dyDescent="0.3">
      <c r="B11" s="15" t="s">
        <v>21</v>
      </c>
      <c r="C11" s="40">
        <v>0.5</v>
      </c>
      <c r="D11" s="14" t="s">
        <v>22</v>
      </c>
      <c r="E11" s="4">
        <v>3.8300000000000001E-3</v>
      </c>
      <c r="F11" s="5"/>
      <c r="G11" s="37"/>
      <c r="H11" s="30">
        <f t="shared" ref="H11:H13" si="0">1/(1+C11*E11)</f>
        <v>0.9980886602156871</v>
      </c>
    </row>
    <row r="12" spans="2:9" x14ac:dyDescent="0.3">
      <c r="B12" s="15" t="s">
        <v>24</v>
      </c>
      <c r="C12" s="40">
        <v>0.75</v>
      </c>
      <c r="D12" s="14" t="s">
        <v>25</v>
      </c>
      <c r="E12" s="4">
        <v>4.7399999999999994E-3</v>
      </c>
      <c r="F12" s="5"/>
      <c r="G12" s="37"/>
      <c r="H12" s="30">
        <f t="shared" si="0"/>
        <v>0.99645759325597505</v>
      </c>
    </row>
    <row r="13" spans="2:9" x14ac:dyDescent="0.3">
      <c r="B13" s="15" t="s">
        <v>27</v>
      </c>
      <c r="C13" s="40">
        <v>1</v>
      </c>
      <c r="D13" s="14" t="s">
        <v>28</v>
      </c>
      <c r="E13" s="4">
        <v>5.6499999999999996E-3</v>
      </c>
      <c r="F13" s="5"/>
      <c r="G13" s="37"/>
      <c r="H13" s="30">
        <f t="shared" si="0"/>
        <v>0.99438174315119576</v>
      </c>
    </row>
    <row r="14" spans="2:9" x14ac:dyDescent="0.3">
      <c r="C14" s="13"/>
      <c r="D14" s="14"/>
      <c r="E14" s="4"/>
    </row>
    <row r="15" spans="2:9" x14ac:dyDescent="0.3">
      <c r="H15" s="28" t="s">
        <v>68</v>
      </c>
      <c r="I15" s="31">
        <f>+((1-H13)/SUM(H10:H13))*H4</f>
        <v>5.6348994574089949E-3</v>
      </c>
    </row>
    <row r="17" spans="2:11" x14ac:dyDescent="0.3">
      <c r="G17" s="28" t="s">
        <v>61</v>
      </c>
      <c r="H17" s="1" t="s">
        <v>3</v>
      </c>
      <c r="I17" s="1" t="s">
        <v>69</v>
      </c>
      <c r="J17" s="1" t="s">
        <v>70</v>
      </c>
    </row>
    <row r="18" spans="2:11" x14ac:dyDescent="0.3">
      <c r="B18" s="77" t="s">
        <v>30</v>
      </c>
      <c r="C18" s="77"/>
      <c r="D18" s="77"/>
      <c r="E18" s="77"/>
      <c r="H18" s="32">
        <v>0.25</v>
      </c>
      <c r="I18" s="27">
        <f>+$I$15*$H$2/$H$4</f>
        <v>28174.497287044975</v>
      </c>
      <c r="J18" s="27">
        <f>+E10*H2/H4+H2</f>
        <v>20014850</v>
      </c>
    </row>
    <row r="19" spans="2:11" x14ac:dyDescent="0.3">
      <c r="B19" s="1" t="s">
        <v>2</v>
      </c>
      <c r="C19" s="1" t="s">
        <v>3</v>
      </c>
      <c r="D19" s="1" t="s">
        <v>4</v>
      </c>
      <c r="E19" s="1" t="s">
        <v>5</v>
      </c>
      <c r="G19" s="37"/>
      <c r="H19" s="32">
        <v>0.5</v>
      </c>
      <c r="I19" s="27">
        <f>+$I$15*$H$2/$H$4</f>
        <v>28174.497287044975</v>
      </c>
    </row>
    <row r="20" spans="2:11" x14ac:dyDescent="0.3">
      <c r="B20" s="12" t="s">
        <v>32</v>
      </c>
      <c r="C20" s="40">
        <v>0.19444444444444445</v>
      </c>
      <c r="D20" s="3" t="s">
        <v>33</v>
      </c>
      <c r="E20" s="4">
        <v>2.3525563672255009E-3</v>
      </c>
      <c r="F20" s="5"/>
      <c r="G20" s="37"/>
      <c r="H20" s="32">
        <v>0.75</v>
      </c>
      <c r="I20" s="27">
        <f>+$I$15*$H$2/$H$4</f>
        <v>28174.497287044975</v>
      </c>
    </row>
    <row r="21" spans="2:11" x14ac:dyDescent="0.3">
      <c r="B21" s="12" t="s">
        <v>34</v>
      </c>
      <c r="C21" s="40">
        <v>0.44444444444444442</v>
      </c>
      <c r="D21" s="3" t="s">
        <v>33</v>
      </c>
      <c r="E21" s="4">
        <v>3.3787912830385799E-3</v>
      </c>
      <c r="F21" s="5"/>
      <c r="G21" s="37"/>
      <c r="H21" s="32">
        <v>1</v>
      </c>
      <c r="I21" s="27">
        <f>+$I$15*$H$2/$H$4+H2</f>
        <v>20028174.497287046</v>
      </c>
    </row>
    <row r="22" spans="2:11" x14ac:dyDescent="0.3">
      <c r="B22" s="12" t="s">
        <v>35</v>
      </c>
      <c r="C22" s="40">
        <v>0.69444444444444442</v>
      </c>
      <c r="D22" s="3" t="s">
        <v>33</v>
      </c>
      <c r="E22" s="4">
        <v>4.365204808306951E-3</v>
      </c>
      <c r="F22" s="5"/>
      <c r="G22" s="37"/>
      <c r="H22" s="26"/>
    </row>
    <row r="23" spans="2:11" x14ac:dyDescent="0.3">
      <c r="B23" s="12" t="s">
        <v>36</v>
      </c>
      <c r="C23" s="40">
        <v>0.94444444444444442</v>
      </c>
      <c r="D23" s="3" t="s">
        <v>33</v>
      </c>
      <c r="E23" s="4">
        <v>4.9727725051572098E-3</v>
      </c>
      <c r="F23" s="5"/>
      <c r="G23" s="37" t="s">
        <v>71</v>
      </c>
      <c r="H23" s="1" t="s">
        <v>3</v>
      </c>
      <c r="I23" s="1" t="s">
        <v>69</v>
      </c>
      <c r="J23" s="1" t="s">
        <v>70</v>
      </c>
      <c r="K23" s="1" t="s">
        <v>67</v>
      </c>
    </row>
    <row r="24" spans="2:11" x14ac:dyDescent="0.3">
      <c r="B24" s="12"/>
      <c r="C24" s="13"/>
      <c r="D24" s="3"/>
      <c r="E24" s="4"/>
      <c r="F24" s="5"/>
      <c r="G24" s="37"/>
      <c r="H24" s="29">
        <f>+C20</f>
        <v>0.19444444444444445</v>
      </c>
      <c r="I24" s="27">
        <f>+I18</f>
        <v>28174.497287044975</v>
      </c>
      <c r="J24" s="27">
        <f>+J18</f>
        <v>20014850</v>
      </c>
      <c r="K24" s="24">
        <f>1/(1+C20*E20)</f>
        <v>0.99954276764121397</v>
      </c>
    </row>
    <row r="25" spans="2:11" x14ac:dyDescent="0.3">
      <c r="B25" s="12"/>
      <c r="C25" s="13"/>
      <c r="D25" s="3"/>
      <c r="E25" s="4"/>
      <c r="F25" s="5"/>
      <c r="G25" s="37"/>
      <c r="H25" s="29">
        <f t="shared" ref="H25:H27" si="1">+C21</f>
        <v>0.44444444444444442</v>
      </c>
      <c r="I25" s="27">
        <f t="shared" ref="I25:I27" si="2">+I19</f>
        <v>28174.497287044975</v>
      </c>
      <c r="K25" s="24">
        <f t="shared" ref="K25:K27" si="3">1/(1+C21*E21)</f>
        <v>0.99850056666189047</v>
      </c>
    </row>
    <row r="26" spans="2:11" x14ac:dyDescent="0.3">
      <c r="H26" s="29">
        <f t="shared" si="1"/>
        <v>0.69444444444444442</v>
      </c>
      <c r="I26" s="27">
        <f t="shared" si="2"/>
        <v>28174.497287044975</v>
      </c>
      <c r="K26" s="24">
        <f t="shared" si="3"/>
        <v>0.99697776933854731</v>
      </c>
    </row>
    <row r="27" spans="2:11" x14ac:dyDescent="0.3">
      <c r="H27" s="29">
        <f t="shared" si="1"/>
        <v>0.94444444444444442</v>
      </c>
      <c r="I27" s="27">
        <f t="shared" si="2"/>
        <v>20028174.497287046</v>
      </c>
      <c r="K27" s="24">
        <f t="shared" si="3"/>
        <v>0.99532544670798695</v>
      </c>
    </row>
    <row r="29" spans="2:11" x14ac:dyDescent="0.3">
      <c r="H29" s="24" t="s">
        <v>72</v>
      </c>
      <c r="I29" s="27">
        <f>+SUMPRODUCT(I24:I27,$K$24:$K$27)</f>
        <v>20018934.942216936</v>
      </c>
      <c r="J29" s="27">
        <f>+SUMPRODUCT(J24:J27,$K$24:$K$27)</f>
        <v>20005698.562923752</v>
      </c>
    </row>
    <row r="30" spans="2:11" x14ac:dyDescent="0.3">
      <c r="H30" s="24" t="s">
        <v>73</v>
      </c>
      <c r="I30" s="27">
        <f>-I29+J29</f>
        <v>-13236.379293184727</v>
      </c>
    </row>
    <row r="31" spans="2:11" x14ac:dyDescent="0.3">
      <c r="H31" s="24" t="s">
        <v>74</v>
      </c>
      <c r="I31" s="27">
        <f>-J29+I29</f>
        <v>13236.379293184727</v>
      </c>
    </row>
  </sheetData>
  <mergeCells count="2">
    <mergeCell ref="B4:E4"/>
    <mergeCell ref="B18:E1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5"/>
  <sheetViews>
    <sheetView topLeftCell="D1" zoomScale="130" zoomScaleNormal="130" workbookViewId="0">
      <selection activeCell="K16" sqref="K16"/>
    </sheetView>
  </sheetViews>
  <sheetFormatPr baseColWidth="10" defaultColWidth="8.88671875" defaultRowHeight="14.4" x14ac:dyDescent="0.3"/>
  <cols>
    <col min="1" max="1" width="4" customWidth="1"/>
    <col min="2" max="3" width="5.5546875" style="15" bestFit="1" customWidth="1"/>
    <col min="4" max="4" width="16.6640625" style="15" bestFit="1" customWidth="1"/>
    <col min="5" max="5" width="8.109375" style="2" bestFit="1" customWidth="1"/>
    <col min="6" max="6" width="3" customWidth="1"/>
    <col min="7" max="8" width="5.5546875" style="15" bestFit="1" customWidth="1"/>
    <col min="9" max="9" width="16.6640625" style="15" bestFit="1" customWidth="1"/>
    <col min="10" max="10" width="8.6640625" style="2" bestFit="1" customWidth="1"/>
    <col min="12" max="12" width="8.88671875" style="15"/>
    <col min="13" max="13" width="30.5546875" bestFit="1" customWidth="1"/>
    <col min="14" max="14" width="16.5546875" bestFit="1" customWidth="1"/>
    <col min="15" max="15" width="17" bestFit="1" customWidth="1"/>
  </cols>
  <sheetData>
    <row r="2" spans="2:15" x14ac:dyDescent="0.3">
      <c r="L2" s="15" t="s">
        <v>77</v>
      </c>
      <c r="M2">
        <v>1.131</v>
      </c>
    </row>
    <row r="3" spans="2:15" x14ac:dyDescent="0.3">
      <c r="L3" s="15" t="s">
        <v>75</v>
      </c>
      <c r="M3" s="19">
        <v>20000000</v>
      </c>
    </row>
    <row r="4" spans="2:15" x14ac:dyDescent="0.3">
      <c r="B4" s="77" t="s">
        <v>0</v>
      </c>
      <c r="C4" s="77"/>
      <c r="D4" s="77"/>
      <c r="E4" s="77"/>
      <c r="G4" s="77" t="s">
        <v>1</v>
      </c>
      <c r="H4" s="77"/>
      <c r="I4" s="77"/>
      <c r="J4" s="77"/>
      <c r="L4" s="15" t="s">
        <v>76</v>
      </c>
      <c r="M4" s="33">
        <f>+M3/M2</f>
        <v>17683465.959328029</v>
      </c>
    </row>
    <row r="5" spans="2:15" x14ac:dyDescent="0.3">
      <c r="B5" s="1" t="s">
        <v>2</v>
      </c>
      <c r="C5" s="1" t="s">
        <v>3</v>
      </c>
      <c r="D5" s="1" t="s">
        <v>4</v>
      </c>
      <c r="E5" s="1" t="s">
        <v>5</v>
      </c>
      <c r="G5" s="1" t="s">
        <v>2</v>
      </c>
      <c r="H5" s="1" t="s">
        <v>3</v>
      </c>
      <c r="I5" s="1" t="s">
        <v>4</v>
      </c>
      <c r="J5" s="1" t="s">
        <v>5</v>
      </c>
      <c r="L5" s="15" t="s">
        <v>64</v>
      </c>
      <c r="M5">
        <v>4</v>
      </c>
    </row>
    <row r="6" spans="2:15" x14ac:dyDescent="0.3">
      <c r="B6" s="12" t="s">
        <v>6</v>
      </c>
      <c r="C6" s="40">
        <v>2.7777777777777779E-3</v>
      </c>
      <c r="D6" s="3" t="s">
        <v>7</v>
      </c>
      <c r="E6" s="4">
        <v>7.0999999999999991E-4</v>
      </c>
      <c r="F6" s="5"/>
      <c r="G6" s="12" t="s">
        <v>6</v>
      </c>
      <c r="H6" s="13">
        <v>2.7777777777777779E-3</v>
      </c>
      <c r="I6" s="3" t="s">
        <v>8</v>
      </c>
      <c r="J6" s="4">
        <v>-5.6842999999999998E-3</v>
      </c>
    </row>
    <row r="7" spans="2:15" x14ac:dyDescent="0.3">
      <c r="B7" s="12" t="s">
        <v>9</v>
      </c>
      <c r="C7" s="40">
        <v>1.9444444444444445E-2</v>
      </c>
      <c r="D7" s="3" t="s">
        <v>10</v>
      </c>
      <c r="E7" s="4">
        <v>1.09E-3</v>
      </c>
      <c r="F7" s="5"/>
      <c r="G7" s="12" t="s">
        <v>9</v>
      </c>
      <c r="H7" s="13">
        <v>1.9444444444444445E-2</v>
      </c>
      <c r="I7" s="3" t="s">
        <v>11</v>
      </c>
      <c r="J7" s="4">
        <v>-5.1900000000000002E-3</v>
      </c>
      <c r="L7" s="15" t="s">
        <v>41</v>
      </c>
      <c r="M7" t="s">
        <v>79</v>
      </c>
    </row>
    <row r="8" spans="2:15" x14ac:dyDescent="0.3">
      <c r="B8" s="12" t="s">
        <v>12</v>
      </c>
      <c r="C8" s="40">
        <v>8.3333333333333329E-2</v>
      </c>
      <c r="D8" s="3" t="s">
        <v>13</v>
      </c>
      <c r="E8" s="4">
        <v>1.8500000000000001E-3</v>
      </c>
      <c r="F8" s="5"/>
      <c r="G8" s="12" t="s">
        <v>12</v>
      </c>
      <c r="H8" s="13">
        <v>8.3333333333333329E-2</v>
      </c>
      <c r="I8" s="3" t="s">
        <v>14</v>
      </c>
      <c r="J8" s="4">
        <v>-5.0899999999999999E-3</v>
      </c>
      <c r="M8" t="s">
        <v>78</v>
      </c>
    </row>
    <row r="9" spans="2:15" x14ac:dyDescent="0.3">
      <c r="B9" s="12" t="s">
        <v>15</v>
      </c>
      <c r="C9" s="40">
        <v>0.16666666666666666</v>
      </c>
      <c r="D9" s="3" t="s">
        <v>16</v>
      </c>
      <c r="E9" s="4">
        <v>2.5200000000000001E-3</v>
      </c>
      <c r="F9" s="5"/>
      <c r="G9" s="12" t="s">
        <v>15</v>
      </c>
      <c r="H9" s="13">
        <v>0.16666666666666666</v>
      </c>
      <c r="I9" s="3" t="s">
        <v>17</v>
      </c>
      <c r="J9" s="4">
        <v>-3.3600000000000001E-3</v>
      </c>
    </row>
    <row r="10" spans="2:15" x14ac:dyDescent="0.3">
      <c r="B10" s="12" t="s">
        <v>18</v>
      </c>
      <c r="C10" s="40">
        <v>0.25</v>
      </c>
      <c r="D10" s="14" t="s">
        <v>19</v>
      </c>
      <c r="E10" s="4">
        <v>2.97E-3</v>
      </c>
      <c r="F10" s="5"/>
      <c r="G10" s="12" t="s">
        <v>18</v>
      </c>
      <c r="H10" s="13">
        <v>0.25</v>
      </c>
      <c r="I10" s="14" t="s">
        <v>20</v>
      </c>
      <c r="J10" s="4">
        <v>-4.0000000000000001E-3</v>
      </c>
      <c r="L10" s="15" t="s">
        <v>43</v>
      </c>
      <c r="M10" t="s">
        <v>82</v>
      </c>
      <c r="N10" s="20">
        <f>+IRS!I15</f>
        <v>5.6348994574089949E-3</v>
      </c>
    </row>
    <row r="11" spans="2:15" x14ac:dyDescent="0.3">
      <c r="B11" s="15" t="s">
        <v>21</v>
      </c>
      <c r="C11" s="40">
        <v>0.5</v>
      </c>
      <c r="D11" s="14" t="s">
        <v>22</v>
      </c>
      <c r="E11" s="4">
        <v>3.8300000000000001E-3</v>
      </c>
      <c r="F11" s="5"/>
      <c r="G11" s="15" t="s">
        <v>21</v>
      </c>
      <c r="H11" s="13">
        <v>0.5</v>
      </c>
      <c r="I11" s="14" t="s">
        <v>23</v>
      </c>
      <c r="J11" s="4">
        <v>-2.5900000000000003E-3</v>
      </c>
    </row>
    <row r="12" spans="2:15" x14ac:dyDescent="0.3">
      <c r="B12" s="15" t="s">
        <v>24</v>
      </c>
      <c r="C12" s="40">
        <v>0.75</v>
      </c>
      <c r="D12" s="14" t="s">
        <v>25</v>
      </c>
      <c r="E12" s="4">
        <v>4.7399999999999994E-3</v>
      </c>
      <c r="F12" s="5"/>
      <c r="G12" s="15" t="s">
        <v>24</v>
      </c>
      <c r="H12" s="13">
        <v>0.75</v>
      </c>
      <c r="I12" s="14" t="s">
        <v>26</v>
      </c>
      <c r="J12" s="4">
        <v>-1.9400000000000001E-3</v>
      </c>
      <c r="L12" s="15" t="s">
        <v>61</v>
      </c>
      <c r="M12" s="1" t="s">
        <v>3</v>
      </c>
      <c r="N12" s="1" t="s">
        <v>80</v>
      </c>
      <c r="O12" s="1" t="s">
        <v>81</v>
      </c>
    </row>
    <row r="13" spans="2:15" x14ac:dyDescent="0.3">
      <c r="B13" s="15" t="s">
        <v>27</v>
      </c>
      <c r="C13" s="40">
        <v>1</v>
      </c>
      <c r="D13" s="14" t="s">
        <v>28</v>
      </c>
      <c r="E13" s="4">
        <v>5.6499999999999996E-3</v>
      </c>
      <c r="F13" s="5"/>
      <c r="G13" s="15" t="s">
        <v>27</v>
      </c>
      <c r="H13" s="13">
        <v>1</v>
      </c>
      <c r="I13" s="14" t="s">
        <v>29</v>
      </c>
      <c r="J13" s="4">
        <v>-1.7899999999999999E-3</v>
      </c>
      <c r="M13" s="13">
        <v>0.25</v>
      </c>
      <c r="N13" s="21">
        <f>+J10*M4/M5+M4</f>
        <v>17665782.4933687</v>
      </c>
      <c r="O13" s="34">
        <f>+$N$10*$M$3/$M$5</f>
        <v>28174.497287044975</v>
      </c>
    </row>
    <row r="14" spans="2:15" x14ac:dyDescent="0.3">
      <c r="C14" s="13"/>
      <c r="D14" s="14"/>
      <c r="E14" s="4"/>
      <c r="H14" s="13"/>
      <c r="I14" s="14"/>
      <c r="J14" s="4"/>
      <c r="M14" s="13">
        <v>0.5</v>
      </c>
      <c r="O14" s="34">
        <f t="shared" ref="O14:O15" si="0">+$N$10*$M$3/$M$5</f>
        <v>28174.497287044975</v>
      </c>
    </row>
    <row r="15" spans="2:15" x14ac:dyDescent="0.3">
      <c r="M15" s="13">
        <v>0.75</v>
      </c>
      <c r="O15" s="34">
        <f t="shared" si="0"/>
        <v>28174.497287044975</v>
      </c>
    </row>
    <row r="16" spans="2:15" x14ac:dyDescent="0.3">
      <c r="M16" s="13">
        <v>1</v>
      </c>
      <c r="O16" s="34">
        <f>+$N$10*$M$3/$M$5+M3</f>
        <v>20028174.497287046</v>
      </c>
    </row>
    <row r="18" spans="2:15" x14ac:dyDescent="0.3">
      <c r="B18" s="77" t="s">
        <v>30</v>
      </c>
      <c r="C18" s="77"/>
      <c r="D18" s="77"/>
      <c r="E18" s="77"/>
      <c r="G18" s="77" t="s">
        <v>31</v>
      </c>
      <c r="H18" s="77"/>
      <c r="I18" s="77"/>
      <c r="J18" s="77"/>
      <c r="L18" s="15" t="s">
        <v>71</v>
      </c>
      <c r="M18" t="s">
        <v>85</v>
      </c>
      <c r="N18" s="15">
        <v>1.135</v>
      </c>
    </row>
    <row r="19" spans="2:15" x14ac:dyDescent="0.3">
      <c r="B19" s="1" t="s">
        <v>2</v>
      </c>
      <c r="C19" s="1" t="s">
        <v>3</v>
      </c>
      <c r="D19" s="1" t="s">
        <v>4</v>
      </c>
      <c r="E19" s="1" t="s">
        <v>5</v>
      </c>
      <c r="G19" s="1" t="s">
        <v>2</v>
      </c>
      <c r="H19" s="1" t="s">
        <v>3</v>
      </c>
      <c r="I19" s="1" t="s">
        <v>4</v>
      </c>
      <c r="J19" s="1" t="s">
        <v>5</v>
      </c>
    </row>
    <row r="20" spans="2:15" x14ac:dyDescent="0.3">
      <c r="B20" s="12" t="s">
        <v>32</v>
      </c>
      <c r="C20" s="40">
        <v>0.19444444444444445</v>
      </c>
      <c r="D20" s="3" t="s">
        <v>33</v>
      </c>
      <c r="E20" s="4">
        <v>2.3525563672255009E-3</v>
      </c>
      <c r="F20" s="5"/>
      <c r="G20" s="12" t="s">
        <v>32</v>
      </c>
      <c r="H20" s="13">
        <v>0.19444444444444445</v>
      </c>
      <c r="I20" s="3" t="s">
        <v>33</v>
      </c>
      <c r="J20" s="4">
        <v>-4.5767746467955863E-3</v>
      </c>
      <c r="M20" s="1" t="s">
        <v>3</v>
      </c>
      <c r="N20" s="1" t="s">
        <v>84</v>
      </c>
      <c r="O20" s="1" t="s">
        <v>83</v>
      </c>
    </row>
    <row r="21" spans="2:15" x14ac:dyDescent="0.3">
      <c r="B21" s="12" t="s">
        <v>34</v>
      </c>
      <c r="C21" s="40">
        <v>0.44444444444444442</v>
      </c>
      <c r="D21" s="3" t="s">
        <v>33</v>
      </c>
      <c r="E21" s="4">
        <v>3.3787912830385799E-3</v>
      </c>
      <c r="F21" s="5"/>
      <c r="G21" s="12" t="s">
        <v>34</v>
      </c>
      <c r="H21" s="13">
        <v>0.44444444444444442</v>
      </c>
      <c r="I21" s="3" t="s">
        <v>33</v>
      </c>
      <c r="J21" s="4">
        <v>-3.2029522904284411E-3</v>
      </c>
      <c r="M21" s="40">
        <f>+C20</f>
        <v>0.19444444444444445</v>
      </c>
      <c r="N21" s="35">
        <f>1/(1+M21*J20)</f>
        <v>1.0008907210815337</v>
      </c>
      <c r="O21" s="35">
        <f>1/(1+M21*E20)</f>
        <v>0.99954276764121397</v>
      </c>
    </row>
    <row r="22" spans="2:15" x14ac:dyDescent="0.3">
      <c r="B22" s="12" t="s">
        <v>35</v>
      </c>
      <c r="C22" s="40">
        <v>0.69444444444444442</v>
      </c>
      <c r="D22" s="3" t="s">
        <v>33</v>
      </c>
      <c r="E22" s="4">
        <v>4.365204808306951E-3</v>
      </c>
      <c r="F22" s="5"/>
      <c r="G22" s="12" t="s">
        <v>35</v>
      </c>
      <c r="H22" s="13">
        <v>0.69444444444444442</v>
      </c>
      <c r="I22" s="3" t="s">
        <v>33</v>
      </c>
      <c r="J22" s="4">
        <v>-2.4088398910280342E-3</v>
      </c>
      <c r="M22" s="40">
        <f>+C21</f>
        <v>0.44444444444444442</v>
      </c>
      <c r="N22" s="35">
        <f>1/(1+M22*J21)</f>
        <v>1.0014255636901845</v>
      </c>
      <c r="O22" s="35">
        <f>1/(1+M22*E21)</f>
        <v>0.99850056666189047</v>
      </c>
    </row>
    <row r="23" spans="2:15" x14ac:dyDescent="0.3">
      <c r="B23" s="12" t="s">
        <v>36</v>
      </c>
      <c r="C23" s="40">
        <v>0.94444444444444442</v>
      </c>
      <c r="D23" s="3" t="s">
        <v>33</v>
      </c>
      <c r="E23" s="4">
        <v>4.9727725051572098E-3</v>
      </c>
      <c r="F23" s="5"/>
      <c r="G23" s="12" t="s">
        <v>36</v>
      </c>
      <c r="H23" s="13">
        <v>0.94444444444444442</v>
      </c>
      <c r="I23" s="3" t="s">
        <v>33</v>
      </c>
      <c r="J23" s="4">
        <v>-2.3101919696024891E-3</v>
      </c>
      <c r="M23" s="40">
        <f>+C22</f>
        <v>0.69444444444444442</v>
      </c>
      <c r="N23" s="35">
        <f>1/(1+M23*J22)</f>
        <v>1.0016756084468725</v>
      </c>
      <c r="O23" s="35">
        <f>1/(1+M23*E22)</f>
        <v>0.99697776933854731</v>
      </c>
    </row>
    <row r="24" spans="2:15" x14ac:dyDescent="0.3">
      <c r="B24" s="12"/>
      <c r="C24" s="13"/>
      <c r="D24" s="3"/>
      <c r="E24" s="4"/>
      <c r="F24" s="5"/>
      <c r="G24" s="12"/>
      <c r="H24" s="13"/>
      <c r="I24" s="3"/>
      <c r="J24" s="4"/>
      <c r="M24" s="40">
        <f>+C23</f>
        <v>0.94444444444444442</v>
      </c>
      <c r="N24" s="35">
        <f>1/(1+M24*J23)</f>
        <v>1.0021866188411739</v>
      </c>
      <c r="O24" s="35">
        <f>1/(1+M24*E23)</f>
        <v>0.99532544670798695</v>
      </c>
    </row>
    <row r="25" spans="2:15" x14ac:dyDescent="0.3">
      <c r="B25" s="12"/>
      <c r="C25" s="13"/>
      <c r="D25" s="3"/>
      <c r="E25" s="4"/>
      <c r="F25" s="5"/>
      <c r="G25" s="12"/>
      <c r="H25" s="13"/>
      <c r="I25" s="3"/>
      <c r="J25" s="4"/>
      <c r="M25" s="15"/>
      <c r="N25" s="15"/>
      <c r="O25" s="15"/>
    </row>
    <row r="26" spans="2:15" x14ac:dyDescent="0.3">
      <c r="M26" s="15" t="s">
        <v>72</v>
      </c>
      <c r="N26" s="21">
        <f>+SUMPRODUCT(N13:N16,N21:N24)</f>
        <v>17681517.778257333</v>
      </c>
      <c r="O26" s="34">
        <f>+SUMPRODUCT(O13:O16,O21:O24)</f>
        <v>20018934.942216936</v>
      </c>
    </row>
    <row r="27" spans="2:15" x14ac:dyDescent="0.3">
      <c r="M27" s="15" t="s">
        <v>101</v>
      </c>
      <c r="N27" s="36">
        <f>+N26*N18-O26</f>
        <v>49587.736105136573</v>
      </c>
      <c r="O27" s="15"/>
    </row>
    <row r="28" spans="2:15" x14ac:dyDescent="0.3">
      <c r="M28" s="15" t="s">
        <v>102</v>
      </c>
      <c r="N28" s="38">
        <f>-N27</f>
        <v>-49587.736105136573</v>
      </c>
    </row>
    <row r="30" spans="2:15" x14ac:dyDescent="0.3">
      <c r="M30" s="49" t="s">
        <v>72</v>
      </c>
      <c r="N30" s="38">
        <f>+N27</f>
        <v>49587.736105136573</v>
      </c>
    </row>
    <row r="31" spans="2:15" x14ac:dyDescent="0.3">
      <c r="M31" s="49" t="s">
        <v>104</v>
      </c>
      <c r="N31" s="36">
        <v>-21138.335007894784</v>
      </c>
    </row>
    <row r="32" spans="2:15" x14ac:dyDescent="0.3">
      <c r="M32" s="49" t="s">
        <v>103</v>
      </c>
      <c r="N32" s="38">
        <f>+N30-N31</f>
        <v>70726.071113031358</v>
      </c>
    </row>
    <row r="33" spans="13:14" x14ac:dyDescent="0.3">
      <c r="M33" s="49" t="s">
        <v>106</v>
      </c>
      <c r="N33" s="51">
        <f>(N18-M2)*10000</f>
        <v>40.000000000000036</v>
      </c>
    </row>
    <row r="35" spans="13:14" x14ac:dyDescent="0.3">
      <c r="M35" s="49" t="s">
        <v>105</v>
      </c>
      <c r="N35" s="38">
        <f>+N32/N33</f>
        <v>1768.1517778257823</v>
      </c>
    </row>
  </sheetData>
  <mergeCells count="4">
    <mergeCell ref="B4:E4"/>
    <mergeCell ref="G4:J4"/>
    <mergeCell ref="B18:E18"/>
    <mergeCell ref="G18:J1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7"/>
  <sheetViews>
    <sheetView zoomScale="115" zoomScaleNormal="115" workbookViewId="0">
      <selection activeCell="K15" sqref="K15:K16"/>
    </sheetView>
  </sheetViews>
  <sheetFormatPr baseColWidth="10" defaultColWidth="8.88671875" defaultRowHeight="14.4" x14ac:dyDescent="0.3"/>
  <cols>
    <col min="1" max="1" width="5.109375" customWidth="1"/>
    <col min="2" max="2" width="33.44140625" bestFit="1" customWidth="1"/>
    <col min="3" max="3" width="5.5546875" bestFit="1" customWidth="1"/>
    <col min="4" max="4" width="5.5546875" customWidth="1"/>
    <col min="5" max="5" width="12.44140625" bestFit="1" customWidth="1"/>
    <col min="6" max="6" width="34.109375" bestFit="1" customWidth="1"/>
    <col min="7" max="7" width="8.44140625" bestFit="1" customWidth="1"/>
    <col min="8" max="8" width="8.33203125" bestFit="1" customWidth="1"/>
    <col min="9" max="9" width="6.5546875" bestFit="1" customWidth="1"/>
    <col min="10" max="10" width="16.44140625" bestFit="1" customWidth="1"/>
    <col min="11" max="11" width="9.33203125" bestFit="1" customWidth="1"/>
    <col min="12" max="12" width="6.44140625" bestFit="1" customWidth="1"/>
    <col min="13" max="13" width="9.33203125" customWidth="1"/>
    <col min="14" max="14" width="10.6640625" style="44" bestFit="1" customWidth="1"/>
    <col min="15" max="15" width="10.6640625" style="44" customWidth="1"/>
    <col min="16" max="16" width="12.88671875" customWidth="1"/>
  </cols>
  <sheetData>
    <row r="2" spans="2:16" x14ac:dyDescent="0.3">
      <c r="F2" t="s">
        <v>87</v>
      </c>
      <c r="G2" s="73">
        <f>+_xll.BDP(F2,"PX_LAST")</f>
        <v>1474.17</v>
      </c>
    </row>
    <row r="4" spans="2:16" hidden="1" x14ac:dyDescent="0.3">
      <c r="G4" t="s">
        <v>107</v>
      </c>
      <c r="L4" t="s">
        <v>132</v>
      </c>
      <c r="M4" t="s">
        <v>133</v>
      </c>
      <c r="N4" s="44" t="s">
        <v>156</v>
      </c>
    </row>
    <row r="5" spans="2:16" s="46" customFormat="1" ht="28.8" x14ac:dyDescent="0.3">
      <c r="B5" s="67" t="s">
        <v>155</v>
      </c>
      <c r="C5" s="67" t="s">
        <v>110</v>
      </c>
      <c r="D5" s="67" t="s">
        <v>88</v>
      </c>
      <c r="E5" s="67" t="s">
        <v>109</v>
      </c>
      <c r="F5" s="67" t="s">
        <v>112</v>
      </c>
      <c r="G5" s="67" t="s">
        <v>108</v>
      </c>
      <c r="H5" s="67" t="s">
        <v>139</v>
      </c>
      <c r="I5" s="67" t="s">
        <v>138</v>
      </c>
      <c r="J5" s="67" t="s">
        <v>113</v>
      </c>
      <c r="K5" s="67" t="s">
        <v>114</v>
      </c>
      <c r="L5" s="67" t="s">
        <v>157</v>
      </c>
      <c r="M5" s="67" t="s">
        <v>134</v>
      </c>
      <c r="N5" s="67" t="s">
        <v>158</v>
      </c>
      <c r="O5" s="68"/>
      <c r="P5" s="46" t="s">
        <v>89</v>
      </c>
    </row>
    <row r="6" spans="2:16" x14ac:dyDescent="0.3">
      <c r="B6" t="s">
        <v>160</v>
      </c>
      <c r="C6" s="42" t="s">
        <v>111</v>
      </c>
      <c r="D6" s="50">
        <v>1300</v>
      </c>
      <c r="E6" s="47" t="s">
        <v>90</v>
      </c>
      <c r="F6" t="str">
        <f>+"GOOGL US "&amp;E6&amp;" "&amp;C6&amp;D6&amp;" Equity"</f>
        <v>GOOGL US 7/17/2020 C1300 Equity</v>
      </c>
      <c r="G6" s="40">
        <f>+_xll.BDP($F6,G$4)</f>
        <v>168</v>
      </c>
      <c r="H6" s="40">
        <f>+IF(C6="C",MAX(0,$G$2-D6),MAX(0,D6-$G$2))</f>
        <v>174.17000000000007</v>
      </c>
      <c r="I6" s="40">
        <f>+G6-H6</f>
        <v>-6.1700000000000728</v>
      </c>
      <c r="J6" s="40">
        <f>IF(C6="C",D6+G6,D6-G6)</f>
        <v>1468</v>
      </c>
      <c r="K6" s="56">
        <f>+J6/$G$2-1</f>
        <v>-4.1854060250853253E-3</v>
      </c>
      <c r="L6" s="40">
        <f>+_xll.BDP($F6,L$4)</f>
        <v>1</v>
      </c>
      <c r="M6" s="40">
        <f>+_xll.BDP($F6,M$4)</f>
        <v>0</v>
      </c>
      <c r="N6" s="40">
        <f>+_xll.BDP($F6,N$4)</f>
        <v>0</v>
      </c>
      <c r="P6" s="47" t="s">
        <v>90</v>
      </c>
    </row>
    <row r="7" spans="2:16" s="46" customFormat="1" x14ac:dyDescent="0.3">
      <c r="C7" s="65" t="s">
        <v>111</v>
      </c>
      <c r="D7" s="46">
        <f>+D6+50</f>
        <v>1350</v>
      </c>
      <c r="E7" s="47" t="s">
        <v>90</v>
      </c>
      <c r="F7" t="str">
        <f>+"GOOGL US "&amp;E7&amp;" "&amp;C7&amp;D7&amp;" Equity"</f>
        <v>GOOGL US 7/17/2020 C1350 Equity</v>
      </c>
      <c r="G7" s="40">
        <f>+_xll.BDP($F7,G$4)</f>
        <v>117.45</v>
      </c>
      <c r="H7" s="40">
        <f>+IF(C7="C",MAX(0,$G$2-D7),MAX(0,D7-$G$2))</f>
        <v>124.17000000000007</v>
      </c>
      <c r="I7" s="40">
        <f>+G7-H7</f>
        <v>-6.7200000000000699</v>
      </c>
      <c r="J7" s="40">
        <f t="shared" ref="J7:J12" si="0">IF(C7="C",D7+G7,D7-G7)</f>
        <v>1467.45</v>
      </c>
      <c r="K7" s="56">
        <f t="shared" ref="K7:K12" si="1">+J7/$G$2-1</f>
        <v>-4.5584973239178872E-3</v>
      </c>
      <c r="L7" s="40">
        <f>+_xll.BDP($F7,L$4)</f>
        <v>0.93531399999999998</v>
      </c>
      <c r="M7" s="40">
        <f>+_xll.BDP($F7,M$4)</f>
        <v>0.37856970000000001</v>
      </c>
      <c r="N7" s="40">
        <f>+_xll.BDP($F7,N$4)</f>
        <v>-0.3556472</v>
      </c>
      <c r="O7" s="44"/>
      <c r="P7" s="47" t="s">
        <v>91</v>
      </c>
    </row>
    <row r="8" spans="2:16" x14ac:dyDescent="0.3">
      <c r="C8" s="65" t="s">
        <v>111</v>
      </c>
      <c r="D8" s="46">
        <f t="shared" ref="D8:D12" si="2">+D7+50</f>
        <v>1400</v>
      </c>
      <c r="E8" s="47" t="s">
        <v>90</v>
      </c>
      <c r="F8" t="str">
        <f t="shared" ref="F8:F12" si="3">+"GOOGL US "&amp;E8&amp;" "&amp;C8&amp;D8&amp;" Equity"</f>
        <v>GOOGL US 7/17/2020 C1400 Equity</v>
      </c>
      <c r="G8" s="40">
        <f>+_xll.BDP($F8,G$4)</f>
        <v>77.3</v>
      </c>
      <c r="H8" s="40">
        <f t="shared" ref="H8:H12" si="4">+IF(C8="C",MAX(0,$G$2-D8),MAX(0,D8-$G$2))</f>
        <v>74.170000000000073</v>
      </c>
      <c r="I8" s="40">
        <f t="shared" ref="I8:I12" si="5">+G8-H8</f>
        <v>3.1299999999999244</v>
      </c>
      <c r="J8" s="40">
        <f t="shared" si="0"/>
        <v>1477.3</v>
      </c>
      <c r="K8" s="56">
        <f t="shared" si="1"/>
        <v>2.1232286642651754E-3</v>
      </c>
      <c r="L8" s="40">
        <f>+_xll.BDP($F8,L$4)</f>
        <v>0.84039399999999997</v>
      </c>
      <c r="M8" s="40">
        <f>+_xll.BDP($F8,M$4)</f>
        <v>0.72836350000000005</v>
      </c>
      <c r="N8" s="40">
        <f>+_xll.BDP($F8,N$4)</f>
        <v>-0.62326550000000003</v>
      </c>
      <c r="O8" s="47"/>
      <c r="P8" s="47" t="s">
        <v>92</v>
      </c>
    </row>
    <row r="9" spans="2:16" x14ac:dyDescent="0.3">
      <c r="B9" t="s">
        <v>159</v>
      </c>
      <c r="C9" s="65" t="s">
        <v>111</v>
      </c>
      <c r="D9" s="46">
        <f t="shared" si="2"/>
        <v>1450</v>
      </c>
      <c r="E9" s="47" t="s">
        <v>90</v>
      </c>
      <c r="F9" t="str">
        <f t="shared" si="3"/>
        <v>GOOGL US 7/17/2020 C1450 Equity</v>
      </c>
      <c r="G9" s="40">
        <f>+_xll.BDP($F9,G$4)</f>
        <v>43.71</v>
      </c>
      <c r="H9" s="40">
        <f t="shared" si="4"/>
        <v>24.170000000000073</v>
      </c>
      <c r="I9" s="40">
        <f t="shared" si="5"/>
        <v>19.539999999999928</v>
      </c>
      <c r="J9" s="40">
        <f t="shared" si="0"/>
        <v>1493.71</v>
      </c>
      <c r="K9" s="56">
        <f t="shared" si="1"/>
        <v>1.3254916325796895E-2</v>
      </c>
      <c r="L9" s="40">
        <f>+_xll.BDP($F9,L$4)</f>
        <v>0.62919570000000002</v>
      </c>
      <c r="M9" s="40">
        <f>+_xll.BDP($F9,M$4)</f>
        <v>1.1335679999999999</v>
      </c>
      <c r="N9" s="40">
        <f>+_xll.BDP($F9,N$4)</f>
        <v>-0.98123800000000005</v>
      </c>
      <c r="O9" s="47"/>
      <c r="P9" s="47" t="s">
        <v>93</v>
      </c>
    </row>
    <row r="10" spans="2:16" x14ac:dyDescent="0.3">
      <c r="C10" s="65" t="s">
        <v>111</v>
      </c>
      <c r="D10" s="46">
        <f t="shared" si="2"/>
        <v>1500</v>
      </c>
      <c r="E10" s="47" t="s">
        <v>90</v>
      </c>
      <c r="F10" t="str">
        <f t="shared" si="3"/>
        <v>GOOGL US 7/17/2020 C1500 Equity</v>
      </c>
      <c r="G10" s="40">
        <f>+_xll.BDP($F10,G$4)</f>
        <v>18</v>
      </c>
      <c r="H10" s="40">
        <f t="shared" si="4"/>
        <v>0</v>
      </c>
      <c r="I10" s="40">
        <f t="shared" si="5"/>
        <v>18</v>
      </c>
      <c r="J10" s="40">
        <f>IF(C10="C",D10+G10,D10-G10)</f>
        <v>1518</v>
      </c>
      <c r="K10" s="56">
        <f t="shared" si="1"/>
        <v>2.9731984777874976E-2</v>
      </c>
      <c r="L10" s="40">
        <f>+_xll.BDP($F10,L$4)</f>
        <v>0.37059350000000002</v>
      </c>
      <c r="M10" s="40">
        <f>+_xll.BDP($F10,M$4)</f>
        <v>1.1334919999999999</v>
      </c>
      <c r="N10" s="40">
        <f>+_xll.BDP($F10,N$4)</f>
        <v>-0.91699940000000002</v>
      </c>
      <c r="O10" s="47"/>
      <c r="P10" s="47" t="s">
        <v>94</v>
      </c>
    </row>
    <row r="11" spans="2:16" x14ac:dyDescent="0.3">
      <c r="C11" s="65" t="s">
        <v>111</v>
      </c>
      <c r="D11" s="46">
        <f t="shared" si="2"/>
        <v>1550</v>
      </c>
      <c r="E11" s="47" t="s">
        <v>90</v>
      </c>
      <c r="F11" t="str">
        <f t="shared" si="3"/>
        <v>GOOGL US 7/17/2020 C1550 Equity</v>
      </c>
      <c r="G11" s="40">
        <f>+_xll.BDP($F11,G$4)</f>
        <v>6</v>
      </c>
      <c r="H11" s="40">
        <f t="shared" si="4"/>
        <v>0</v>
      </c>
      <c r="I11" s="40">
        <f t="shared" si="5"/>
        <v>6</v>
      </c>
      <c r="J11" s="40">
        <f t="shared" si="0"/>
        <v>1556</v>
      </c>
      <c r="K11" s="56">
        <f t="shared" si="1"/>
        <v>5.5509201788124685E-2</v>
      </c>
      <c r="L11" s="40">
        <f>+_xll.BDP($F11,L$4)</f>
        <v>0.1600781</v>
      </c>
      <c r="M11" s="40">
        <f>+_xll.BDP($F11,M$4)</f>
        <v>0.73068049999999996</v>
      </c>
      <c r="N11" s="40">
        <f>+_xll.BDP($F11,N$4)</f>
        <v>-0.58558980000000005</v>
      </c>
      <c r="O11" s="47"/>
      <c r="P11" s="47" t="s">
        <v>95</v>
      </c>
    </row>
    <row r="12" spans="2:16" x14ac:dyDescent="0.3">
      <c r="B12" t="s">
        <v>161</v>
      </c>
      <c r="C12" s="65" t="s">
        <v>111</v>
      </c>
      <c r="D12" s="46">
        <f t="shared" si="2"/>
        <v>1600</v>
      </c>
      <c r="E12" s="47" t="s">
        <v>90</v>
      </c>
      <c r="F12" t="str">
        <f t="shared" si="3"/>
        <v>GOOGL US 7/17/2020 C1600 Equity</v>
      </c>
      <c r="G12" s="40">
        <f>+_xll.BDP($F12,G$4)</f>
        <v>2</v>
      </c>
      <c r="H12" s="40">
        <f t="shared" si="4"/>
        <v>0</v>
      </c>
      <c r="I12" s="40">
        <f t="shared" si="5"/>
        <v>2</v>
      </c>
      <c r="J12" s="40">
        <f t="shared" si="0"/>
        <v>1602</v>
      </c>
      <c r="K12" s="56">
        <f t="shared" si="1"/>
        <v>8.6713201326848344E-2</v>
      </c>
      <c r="L12" s="40">
        <f>+_xll.BDP($F12,L$4)</f>
        <v>6.1095499999999997E-2</v>
      </c>
      <c r="M12" s="40">
        <f>+_xll.BDP($F12,M$4)</f>
        <v>0.36258750000000001</v>
      </c>
      <c r="N12" s="40">
        <f>+_xll.BDP($F12,N$4)</f>
        <v>-0.3007012</v>
      </c>
      <c r="O12" s="47"/>
      <c r="P12" s="47" t="s">
        <v>97</v>
      </c>
    </row>
    <row r="13" spans="2:16" x14ac:dyDescent="0.3">
      <c r="C13" s="50"/>
      <c r="D13" s="46"/>
      <c r="E13" s="47"/>
      <c r="G13" s="40"/>
      <c r="H13" s="50"/>
      <c r="I13" s="40"/>
      <c r="J13" s="40"/>
      <c r="K13" s="40"/>
      <c r="L13" s="45"/>
      <c r="M13" s="45"/>
      <c r="N13" s="47"/>
      <c r="O13" s="47"/>
      <c r="P13" s="47" t="s">
        <v>98</v>
      </c>
    </row>
    <row r="14" spans="2:16" x14ac:dyDescent="0.3">
      <c r="C14" s="50"/>
      <c r="D14" s="46"/>
      <c r="E14" s="47"/>
      <c r="G14" s="40"/>
      <c r="H14" s="50"/>
      <c r="I14" s="40"/>
      <c r="J14" s="40"/>
      <c r="K14" s="40"/>
      <c r="L14" s="45"/>
      <c r="M14" s="45"/>
      <c r="N14" s="47"/>
      <c r="O14" s="47"/>
      <c r="P14" s="47" t="s">
        <v>96</v>
      </c>
    </row>
    <row r="15" spans="2:16" x14ac:dyDescent="0.3">
      <c r="C15" s="42"/>
      <c r="D15" s="50"/>
      <c r="E15" s="47"/>
      <c r="G15" s="40"/>
      <c r="H15" s="40"/>
      <c r="I15" s="40"/>
      <c r="J15" s="40"/>
      <c r="K15" s="40"/>
      <c r="L15" s="45"/>
      <c r="M15" s="45"/>
      <c r="N15" s="47"/>
      <c r="O15" s="47"/>
    </row>
    <row r="16" spans="2:16" x14ac:dyDescent="0.3">
      <c r="C16" s="42"/>
      <c r="D16" s="50"/>
      <c r="E16" s="47"/>
      <c r="G16" s="40"/>
      <c r="H16" s="40"/>
      <c r="I16" s="40"/>
      <c r="J16" s="40"/>
      <c r="K16" s="40"/>
      <c r="L16" s="45"/>
      <c r="M16" s="45"/>
      <c r="N16" s="47"/>
      <c r="O16" s="47"/>
    </row>
    <row r="17" spans="3:4" x14ac:dyDescent="0.3">
      <c r="C17" s="42"/>
      <c r="D17" s="50"/>
    </row>
  </sheetData>
  <conditionalFormatting sqref="I6:I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:L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:M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:N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Q17"/>
  <sheetViews>
    <sheetView tabSelected="1" workbookViewId="0">
      <selection activeCell="J21" sqref="J21"/>
    </sheetView>
  </sheetViews>
  <sheetFormatPr baseColWidth="10" defaultColWidth="8.88671875" defaultRowHeight="14.4" x14ac:dyDescent="0.3"/>
  <cols>
    <col min="1" max="2" width="5.109375" customWidth="1"/>
    <col min="3" max="3" width="4.88671875" bestFit="1" customWidth="1"/>
    <col min="4" max="4" width="5.5546875" bestFit="1" customWidth="1"/>
    <col min="5" max="5" width="5.5546875" customWidth="1"/>
    <col min="6" max="6" width="11.88671875" bestFit="1" customWidth="1"/>
    <col min="7" max="7" width="34.109375" bestFit="1" customWidth="1"/>
    <col min="8" max="8" width="9" bestFit="1" customWidth="1"/>
    <col min="9" max="9" width="8.109375" bestFit="1" customWidth="1"/>
    <col min="10" max="10" width="6.109375" bestFit="1" customWidth="1"/>
    <col min="11" max="11" width="16.44140625" bestFit="1" customWidth="1"/>
    <col min="12" max="13" width="9.33203125" bestFit="1" customWidth="1"/>
    <col min="14" max="14" width="10.6640625" style="44" bestFit="1" customWidth="1"/>
    <col min="15" max="16" width="10.6640625" style="44" customWidth="1"/>
    <col min="17" max="17" width="12.88671875" customWidth="1"/>
  </cols>
  <sheetData>
    <row r="2" spans="3:17" x14ac:dyDescent="0.3">
      <c r="G2" t="s">
        <v>87</v>
      </c>
      <c r="H2">
        <v>1397.17</v>
      </c>
    </row>
    <row r="4" spans="3:17" x14ac:dyDescent="0.3">
      <c r="H4" t="s">
        <v>107</v>
      </c>
    </row>
    <row r="5" spans="3:17" s="53" customFormat="1" ht="28.8" x14ac:dyDescent="0.3">
      <c r="D5" s="55" t="s">
        <v>110</v>
      </c>
      <c r="E5" s="55" t="s">
        <v>88</v>
      </c>
      <c r="F5" s="55" t="s">
        <v>109</v>
      </c>
      <c r="G5" s="55" t="s">
        <v>112</v>
      </c>
      <c r="H5" s="55" t="s">
        <v>108</v>
      </c>
      <c r="I5" s="67" t="s">
        <v>139</v>
      </c>
      <c r="J5" s="67" t="s">
        <v>138</v>
      </c>
      <c r="K5" s="55" t="s">
        <v>113</v>
      </c>
      <c r="L5" s="55" t="s">
        <v>114</v>
      </c>
      <c r="N5" s="54"/>
      <c r="O5" s="54"/>
      <c r="P5" s="54"/>
      <c r="Q5" s="46" t="s">
        <v>89</v>
      </c>
    </row>
    <row r="6" spans="3:17" x14ac:dyDescent="0.3">
      <c r="C6" s="57"/>
      <c r="D6" s="57" t="s">
        <v>111</v>
      </c>
      <c r="E6" s="57">
        <v>1300</v>
      </c>
      <c r="F6" s="47" t="s">
        <v>90</v>
      </c>
      <c r="G6" t="s">
        <v>119</v>
      </c>
      <c r="H6" s="40">
        <v>100.25</v>
      </c>
      <c r="I6" s="57">
        <f>+IF(D6="C",MAX(0,$H$2-E6),MAX(0,E6-$H$2))</f>
        <v>97.170000000000073</v>
      </c>
      <c r="J6" s="40">
        <f>+H6-I6</f>
        <v>3.0799999999999272</v>
      </c>
      <c r="K6" s="40">
        <f>IF(D6="C",E6+H6,E6-H6)</f>
        <v>1400.25</v>
      </c>
      <c r="L6" s="56">
        <f>+K6/$H$2-1</f>
        <v>2.2044561506473492E-3</v>
      </c>
      <c r="Q6" s="47" t="s">
        <v>90</v>
      </c>
    </row>
    <row r="7" spans="3:17" s="46" customFormat="1" x14ac:dyDescent="0.3">
      <c r="D7" s="57" t="s">
        <v>111</v>
      </c>
      <c r="E7" s="46">
        <f>+E6+50</f>
        <v>1350</v>
      </c>
      <c r="F7" s="47" t="s">
        <v>90</v>
      </c>
      <c r="G7" t="s">
        <v>120</v>
      </c>
      <c r="H7" s="40">
        <v>62.9</v>
      </c>
      <c r="I7" s="57">
        <f>+IF(D7="C",MAX(0,$H$2-E7),MAX(0,E7-$H$2))</f>
        <v>47.170000000000073</v>
      </c>
      <c r="J7" s="40">
        <f>+H7-I7</f>
        <v>15.729999999999926</v>
      </c>
      <c r="K7" s="40">
        <f t="shared" ref="K7:K12" si="0">IF(D7="C",E7+H7,E7-H7)</f>
        <v>1412.9</v>
      </c>
      <c r="L7" s="56">
        <f t="shared" ref="L7:L12" si="1">+K7/$H$2-1</f>
        <v>1.1258472483663517E-2</v>
      </c>
      <c r="N7" s="44"/>
      <c r="O7" s="44"/>
      <c r="P7" s="44"/>
      <c r="Q7" s="47" t="s">
        <v>91</v>
      </c>
    </row>
    <row r="8" spans="3:17" x14ac:dyDescent="0.3">
      <c r="C8" s="44"/>
      <c r="D8" s="57" t="s">
        <v>111</v>
      </c>
      <c r="E8" s="46">
        <f t="shared" ref="E8:E12" si="2">+E7+50</f>
        <v>1400</v>
      </c>
      <c r="F8" s="47" t="s">
        <v>90</v>
      </c>
      <c r="G8" t="s">
        <v>121</v>
      </c>
      <c r="H8" s="40">
        <v>36.200000000000003</v>
      </c>
      <c r="I8" s="57">
        <f t="shared" ref="I8:I12" si="3">+IF(D8="C",MAX(0,$H$2-E8),MAX(0,E8-$H$2))</f>
        <v>0</v>
      </c>
      <c r="J8" s="40">
        <f t="shared" ref="J8:J12" si="4">+H8-I8</f>
        <v>36.200000000000003</v>
      </c>
      <c r="K8" s="40">
        <f t="shared" si="0"/>
        <v>1436.2</v>
      </c>
      <c r="L8" s="56">
        <f t="shared" si="1"/>
        <v>2.7935040116807475E-2</v>
      </c>
      <c r="M8" s="45"/>
      <c r="N8" s="47"/>
      <c r="O8" s="47"/>
      <c r="P8" s="47"/>
      <c r="Q8" s="47" t="s">
        <v>92</v>
      </c>
    </row>
    <row r="9" spans="3:17" x14ac:dyDescent="0.3">
      <c r="C9" s="44"/>
      <c r="D9" s="57" t="s">
        <v>111</v>
      </c>
      <c r="E9" s="46">
        <f t="shared" si="2"/>
        <v>1450</v>
      </c>
      <c r="F9" s="47" t="s">
        <v>90</v>
      </c>
      <c r="G9" t="s">
        <v>122</v>
      </c>
      <c r="H9" s="40">
        <v>15</v>
      </c>
      <c r="I9" s="57">
        <f t="shared" si="3"/>
        <v>0</v>
      </c>
      <c r="J9" s="40">
        <f t="shared" si="4"/>
        <v>15</v>
      </c>
      <c r="K9" s="40">
        <f t="shared" si="0"/>
        <v>1465</v>
      </c>
      <c r="L9" s="56">
        <f t="shared" si="1"/>
        <v>4.8548136590393476E-2</v>
      </c>
      <c r="M9" s="45"/>
      <c r="N9" s="47"/>
      <c r="O9" s="47"/>
      <c r="P9" s="47"/>
      <c r="Q9" s="47" t="s">
        <v>93</v>
      </c>
    </row>
    <row r="10" spans="3:17" x14ac:dyDescent="0.3">
      <c r="C10" s="44"/>
      <c r="D10" s="57" t="s">
        <v>111</v>
      </c>
      <c r="E10" s="46">
        <f t="shared" si="2"/>
        <v>1500</v>
      </c>
      <c r="F10" s="47" t="s">
        <v>90</v>
      </c>
      <c r="G10" t="s">
        <v>123</v>
      </c>
      <c r="H10" s="40">
        <v>4.8</v>
      </c>
      <c r="I10" s="57">
        <f t="shared" si="3"/>
        <v>0</v>
      </c>
      <c r="J10" s="40">
        <f t="shared" si="4"/>
        <v>4.8</v>
      </c>
      <c r="K10" s="40">
        <f>IF(D10="C",E10+H10,E10-H10)</f>
        <v>1504.8</v>
      </c>
      <c r="L10" s="56">
        <f t="shared" si="1"/>
        <v>7.7034290744862677E-2</v>
      </c>
      <c r="M10" s="45"/>
      <c r="N10" s="47"/>
      <c r="O10" s="47"/>
      <c r="P10" s="47"/>
      <c r="Q10" s="47" t="s">
        <v>94</v>
      </c>
    </row>
    <row r="11" spans="3:17" x14ac:dyDescent="0.3">
      <c r="C11" s="44"/>
      <c r="D11" s="57" t="s">
        <v>111</v>
      </c>
      <c r="E11" s="46">
        <f t="shared" si="2"/>
        <v>1550</v>
      </c>
      <c r="F11" s="47" t="s">
        <v>90</v>
      </c>
      <c r="G11" t="s">
        <v>124</v>
      </c>
      <c r="H11" s="40">
        <v>1.6</v>
      </c>
      <c r="I11" s="57">
        <f t="shared" si="3"/>
        <v>0</v>
      </c>
      <c r="J11" s="40">
        <f t="shared" si="4"/>
        <v>1.6</v>
      </c>
      <c r="K11" s="40">
        <f t="shared" si="0"/>
        <v>1551.6</v>
      </c>
      <c r="L11" s="56">
        <f t="shared" si="1"/>
        <v>0.11053057251443987</v>
      </c>
      <c r="M11" s="45"/>
      <c r="N11" s="47"/>
      <c r="O11" s="47"/>
      <c r="P11" s="47"/>
      <c r="Q11" s="47" t="s">
        <v>95</v>
      </c>
    </row>
    <row r="12" spans="3:17" x14ac:dyDescent="0.3">
      <c r="C12" s="44"/>
      <c r="D12" s="57" t="s">
        <v>111</v>
      </c>
      <c r="E12" s="46">
        <f t="shared" si="2"/>
        <v>1600</v>
      </c>
      <c r="F12" s="47" t="s">
        <v>90</v>
      </c>
      <c r="G12" t="s">
        <v>125</v>
      </c>
      <c r="H12" s="40">
        <v>0.75</v>
      </c>
      <c r="I12" s="57">
        <f t="shared" si="3"/>
        <v>0</v>
      </c>
      <c r="J12" s="40">
        <f t="shared" si="4"/>
        <v>0.75</v>
      </c>
      <c r="K12" s="40">
        <f t="shared" si="0"/>
        <v>1600.75</v>
      </c>
      <c r="L12" s="56">
        <f t="shared" si="1"/>
        <v>0.14570882569766019</v>
      </c>
      <c r="M12" s="45"/>
      <c r="N12" s="47"/>
      <c r="O12" s="47"/>
      <c r="P12" s="47"/>
      <c r="Q12" s="47" t="s">
        <v>97</v>
      </c>
    </row>
    <row r="13" spans="3:17" x14ac:dyDescent="0.3">
      <c r="C13" s="44"/>
      <c r="D13" s="57"/>
      <c r="E13" s="46"/>
      <c r="F13" s="47"/>
      <c r="H13" s="40"/>
      <c r="I13" s="57"/>
      <c r="J13" s="40"/>
      <c r="K13" s="40"/>
      <c r="L13" s="40"/>
      <c r="M13" s="45"/>
      <c r="N13" s="47"/>
      <c r="O13" s="47"/>
      <c r="P13" s="47"/>
      <c r="Q13" s="47" t="s">
        <v>98</v>
      </c>
    </row>
    <row r="14" spans="3:17" x14ac:dyDescent="0.3">
      <c r="C14" s="44"/>
      <c r="D14" s="57"/>
      <c r="E14" s="46"/>
      <c r="F14" s="47"/>
      <c r="H14" s="40"/>
      <c r="I14" s="57"/>
      <c r="J14" s="40"/>
      <c r="K14" s="40"/>
      <c r="L14" s="40"/>
      <c r="M14" s="45"/>
      <c r="N14" s="47"/>
      <c r="O14" s="47"/>
      <c r="P14" s="47"/>
      <c r="Q14" s="47" t="s">
        <v>96</v>
      </c>
    </row>
    <row r="15" spans="3:17" x14ac:dyDescent="0.3">
      <c r="C15" s="44"/>
      <c r="D15" s="57"/>
      <c r="E15" s="57"/>
      <c r="F15" s="47"/>
      <c r="H15" s="40"/>
      <c r="I15" s="40"/>
      <c r="J15" s="40"/>
      <c r="K15" s="40"/>
      <c r="L15" s="40"/>
      <c r="M15" s="45"/>
      <c r="N15" s="47"/>
      <c r="O15" s="47"/>
      <c r="P15" s="47"/>
    </row>
    <row r="16" spans="3:17" x14ac:dyDescent="0.3">
      <c r="C16" s="44"/>
      <c r="D16" s="57"/>
      <c r="E16" s="57"/>
      <c r="F16" s="47"/>
      <c r="H16" s="40"/>
      <c r="I16" s="40"/>
      <c r="J16" s="40"/>
      <c r="K16" s="40"/>
      <c r="L16" s="40"/>
      <c r="M16" s="45"/>
      <c r="N16" s="47"/>
      <c r="O16" s="47"/>
      <c r="P16" s="47"/>
    </row>
    <row r="17" spans="3:5" x14ac:dyDescent="0.3">
      <c r="C17" s="44"/>
      <c r="D17" s="57"/>
      <c r="E17" s="57"/>
    </row>
  </sheetData>
  <conditionalFormatting sqref="J6:J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35"/>
  <sheetViews>
    <sheetView zoomScale="70" zoomScaleNormal="70" workbookViewId="0">
      <selection activeCell="S6" sqref="S6"/>
    </sheetView>
  </sheetViews>
  <sheetFormatPr baseColWidth="10" defaultColWidth="8.88671875" defaultRowHeight="14.4" x14ac:dyDescent="0.3"/>
  <cols>
    <col min="1" max="1" width="5.109375" customWidth="1"/>
    <col min="2" max="2" width="11.109375" bestFit="1" customWidth="1"/>
    <col min="3" max="3" width="22.44140625" customWidth="1"/>
    <col min="4" max="4" width="15.5546875" bestFit="1" customWidth="1"/>
    <col min="5" max="5" width="2.88671875" bestFit="1" customWidth="1"/>
    <col min="6" max="6" width="5.5546875" bestFit="1" customWidth="1"/>
    <col min="7" max="7" width="8.33203125" bestFit="1" customWidth="1"/>
    <col min="8" max="8" width="12.44140625" bestFit="1" customWidth="1"/>
    <col min="9" max="9" width="34.109375" bestFit="1" customWidth="1"/>
    <col min="10" max="10" width="8.44140625" bestFit="1" customWidth="1"/>
    <col min="11" max="11" width="8.33203125" bestFit="1" customWidth="1"/>
    <col min="12" max="12" width="7.33203125" bestFit="1" customWidth="1"/>
    <col min="13" max="13" width="11" customWidth="1"/>
    <col min="14" max="14" width="9.33203125" bestFit="1" customWidth="1"/>
    <col min="15" max="15" width="6.44140625" bestFit="1" customWidth="1"/>
    <col min="16" max="16" width="9.33203125" customWidth="1"/>
    <col min="17" max="17" width="10.6640625" style="44" bestFit="1" customWidth="1"/>
    <col min="18" max="18" width="10.6640625" style="44" customWidth="1"/>
    <col min="19" max="19" width="12.88671875" customWidth="1"/>
  </cols>
  <sheetData>
    <row r="2" spans="6:19" x14ac:dyDescent="0.3">
      <c r="I2" t="s">
        <v>87</v>
      </c>
      <c r="J2" s="75">
        <f>+_xll.BDP(I2,"PX_LAST")</f>
        <v>1474.17</v>
      </c>
    </row>
    <row r="4" spans="6:19" hidden="1" x14ac:dyDescent="0.3">
      <c r="J4" t="s">
        <v>107</v>
      </c>
      <c r="O4" t="s">
        <v>132</v>
      </c>
      <c r="P4" t="s">
        <v>133</v>
      </c>
      <c r="Q4" s="44" t="s">
        <v>156</v>
      </c>
    </row>
    <row r="5" spans="6:19" s="46" customFormat="1" ht="28.8" x14ac:dyDescent="0.3">
      <c r="F5" s="67" t="s">
        <v>110</v>
      </c>
      <c r="G5" s="67" t="s">
        <v>88</v>
      </c>
      <c r="H5" s="67" t="s">
        <v>109</v>
      </c>
      <c r="I5" s="67" t="s">
        <v>112</v>
      </c>
      <c r="J5" s="67" t="s">
        <v>108</v>
      </c>
      <c r="K5" s="67" t="s">
        <v>139</v>
      </c>
      <c r="L5" s="67" t="s">
        <v>138</v>
      </c>
      <c r="M5" s="67" t="s">
        <v>113</v>
      </c>
      <c r="N5" s="67" t="s">
        <v>114</v>
      </c>
      <c r="O5" s="67" t="s">
        <v>157</v>
      </c>
      <c r="P5" s="67" t="s">
        <v>134</v>
      </c>
      <c r="Q5" s="67" t="s">
        <v>158</v>
      </c>
      <c r="R5" s="68"/>
      <c r="S5" s="46" t="s">
        <v>89</v>
      </c>
    </row>
    <row r="6" spans="6:19" x14ac:dyDescent="0.3">
      <c r="F6" s="65" t="s">
        <v>111</v>
      </c>
      <c r="G6" s="46">
        <v>1350</v>
      </c>
      <c r="H6" s="47" t="s">
        <v>91</v>
      </c>
      <c r="I6" t="str">
        <f>+"GOOGL US "&amp;H6&amp;" "&amp;F6&amp;G6&amp;" Equity"</f>
        <v>GOOGL US 8/21/2020 C1350 Equity</v>
      </c>
      <c r="J6" s="40">
        <f>+_xll.BDP($I6,J$4)</f>
        <v>125.4</v>
      </c>
      <c r="K6" s="40">
        <f>+IF(F6="C",MAX(0,$J$2-G6),MAX(0,G6-$J$2))</f>
        <v>124.17000000000007</v>
      </c>
      <c r="L6" s="40">
        <f>+J6-K6</f>
        <v>1.2299999999999329</v>
      </c>
      <c r="M6" s="40">
        <f>IF(F6="C",G6+J6,G6-J6)</f>
        <v>1475.4</v>
      </c>
      <c r="N6" s="56">
        <f>+M6/$J$2-1</f>
        <v>8.343678137527899E-4</v>
      </c>
      <c r="O6" s="40">
        <f>+_xll.BDP($I6,O$4)</f>
        <v>0.7965856</v>
      </c>
      <c r="P6" s="40">
        <f>+_xll.BDP($I6,P$4)</f>
        <v>1.545412</v>
      </c>
      <c r="Q6" s="40">
        <f>+_xll.BDP($I6,Q$4)</f>
        <v>-0.47660059999999999</v>
      </c>
      <c r="S6" s="47" t="s">
        <v>90</v>
      </c>
    </row>
    <row r="7" spans="6:19" s="46" customFormat="1" x14ac:dyDescent="0.3">
      <c r="F7" s="65" t="s">
        <v>111</v>
      </c>
      <c r="G7" s="46">
        <v>1400</v>
      </c>
      <c r="H7" s="47" t="s">
        <v>91</v>
      </c>
      <c r="I7" t="str">
        <f>+"GOOGL US "&amp;H7&amp;" "&amp;F7&amp;G7&amp;" Equity"</f>
        <v>GOOGL US 8/21/2020 C1400 Equity</v>
      </c>
      <c r="J7" s="40">
        <f>+_xll.BDP($I7,J$4)</f>
        <v>102.9</v>
      </c>
      <c r="K7" s="40">
        <f>+IF(F7="C",MAX(0,$J$2-G7),MAX(0,G7-$J$2))</f>
        <v>74.170000000000073</v>
      </c>
      <c r="L7" s="40">
        <f>+J7-K7</f>
        <v>28.729999999999933</v>
      </c>
      <c r="M7" s="40">
        <f t="shared" ref="M7:M9" si="0">IF(F7="C",G7+J7,G7-J7)</f>
        <v>1502.9</v>
      </c>
      <c r="N7" s="56">
        <f t="shared" ref="N7:N9" si="1">+M7/$J$2-1</f>
        <v>1.9488932755381105E-2</v>
      </c>
      <c r="O7" s="40">
        <f>+_xll.BDP($I7,O$4)</f>
        <v>0.69701500000000005</v>
      </c>
      <c r="P7" s="40">
        <f>+_xll.BDP($I7,P$4)</f>
        <v>1.9075139999999999</v>
      </c>
      <c r="Q7" s="40">
        <f>+_xll.BDP($I7,Q$4)</f>
        <v>-0.57992330000000003</v>
      </c>
      <c r="R7" s="44"/>
      <c r="S7" s="47" t="s">
        <v>91</v>
      </c>
    </row>
    <row r="8" spans="6:19" x14ac:dyDescent="0.3">
      <c r="F8" s="65" t="s">
        <v>111</v>
      </c>
      <c r="G8" s="46">
        <v>1450</v>
      </c>
      <c r="H8" s="47" t="s">
        <v>91</v>
      </c>
      <c r="I8" t="str">
        <f t="shared" ref="I8:I9" si="2">+"GOOGL US "&amp;H8&amp;" "&amp;F8&amp;G8&amp;" Equity"</f>
        <v>GOOGL US 8/21/2020 C1450 Equity</v>
      </c>
      <c r="J8" s="40">
        <f>+_xll.BDP($I8,J$4)</f>
        <v>78.8</v>
      </c>
      <c r="K8" s="40">
        <f t="shared" ref="K8:K9" si="3">+IF(F8="C",MAX(0,$J$2-G8),MAX(0,G8-$J$2))</f>
        <v>24.170000000000073</v>
      </c>
      <c r="L8" s="40">
        <f t="shared" ref="L8:L9" si="4">+J8-K8</f>
        <v>54.629999999999924</v>
      </c>
      <c r="M8" s="40">
        <f t="shared" si="0"/>
        <v>1528.8</v>
      </c>
      <c r="N8" s="56">
        <f t="shared" si="1"/>
        <v>3.7058141191314453E-2</v>
      </c>
      <c r="O8" s="40">
        <f>+_xll.BDP($I8,O$4)</f>
        <v>0.5802794</v>
      </c>
      <c r="P8" s="40">
        <f>+_xll.BDP($I8,P$4)</f>
        <v>2.1346419999999999</v>
      </c>
      <c r="Q8" s="40">
        <f>+_xll.BDP($I8,Q$4)</f>
        <v>-0.65474469999999996</v>
      </c>
      <c r="R8" s="47"/>
      <c r="S8" s="47" t="s">
        <v>92</v>
      </c>
    </row>
    <row r="9" spans="6:19" x14ac:dyDescent="0.3">
      <c r="F9" s="65" t="s">
        <v>111</v>
      </c>
      <c r="G9" s="46">
        <v>1500</v>
      </c>
      <c r="H9" s="47" t="s">
        <v>91</v>
      </c>
      <c r="I9" t="str">
        <f t="shared" si="2"/>
        <v>GOOGL US 8/21/2020 C1500 Equity</v>
      </c>
      <c r="J9" s="40">
        <f>+_xll.BDP($I9,J$4)</f>
        <v>51.92</v>
      </c>
      <c r="K9" s="40">
        <f t="shared" si="3"/>
        <v>0</v>
      </c>
      <c r="L9" s="40">
        <f t="shared" si="4"/>
        <v>51.92</v>
      </c>
      <c r="M9" s="40">
        <f t="shared" si="0"/>
        <v>1551.92</v>
      </c>
      <c r="N9" s="56">
        <f t="shared" si="1"/>
        <v>5.2741542698603316E-2</v>
      </c>
      <c r="O9" s="40">
        <f>+_xll.BDP($I9,O$4)</f>
        <v>0.4573758</v>
      </c>
      <c r="P9" s="40">
        <f>+_xll.BDP($I9,P$4)</f>
        <v>2.1663510000000001</v>
      </c>
      <c r="Q9" s="40">
        <f>+_xll.BDP($I9,Q$4)</f>
        <v>-0.63297879999999995</v>
      </c>
      <c r="R9" s="47"/>
      <c r="S9" s="47" t="s">
        <v>93</v>
      </c>
    </row>
    <row r="10" spans="6:19" x14ac:dyDescent="0.3">
      <c r="F10" s="65" t="s">
        <v>111</v>
      </c>
      <c r="G10" s="46">
        <v>1540</v>
      </c>
      <c r="H10" s="47" t="s">
        <v>91</v>
      </c>
      <c r="I10" t="str">
        <f t="shared" ref="I10" si="5">+"GOOGL US "&amp;H10&amp;" "&amp;F10&amp;G10&amp;" Equity"</f>
        <v>GOOGL US 8/21/2020 C1540 Equity</v>
      </c>
      <c r="J10" s="40">
        <f>+_xll.BDP($I10,J$4)</f>
        <v>31.63</v>
      </c>
      <c r="K10" s="40">
        <f t="shared" ref="K10" si="6">+IF(F10="C",MAX(0,$J$2-G10),MAX(0,G10-$J$2))</f>
        <v>0</v>
      </c>
      <c r="L10" s="40">
        <f t="shared" ref="L10" si="7">+J10-K10</f>
        <v>31.63</v>
      </c>
      <c r="M10" s="40">
        <f t="shared" ref="M10" si="8">IF(F10="C",G10+J10,G10-J10)</f>
        <v>1571.63</v>
      </c>
      <c r="N10" s="56">
        <f t="shared" ref="N10" si="9">+M10/$J$2-1</f>
        <v>6.6111778153130185E-2</v>
      </c>
      <c r="O10" s="40">
        <f>+_xll.BDP($I10,O$4)</f>
        <v>0.35722700000000002</v>
      </c>
      <c r="P10" s="40">
        <f>+_xll.BDP($I10,P$4)</f>
        <v>2.0379330000000002</v>
      </c>
      <c r="Q10" s="40">
        <f>+_xll.BDP($I10,Q$4)</f>
        <v>-0.57114540000000003</v>
      </c>
      <c r="R10" s="47"/>
      <c r="S10" s="47" t="s">
        <v>94</v>
      </c>
    </row>
    <row r="11" spans="6:19" x14ac:dyDescent="0.3">
      <c r="F11" s="65" t="s">
        <v>136</v>
      </c>
      <c r="G11" s="46">
        <v>1350</v>
      </c>
      <c r="H11" s="47" t="s">
        <v>91</v>
      </c>
      <c r="I11" t="str">
        <f>+"GOOGL US "&amp;H11&amp;" "&amp;F11&amp;G11&amp;" Equity"</f>
        <v>GOOGL US 8/21/2020 P1350 Equity</v>
      </c>
      <c r="J11" s="40">
        <f>+_xll.BDP($I11,J$4)</f>
        <v>26.2</v>
      </c>
      <c r="K11" s="40">
        <f>+IF(F11="C",MAX(0,$J$2-G11),MAX(0,G11-$J$2))</f>
        <v>0</v>
      </c>
      <c r="L11" s="40">
        <f>+J11-K11</f>
        <v>26.2</v>
      </c>
      <c r="M11" s="40">
        <f>IF(F11="C",G11+J11,G11-J11)</f>
        <v>1323.8</v>
      </c>
      <c r="N11" s="56">
        <f>+M11/$J$2-1</f>
        <v>-0.10200316110082286</v>
      </c>
      <c r="O11" s="40">
        <f>+_xll.BDP($I11,O$4)</f>
        <v>-0.2227316</v>
      </c>
      <c r="P11" s="40">
        <f>+_xll.BDP($I11,P$4)</f>
        <v>1.6286229999999999</v>
      </c>
      <c r="Q11" s="40">
        <f>+_xll.BDP($I11,Q$4)</f>
        <v>-0.55304279999999995</v>
      </c>
      <c r="R11" s="47"/>
      <c r="S11" s="47" t="s">
        <v>95</v>
      </c>
    </row>
    <row r="12" spans="6:19" x14ac:dyDescent="0.3">
      <c r="F12" s="65" t="s">
        <v>136</v>
      </c>
      <c r="G12" s="46">
        <v>1400</v>
      </c>
      <c r="H12" s="47" t="s">
        <v>91</v>
      </c>
      <c r="I12" t="str">
        <f>+"GOOGL US "&amp;H12&amp;" "&amp;F12&amp;G12&amp;" Equity"</f>
        <v>GOOGL US 8/21/2020 P1400 Equity</v>
      </c>
      <c r="J12" s="40">
        <f>+_xll.BDP($I12,J$4)</f>
        <v>39.700000000000003</v>
      </c>
      <c r="K12" s="40">
        <f>+IF(F12="C",MAX(0,$J$2-G12),MAX(0,G12-$J$2))</f>
        <v>0</v>
      </c>
      <c r="L12" s="40">
        <f>+J12-K12</f>
        <v>39.700000000000003</v>
      </c>
      <c r="M12" s="40">
        <f t="shared" ref="M12:M15" si="10">IF(F12="C",G12+J12,G12-J12)</f>
        <v>1360.3</v>
      </c>
      <c r="N12" s="56">
        <f t="shared" ref="N12:N15" si="11">+M12/$J$2-1</f>
        <v>-7.7243465814661905E-2</v>
      </c>
      <c r="O12" s="40">
        <f>+_xll.BDP($I12,O$4)</f>
        <v>-0.31237819999999999</v>
      </c>
      <c r="P12" s="40">
        <f>+_xll.BDP($I12,P$4)</f>
        <v>1.9338200000000001</v>
      </c>
      <c r="Q12" s="40">
        <f>+_xll.BDP($I12,Q$4)</f>
        <v>-0.63089309999999998</v>
      </c>
      <c r="R12" s="47"/>
      <c r="S12" s="47" t="s">
        <v>97</v>
      </c>
    </row>
    <row r="13" spans="6:19" x14ac:dyDescent="0.3">
      <c r="F13" s="65" t="s">
        <v>136</v>
      </c>
      <c r="G13" s="46">
        <v>1450</v>
      </c>
      <c r="H13" s="47" t="s">
        <v>91</v>
      </c>
      <c r="I13" t="str">
        <f t="shared" ref="I13:I15" si="12">+"GOOGL US "&amp;H13&amp;" "&amp;F13&amp;G13&amp;" Equity"</f>
        <v>GOOGL US 8/21/2020 P1450 Equity</v>
      </c>
      <c r="J13" s="40">
        <f>+_xll.BDP($I13,J$4)</f>
        <v>59.6</v>
      </c>
      <c r="K13" s="40">
        <f t="shared" ref="K13:K15" si="13">+IF(F13="C",MAX(0,$J$2-G13),MAX(0,G13-$J$2))</f>
        <v>0</v>
      </c>
      <c r="L13" s="40">
        <f t="shared" ref="L13:L15" si="14">+J13-K13</f>
        <v>59.6</v>
      </c>
      <c r="M13" s="40">
        <f t="shared" si="10"/>
        <v>1390.4</v>
      </c>
      <c r="N13" s="56">
        <f t="shared" si="11"/>
        <v>-5.6825196551279711E-2</v>
      </c>
      <c r="O13" s="40">
        <f>+_xll.BDP($I13,O$4)</f>
        <v>-0.4204446</v>
      </c>
      <c r="P13" s="40">
        <f>+_xll.BDP($I13,P$4)</f>
        <v>2.1354579999999999</v>
      </c>
      <c r="Q13" s="40">
        <f>+_xll.BDP($I13,Q$4)</f>
        <v>-0.67162180000000005</v>
      </c>
      <c r="R13" s="47"/>
      <c r="S13" s="47" t="s">
        <v>98</v>
      </c>
    </row>
    <row r="14" spans="6:19" x14ac:dyDescent="0.3">
      <c r="F14" s="65" t="s">
        <v>136</v>
      </c>
      <c r="G14" s="46">
        <v>1500</v>
      </c>
      <c r="H14" s="47" t="s">
        <v>91</v>
      </c>
      <c r="I14" t="str">
        <f t="shared" si="12"/>
        <v>GOOGL US 8/21/2020 P1500 Equity</v>
      </c>
      <c r="J14" s="40">
        <f>+_xll.BDP($I14,J$4)</f>
        <v>88.19</v>
      </c>
      <c r="K14" s="40">
        <f t="shared" si="13"/>
        <v>25.829999999999927</v>
      </c>
      <c r="L14" s="40">
        <f t="shared" si="14"/>
        <v>62.36000000000007</v>
      </c>
      <c r="M14" s="40">
        <f t="shared" si="10"/>
        <v>1411.81</v>
      </c>
      <c r="N14" s="56">
        <f t="shared" si="11"/>
        <v>-4.2301769809452217E-2</v>
      </c>
      <c r="O14" s="40">
        <f>+_xll.BDP($I14,O$4)</f>
        <v>-0.53776740000000001</v>
      </c>
      <c r="P14" s="40">
        <f>+_xll.BDP($I14,P$4)</f>
        <v>2.1692040000000001</v>
      </c>
      <c r="Q14" s="40">
        <f>+_xll.BDP($I14,Q$4)</f>
        <v>-0.66039000000000003</v>
      </c>
      <c r="R14" s="47"/>
      <c r="S14" s="47" t="s">
        <v>96</v>
      </c>
    </row>
    <row r="15" spans="6:19" x14ac:dyDescent="0.3">
      <c r="F15" s="65" t="s">
        <v>136</v>
      </c>
      <c r="G15" s="46">
        <v>1540</v>
      </c>
      <c r="H15" s="47" t="s">
        <v>91</v>
      </c>
      <c r="I15" t="str">
        <f t="shared" si="12"/>
        <v>GOOGL US 8/21/2020 P1540 Equity</v>
      </c>
      <c r="J15" s="40">
        <f>+_xll.BDP($I15,J$4)</f>
        <v>110</v>
      </c>
      <c r="K15" s="40">
        <f t="shared" si="13"/>
        <v>65.829999999999927</v>
      </c>
      <c r="L15" s="40">
        <f t="shared" si="14"/>
        <v>44.170000000000073</v>
      </c>
      <c r="M15" s="40">
        <f t="shared" si="10"/>
        <v>1430</v>
      </c>
      <c r="N15" s="56">
        <f t="shared" si="11"/>
        <v>-2.9962623035335145E-2</v>
      </c>
      <c r="O15" s="40">
        <f>+_xll.BDP($I15,O$4)</f>
        <v>-0.63504550000000004</v>
      </c>
      <c r="P15" s="40">
        <f>+_xll.BDP($I15,P$4)</f>
        <v>2.0529519999999999</v>
      </c>
      <c r="Q15" s="40">
        <f>+_xll.BDP($I15,Q$4)</f>
        <v>-0.60660579999999997</v>
      </c>
      <c r="R15" s="47"/>
    </row>
    <row r="16" spans="6:19" x14ac:dyDescent="0.3">
      <c r="F16" s="65"/>
      <c r="G16" s="46"/>
      <c r="H16" s="47"/>
      <c r="J16" s="40"/>
      <c r="K16" s="40"/>
      <c r="L16" s="40"/>
      <c r="M16" s="40"/>
      <c r="N16" s="56"/>
      <c r="O16" s="40"/>
      <c r="P16" s="40"/>
      <c r="Q16" s="40"/>
      <c r="R16" s="47"/>
    </row>
    <row r="17" spans="2:18" x14ac:dyDescent="0.3">
      <c r="F17" s="65"/>
      <c r="G17" s="46"/>
      <c r="H17" s="47"/>
      <c r="J17" s="40"/>
      <c r="K17" s="78" t="s">
        <v>164</v>
      </c>
      <c r="L17" s="79"/>
      <c r="M17" s="80"/>
      <c r="N17" s="78" t="s">
        <v>135</v>
      </c>
      <c r="O17" s="79"/>
      <c r="P17" s="80"/>
      <c r="Q17" s="40"/>
      <c r="R17" s="47"/>
    </row>
    <row r="18" spans="2:18" ht="28.8" x14ac:dyDescent="0.3">
      <c r="B18" s="67" t="s">
        <v>172</v>
      </c>
      <c r="C18" s="67" t="s">
        <v>168</v>
      </c>
      <c r="D18" s="67" t="s">
        <v>162</v>
      </c>
      <c r="E18" s="67" t="s">
        <v>140</v>
      </c>
      <c r="F18" s="67" t="s">
        <v>110</v>
      </c>
      <c r="G18" s="67" t="s">
        <v>88</v>
      </c>
      <c r="H18" s="67" t="s">
        <v>109</v>
      </c>
      <c r="I18" s="67" t="s">
        <v>112</v>
      </c>
      <c r="J18" s="67" t="s">
        <v>141</v>
      </c>
      <c r="K18" s="67" t="s">
        <v>157</v>
      </c>
      <c r="L18" s="67" t="s">
        <v>134</v>
      </c>
      <c r="M18" s="67" t="s">
        <v>158</v>
      </c>
      <c r="N18" s="67" t="s">
        <v>157</v>
      </c>
      <c r="O18" s="67" t="s">
        <v>134</v>
      </c>
      <c r="P18" s="67" t="s">
        <v>158</v>
      </c>
      <c r="R18" s="47"/>
    </row>
    <row r="19" spans="2:18" x14ac:dyDescent="0.3">
      <c r="B19" s="64">
        <f>+G19+J21</f>
        <v>1447.13</v>
      </c>
      <c r="C19" s="82" t="s">
        <v>169</v>
      </c>
      <c r="D19" s="81" t="s">
        <v>163</v>
      </c>
      <c r="E19" s="65">
        <v>1</v>
      </c>
      <c r="F19" s="65" t="s">
        <v>111</v>
      </c>
      <c r="G19" s="46">
        <v>1350</v>
      </c>
      <c r="H19" s="46" t="s">
        <v>91</v>
      </c>
      <c r="I19" t="str">
        <f>+"GOOGL US "&amp;H19&amp;" "&amp;F19&amp;G19&amp;" Equity"</f>
        <v>GOOGL US 8/21/2020 C1350 Equity</v>
      </c>
      <c r="J19" s="40">
        <f>+_xll.BDP($I19,J$4)*$E19</f>
        <v>125.4</v>
      </c>
      <c r="K19" s="40">
        <f>+_xll.BDP($I19,O$4)</f>
        <v>0.7965856</v>
      </c>
      <c r="L19" s="40">
        <f>+_xll.BDP($I19,P$4)</f>
        <v>1.545412</v>
      </c>
      <c r="M19" s="40">
        <f>+_xll.BDP($I19,Q$4)</f>
        <v>-0.47660059999999999</v>
      </c>
      <c r="N19" s="40">
        <f t="shared" ref="N19:P20" si="15">+K19*$E19</f>
        <v>0.7965856</v>
      </c>
      <c r="O19" s="40">
        <f t="shared" si="15"/>
        <v>1.545412</v>
      </c>
      <c r="P19" s="40">
        <f t="shared" si="15"/>
        <v>-0.47660059999999999</v>
      </c>
    </row>
    <row r="20" spans="2:18" x14ac:dyDescent="0.3">
      <c r="C20" s="82"/>
      <c r="D20" s="81"/>
      <c r="E20" s="65">
        <v>-1</v>
      </c>
      <c r="F20" s="65" t="s">
        <v>111</v>
      </c>
      <c r="G20" s="46">
        <v>1550</v>
      </c>
      <c r="H20" s="46" t="s">
        <v>91</v>
      </c>
      <c r="I20" t="str">
        <f>+"GOOGL US "&amp;H20&amp;" "&amp;F20&amp;G20&amp;" Equity"</f>
        <v>GOOGL US 8/21/2020 C1550 Equity</v>
      </c>
      <c r="J20" s="40">
        <f>+_xll.BDP($I20,J$4)*$E20</f>
        <v>-28.27</v>
      </c>
      <c r="K20" s="40">
        <f>+_xll.BDP($I20,O$4)</f>
        <v>0.32703110000000002</v>
      </c>
      <c r="L20" s="40">
        <f>+_xll.BDP($I20,P$4)</f>
        <v>1.9707600000000001</v>
      </c>
      <c r="M20" s="40">
        <f>+_xll.BDP($I20,Q$4)</f>
        <v>-0.5354989</v>
      </c>
      <c r="N20" s="40">
        <f t="shared" si="15"/>
        <v>-0.32703110000000002</v>
      </c>
      <c r="O20" s="40">
        <f t="shared" si="15"/>
        <v>-1.9707600000000001</v>
      </c>
      <c r="P20" s="40">
        <f t="shared" si="15"/>
        <v>0.5354989</v>
      </c>
      <c r="Q20" s="40"/>
    </row>
    <row r="21" spans="2:18" x14ac:dyDescent="0.3">
      <c r="C21" s="82"/>
      <c r="D21" s="81"/>
      <c r="E21" s="77" t="s">
        <v>165</v>
      </c>
      <c r="F21" s="77"/>
      <c r="G21" s="77"/>
      <c r="H21" s="77"/>
      <c r="I21" s="77"/>
      <c r="J21" s="40">
        <f>+J19+J20</f>
        <v>97.13000000000001</v>
      </c>
      <c r="K21" s="40"/>
      <c r="L21" s="40"/>
      <c r="M21" s="40"/>
      <c r="N21" s="40">
        <f>+N19+N20</f>
        <v>0.46955449999999999</v>
      </c>
      <c r="O21" s="40">
        <f t="shared" ref="O21:P21" si="16">+O19+O20</f>
        <v>-0.42534800000000006</v>
      </c>
      <c r="P21" s="40">
        <f t="shared" si="16"/>
        <v>5.8898300000000015E-2</v>
      </c>
      <c r="Q21" s="40"/>
    </row>
    <row r="23" spans="2:18" x14ac:dyDescent="0.3">
      <c r="B23" s="64">
        <f>+G23+J25</f>
        <v>1579.77</v>
      </c>
      <c r="C23" s="81" t="s">
        <v>170</v>
      </c>
      <c r="D23" s="81" t="s">
        <v>166</v>
      </c>
      <c r="E23" s="65">
        <v>1</v>
      </c>
      <c r="F23" s="65" t="s">
        <v>111</v>
      </c>
      <c r="G23" s="46">
        <v>1445</v>
      </c>
      <c r="H23" s="46" t="s">
        <v>91</v>
      </c>
      <c r="I23" t="str">
        <f>+"GOOGL US "&amp;H23&amp;" "&amp;F23&amp;G23&amp;" Equity"</f>
        <v>GOOGL US 8/21/2020 C1445 Equity</v>
      </c>
      <c r="J23" s="40">
        <f>+_xll.BDP($I23,J$4)*$E23</f>
        <v>76.37</v>
      </c>
      <c r="K23" s="40">
        <f>+_xll.BDP($I23,O$4)</f>
        <v>0.59267420000000004</v>
      </c>
      <c r="L23" s="40">
        <f>+_xll.BDP($I23,P$4)</f>
        <v>2.1195149999999998</v>
      </c>
      <c r="M23" s="40">
        <f>+_xll.BDP($I23,Q$4)</f>
        <v>-0.64569120000000002</v>
      </c>
      <c r="N23" s="40">
        <f t="shared" ref="N23:P24" si="17">+K23*$E23</f>
        <v>0.59267420000000004</v>
      </c>
      <c r="O23" s="40">
        <f t="shared" si="17"/>
        <v>2.1195149999999998</v>
      </c>
      <c r="P23" s="40">
        <f t="shared" si="17"/>
        <v>-0.64569120000000002</v>
      </c>
    </row>
    <row r="24" spans="2:18" x14ac:dyDescent="0.3">
      <c r="B24" s="64">
        <f>+G24-J25</f>
        <v>1310.23</v>
      </c>
      <c r="C24" s="81"/>
      <c r="D24" s="81"/>
      <c r="E24" s="65">
        <v>1</v>
      </c>
      <c r="F24" s="65" t="s">
        <v>136</v>
      </c>
      <c r="G24" s="46">
        <v>1445</v>
      </c>
      <c r="H24" s="46" t="s">
        <v>91</v>
      </c>
      <c r="I24" t="str">
        <f>+"GOOGL US "&amp;H24&amp;" "&amp;F24&amp;G24&amp;" Equity"</f>
        <v>GOOGL US 8/21/2020 P1445 Equity</v>
      </c>
      <c r="J24" s="40">
        <f>+_xll.BDP($I24,J$4)*$E24</f>
        <v>58.4</v>
      </c>
      <c r="K24" s="40">
        <f>+_xll.BDP($I24,O$4)</f>
        <v>-0.40837639999999997</v>
      </c>
      <c r="L24" s="40">
        <f>+_xll.BDP($I24,P$4)</f>
        <v>2.1208719999999999</v>
      </c>
      <c r="M24" s="40">
        <f>+_xll.BDP($I24,Q$4)</f>
        <v>-0.65997320000000004</v>
      </c>
      <c r="N24" s="40">
        <f t="shared" si="17"/>
        <v>-0.40837639999999997</v>
      </c>
      <c r="O24" s="40">
        <f t="shared" si="17"/>
        <v>2.1208719999999999</v>
      </c>
      <c r="P24" s="40">
        <f t="shared" si="17"/>
        <v>-0.65997320000000004</v>
      </c>
      <c r="Q24" s="40"/>
    </row>
    <row r="25" spans="2:18" x14ac:dyDescent="0.3">
      <c r="C25" s="81"/>
      <c r="D25" s="81"/>
      <c r="E25" s="77" t="s">
        <v>165</v>
      </c>
      <c r="F25" s="77"/>
      <c r="G25" s="77"/>
      <c r="H25" s="77"/>
      <c r="I25" s="77"/>
      <c r="J25" s="40">
        <f>+J23+J24</f>
        <v>134.77000000000001</v>
      </c>
      <c r="K25" s="40"/>
      <c r="L25" s="40"/>
      <c r="M25" s="40"/>
      <c r="N25" s="40">
        <f>+N23+N24</f>
        <v>0.18429780000000007</v>
      </c>
      <c r="O25" s="40">
        <f t="shared" ref="O25" si="18">+O23+O24</f>
        <v>4.2403870000000001</v>
      </c>
      <c r="P25" s="40">
        <f t="shared" ref="P25" si="19">+P23+P24</f>
        <v>-1.3056643999999999</v>
      </c>
      <c r="Q25" s="40"/>
    </row>
    <row r="27" spans="2:18" x14ac:dyDescent="0.3">
      <c r="B27" s="64">
        <f>+G27+J31</f>
        <v>1487.17</v>
      </c>
      <c r="C27" s="81" t="s">
        <v>174</v>
      </c>
      <c r="D27" s="81" t="s">
        <v>173</v>
      </c>
      <c r="E27" s="65">
        <v>1</v>
      </c>
      <c r="F27" s="65" t="s">
        <v>111</v>
      </c>
      <c r="G27" s="46">
        <v>1445</v>
      </c>
      <c r="H27" s="46" t="s">
        <v>91</v>
      </c>
      <c r="I27" t="str">
        <f>+"GOOGL US "&amp;H27&amp;" "&amp;F27&amp;G27&amp;" Equity"</f>
        <v>GOOGL US 8/21/2020 C1445 Equity</v>
      </c>
      <c r="J27" s="40">
        <f>+_xll.BDP($I27,J$4)*$E27</f>
        <v>76.37</v>
      </c>
      <c r="K27" s="40">
        <f>+_xll.BDP($I27,O$4)</f>
        <v>0.59267420000000004</v>
      </c>
      <c r="L27" s="40">
        <f>+_xll.BDP($I27,P$4)</f>
        <v>2.1195149999999998</v>
      </c>
      <c r="M27" s="40">
        <f>+_xll.BDP($I27,Q$4)</f>
        <v>-0.64569120000000002</v>
      </c>
      <c r="N27" s="40">
        <f t="shared" ref="N27:P28" si="20">+K27*$E27</f>
        <v>0.59267420000000004</v>
      </c>
      <c r="O27" s="40">
        <f t="shared" si="20"/>
        <v>2.1195149999999998</v>
      </c>
      <c r="P27" s="40">
        <f t="shared" si="20"/>
        <v>-0.64569120000000002</v>
      </c>
    </row>
    <row r="28" spans="2:18" x14ac:dyDescent="0.3">
      <c r="B28" s="64">
        <f>+G28-J31</f>
        <v>1402.83</v>
      </c>
      <c r="C28" s="81"/>
      <c r="D28" s="81"/>
      <c r="E28" s="65">
        <v>1</v>
      </c>
      <c r="F28" s="65" t="s">
        <v>136</v>
      </c>
      <c r="G28" s="46">
        <v>1445</v>
      </c>
      <c r="H28" s="46" t="s">
        <v>91</v>
      </c>
      <c r="I28" t="str">
        <f>+"GOOGL US "&amp;H28&amp;" "&amp;F28&amp;G28&amp;" Equity"</f>
        <v>GOOGL US 8/21/2020 P1445 Equity</v>
      </c>
      <c r="J28" s="40">
        <f>+_xll.BDP($I28,J$4)*$E28</f>
        <v>58.4</v>
      </c>
      <c r="K28" s="40">
        <f>+_xll.BDP($I28,O$4)</f>
        <v>-0.40837639999999997</v>
      </c>
      <c r="L28" s="40">
        <f>+_xll.BDP($I28,P$4)</f>
        <v>2.1208719999999999</v>
      </c>
      <c r="M28" s="40">
        <f>+_xll.BDP($I28,Q$4)</f>
        <v>-0.65997320000000004</v>
      </c>
      <c r="N28" s="40">
        <f t="shared" si="20"/>
        <v>-0.40837639999999997</v>
      </c>
      <c r="O28" s="40">
        <f t="shared" si="20"/>
        <v>2.1208719999999999</v>
      </c>
      <c r="P28" s="40">
        <f t="shared" si="20"/>
        <v>-0.65997320000000004</v>
      </c>
      <c r="Q28" s="40"/>
    </row>
    <row r="29" spans="2:18" x14ac:dyDescent="0.3">
      <c r="C29" s="81"/>
      <c r="D29" s="81"/>
      <c r="E29" s="65">
        <v>-1</v>
      </c>
      <c r="F29" s="65" t="s">
        <v>111</v>
      </c>
      <c r="G29" s="46">
        <v>1490</v>
      </c>
      <c r="H29" s="46" t="s">
        <v>91</v>
      </c>
      <c r="I29" t="str">
        <f>+"GOOGL US "&amp;H29&amp;" "&amp;F29&amp;G29&amp;" Equity"</f>
        <v>GOOGL US 8/21/2020 C1490 Equity</v>
      </c>
      <c r="J29" s="40">
        <f>+_xll.BDP($I29,J$4)*$E29</f>
        <v>-52.9</v>
      </c>
      <c r="K29" s="40">
        <f>+_xll.BDP($I29,O$4)</f>
        <v>0.48190280000000002</v>
      </c>
      <c r="L29" s="40">
        <f>+_xll.BDP($I29,P$4)</f>
        <v>2.176641</v>
      </c>
      <c r="M29" s="40">
        <f>+_xll.BDP($I29,Q$4)</f>
        <v>-0.61811260000000001</v>
      </c>
      <c r="N29" s="40">
        <f t="shared" ref="N29:N30" si="21">+K29*$E29</f>
        <v>-0.48190280000000002</v>
      </c>
      <c r="O29" s="40">
        <f t="shared" ref="O29:O30" si="22">+L29*$E29</f>
        <v>-2.176641</v>
      </c>
      <c r="P29" s="40">
        <f t="shared" ref="P29:P30" si="23">+M29*$E29</f>
        <v>0.61811260000000001</v>
      </c>
      <c r="Q29" s="40"/>
    </row>
    <row r="30" spans="2:18" x14ac:dyDescent="0.3">
      <c r="C30" s="81"/>
      <c r="D30" s="81"/>
      <c r="E30" s="65">
        <v>-1</v>
      </c>
      <c r="F30" s="65" t="s">
        <v>136</v>
      </c>
      <c r="G30" s="46">
        <v>1400</v>
      </c>
      <c r="H30" s="46" t="s">
        <v>91</v>
      </c>
      <c r="I30" t="str">
        <f>+"GOOGL US "&amp;H30&amp;" "&amp;F30&amp;G30&amp;" Equity"</f>
        <v>GOOGL US 8/21/2020 P1400 Equity</v>
      </c>
      <c r="J30" s="40">
        <f>+_xll.BDP($I30,J$4)*$E30</f>
        <v>-39.700000000000003</v>
      </c>
      <c r="K30" s="40">
        <f>+_xll.BDP($I30,O$4)</f>
        <v>-0.31237819999999999</v>
      </c>
      <c r="L30" s="40">
        <f>+_xll.BDP($I30,P$4)</f>
        <v>1.9338200000000001</v>
      </c>
      <c r="M30" s="40">
        <f>+_xll.BDP($I30,Q$4)</f>
        <v>-0.63089309999999998</v>
      </c>
      <c r="N30" s="40">
        <f t="shared" si="21"/>
        <v>0.31237819999999999</v>
      </c>
      <c r="O30" s="40">
        <f t="shared" si="22"/>
        <v>-1.9338200000000001</v>
      </c>
      <c r="P30" s="40">
        <f t="shared" si="23"/>
        <v>0.63089309999999998</v>
      </c>
      <c r="Q30" s="40"/>
    </row>
    <row r="31" spans="2:18" x14ac:dyDescent="0.3">
      <c r="C31" s="81"/>
      <c r="D31" s="81"/>
      <c r="E31" s="77" t="s">
        <v>165</v>
      </c>
      <c r="F31" s="77"/>
      <c r="G31" s="77"/>
      <c r="H31" s="77"/>
      <c r="I31" s="77"/>
      <c r="J31" s="40">
        <f>SUM(J27:J30)</f>
        <v>42.17</v>
      </c>
      <c r="K31" s="40"/>
      <c r="L31" s="40"/>
      <c r="M31" s="40"/>
      <c r="N31" s="40">
        <f>SUM(N27:N30)</f>
        <v>1.4773200000000042E-2</v>
      </c>
      <c r="O31" s="40">
        <f t="shared" ref="O31:P31" si="24">SUM(O27:O30)</f>
        <v>0.12992599999999999</v>
      </c>
      <c r="P31" s="40">
        <f t="shared" si="24"/>
        <v>-5.6658699999999951E-2</v>
      </c>
      <c r="Q31" s="40"/>
    </row>
    <row r="33" spans="2:17" x14ac:dyDescent="0.3">
      <c r="B33" s="64">
        <f>+G33+J35</f>
        <v>1587.32</v>
      </c>
      <c r="C33" s="81" t="s">
        <v>171</v>
      </c>
      <c r="D33" s="81" t="s">
        <v>167</v>
      </c>
      <c r="E33" s="65">
        <v>1</v>
      </c>
      <c r="F33" s="65" t="s">
        <v>111</v>
      </c>
      <c r="G33" s="46">
        <v>1500</v>
      </c>
      <c r="H33" s="46" t="s">
        <v>91</v>
      </c>
      <c r="I33" t="str">
        <f>+"GOOGL US "&amp;H33&amp;" "&amp;F33&amp;G33&amp;" Equity"</f>
        <v>GOOGL US 8/21/2020 C1500 Equity</v>
      </c>
      <c r="J33" s="40">
        <f>+_xll.BDP($I33,J$4)*$E33</f>
        <v>51.92</v>
      </c>
      <c r="K33" s="40">
        <f>+_xll.BDP($I33,O$4)</f>
        <v>0.4573758</v>
      </c>
      <c r="L33" s="40">
        <f>+_xll.BDP($I33,P$4)</f>
        <v>2.1663510000000001</v>
      </c>
      <c r="M33" s="40">
        <f>+_xll.BDP($I33,Q$4)</f>
        <v>-0.63297879999999995</v>
      </c>
      <c r="N33" s="40">
        <f t="shared" ref="N33:P34" si="25">+K33*$E33</f>
        <v>0.4573758</v>
      </c>
      <c r="O33" s="40">
        <f t="shared" si="25"/>
        <v>2.1663510000000001</v>
      </c>
      <c r="P33" s="40">
        <f t="shared" si="25"/>
        <v>-0.63297879999999995</v>
      </c>
    </row>
    <row r="34" spans="2:17" x14ac:dyDescent="0.3">
      <c r="B34" s="64">
        <f>+G34-J35</f>
        <v>1302.68</v>
      </c>
      <c r="C34" s="81"/>
      <c r="D34" s="81"/>
      <c r="E34" s="65">
        <v>1</v>
      </c>
      <c r="F34" s="65" t="s">
        <v>136</v>
      </c>
      <c r="G34" s="46">
        <v>1390</v>
      </c>
      <c r="H34" s="46" t="s">
        <v>91</v>
      </c>
      <c r="I34" t="str">
        <f>+"GOOGL US "&amp;H34&amp;" "&amp;F34&amp;G34&amp;" Equity"</f>
        <v>GOOGL US 8/21/2020 P1390 Equity</v>
      </c>
      <c r="J34" s="40">
        <f>+_xll.BDP($I34,J$4)*$E34</f>
        <v>35.4</v>
      </c>
      <c r="K34" s="40">
        <f>+_xll.BDP($I34,O$4)</f>
        <v>-0.29273959999999999</v>
      </c>
      <c r="L34" s="40">
        <f>+_xll.BDP($I34,P$4)</f>
        <v>1.87849</v>
      </c>
      <c r="M34" s="40">
        <f>+_xll.BDP($I34,Q$4)</f>
        <v>-0.61716749999999998</v>
      </c>
      <c r="N34" s="40">
        <f t="shared" si="25"/>
        <v>-0.29273959999999999</v>
      </c>
      <c r="O34" s="40">
        <f t="shared" si="25"/>
        <v>1.87849</v>
      </c>
      <c r="P34" s="40">
        <f t="shared" si="25"/>
        <v>-0.61716749999999998</v>
      </c>
      <c r="Q34" s="40"/>
    </row>
    <row r="35" spans="2:17" x14ac:dyDescent="0.3">
      <c r="C35" s="81"/>
      <c r="D35" s="81"/>
      <c r="E35" s="77" t="s">
        <v>165</v>
      </c>
      <c r="F35" s="77"/>
      <c r="G35" s="77"/>
      <c r="H35" s="77"/>
      <c r="I35" s="77"/>
      <c r="J35" s="40">
        <f>+J33+J34</f>
        <v>87.32</v>
      </c>
      <c r="K35" s="40"/>
      <c r="L35" s="40"/>
      <c r="M35" s="40"/>
      <c r="N35" s="40">
        <f>+N33+N34</f>
        <v>0.16463620000000001</v>
      </c>
      <c r="O35" s="40">
        <f t="shared" ref="O35" si="26">+O33+O34</f>
        <v>4.0448409999999999</v>
      </c>
      <c r="P35" s="40">
        <f t="shared" ref="P35" si="27">+P33+P34</f>
        <v>-1.2501462999999999</v>
      </c>
      <c r="Q35" s="40"/>
    </row>
  </sheetData>
  <mergeCells count="14">
    <mergeCell ref="D33:D35"/>
    <mergeCell ref="E35:I35"/>
    <mergeCell ref="C19:C21"/>
    <mergeCell ref="C23:C25"/>
    <mergeCell ref="C33:C35"/>
    <mergeCell ref="E31:I31"/>
    <mergeCell ref="C27:C31"/>
    <mergeCell ref="D27:D31"/>
    <mergeCell ref="K17:M17"/>
    <mergeCell ref="N17:P17"/>
    <mergeCell ref="D19:D21"/>
    <mergeCell ref="E21:I21"/>
    <mergeCell ref="D23:D25"/>
    <mergeCell ref="E25:I25"/>
  </mergeCells>
  <conditionalFormatting sqref="O6:O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:P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:Q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:Q2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:O1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:P1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:Q1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5:O1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:P1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:Q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:Q2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4:Q3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8:Q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35"/>
  <sheetViews>
    <sheetView zoomScale="70" zoomScaleNormal="70" workbookViewId="0">
      <selection activeCell="J2" sqref="J2"/>
    </sheetView>
  </sheetViews>
  <sheetFormatPr baseColWidth="10" defaultColWidth="8.88671875" defaultRowHeight="14.4" x14ac:dyDescent="0.3"/>
  <cols>
    <col min="1" max="1" width="5.109375" customWidth="1"/>
    <col min="2" max="2" width="11.109375" bestFit="1" customWidth="1"/>
    <col min="3" max="3" width="24.6640625" customWidth="1"/>
    <col min="4" max="4" width="15.5546875" bestFit="1" customWidth="1"/>
    <col min="5" max="5" width="2.88671875" bestFit="1" customWidth="1"/>
    <col min="6" max="6" width="5.5546875" bestFit="1" customWidth="1"/>
    <col min="7" max="7" width="8.33203125" bestFit="1" customWidth="1"/>
    <col min="8" max="8" width="12.44140625" bestFit="1" customWidth="1"/>
    <col min="9" max="9" width="34.109375" bestFit="1" customWidth="1"/>
    <col min="10" max="10" width="8.44140625" bestFit="1" customWidth="1"/>
    <col min="11" max="11" width="8.33203125" bestFit="1" customWidth="1"/>
    <col min="12" max="12" width="7.33203125" bestFit="1" customWidth="1"/>
    <col min="13" max="13" width="11" customWidth="1"/>
    <col min="14" max="14" width="9.33203125" bestFit="1" customWidth="1"/>
    <col min="15" max="15" width="6.44140625" bestFit="1" customWidth="1"/>
    <col min="16" max="16" width="9.33203125" customWidth="1"/>
    <col min="17" max="17" width="10.6640625" style="44" bestFit="1" customWidth="1"/>
    <col min="18" max="18" width="10.6640625" style="44" customWidth="1"/>
    <col min="19" max="19" width="12.88671875" customWidth="1"/>
  </cols>
  <sheetData>
    <row r="2" spans="6:19" x14ac:dyDescent="0.3">
      <c r="I2" t="s">
        <v>87</v>
      </c>
      <c r="J2" s="75">
        <v>1467.23</v>
      </c>
    </row>
    <row r="4" spans="6:19" hidden="1" x14ac:dyDescent="0.3">
      <c r="J4" t="s">
        <v>107</v>
      </c>
      <c r="O4" t="s">
        <v>132</v>
      </c>
      <c r="P4" t="s">
        <v>133</v>
      </c>
      <c r="Q4" s="44" t="s">
        <v>156</v>
      </c>
    </row>
    <row r="5" spans="6:19" s="74" customFormat="1" ht="28.8" x14ac:dyDescent="0.3">
      <c r="F5" s="67" t="s">
        <v>110</v>
      </c>
      <c r="G5" s="67" t="s">
        <v>88</v>
      </c>
      <c r="H5" s="67" t="s">
        <v>109</v>
      </c>
      <c r="I5" s="67" t="s">
        <v>112</v>
      </c>
      <c r="J5" s="67" t="s">
        <v>108</v>
      </c>
      <c r="K5" s="67" t="s">
        <v>139</v>
      </c>
      <c r="L5" s="67" t="s">
        <v>138</v>
      </c>
      <c r="M5" s="67" t="s">
        <v>113</v>
      </c>
      <c r="N5" s="67" t="s">
        <v>114</v>
      </c>
      <c r="O5" s="67" t="s">
        <v>157</v>
      </c>
      <c r="P5" s="67" t="s">
        <v>134</v>
      </c>
      <c r="Q5" s="67" t="s">
        <v>158</v>
      </c>
      <c r="R5" s="68"/>
      <c r="S5" s="74" t="s">
        <v>89</v>
      </c>
    </row>
    <row r="6" spans="6:19" x14ac:dyDescent="0.3">
      <c r="F6" s="69" t="s">
        <v>111</v>
      </c>
      <c r="G6" s="74">
        <v>1350</v>
      </c>
      <c r="H6" s="47" t="s">
        <v>91</v>
      </c>
      <c r="I6" t="str">
        <f>+"GOOGL US "&amp;H6&amp;" "&amp;F6&amp;G6&amp;" Equity"</f>
        <v>GOOGL US 8/21/2020 C1350 Equity</v>
      </c>
      <c r="J6" s="40">
        <v>125.4</v>
      </c>
      <c r="K6" s="40">
        <f>+IF(F6="C",MAX(0,$J$2-G6),MAX(0,G6-$J$2))</f>
        <v>117.23000000000002</v>
      </c>
      <c r="L6" s="40">
        <f>+J6-K6</f>
        <v>8.1699999999999875</v>
      </c>
      <c r="M6" s="40">
        <f>IF(F6="C",G6+J6,G6-J6)</f>
        <v>1475.4</v>
      </c>
      <c r="N6" s="56">
        <f>+M6/$J$2-1</f>
        <v>5.5683158059744997E-3</v>
      </c>
      <c r="O6" s="40">
        <v>0.78215539999999995</v>
      </c>
      <c r="P6" s="40">
        <v>1.6012090000000001</v>
      </c>
      <c r="Q6" s="40">
        <v>-0.50142600000000004</v>
      </c>
      <c r="S6" s="47" t="s">
        <v>90</v>
      </c>
    </row>
    <row r="7" spans="6:19" s="74" customFormat="1" x14ac:dyDescent="0.3">
      <c r="F7" s="69" t="s">
        <v>111</v>
      </c>
      <c r="G7" s="74">
        <v>1400</v>
      </c>
      <c r="H7" s="47" t="s">
        <v>91</v>
      </c>
      <c r="I7" t="str">
        <f>+"GOOGL US "&amp;H7&amp;" "&amp;F7&amp;G7&amp;" Equity"</f>
        <v>GOOGL US 8/21/2020 C1400 Equity</v>
      </c>
      <c r="J7" s="40">
        <v>102.9</v>
      </c>
      <c r="K7" s="40">
        <f>+IF(F7="C",MAX(0,$J$2-G7),MAX(0,G7-$J$2))</f>
        <v>67.230000000000018</v>
      </c>
      <c r="L7" s="40">
        <f>+J7-K7</f>
        <v>35.669999999999987</v>
      </c>
      <c r="M7" s="40">
        <f t="shared" ref="M7:M10" si="0">IF(F7="C",G7+J7,G7-J7)</f>
        <v>1502.9</v>
      </c>
      <c r="N7" s="56">
        <f t="shared" ref="N7:N10" si="1">+M7/$J$2-1</f>
        <v>2.4311116866476246E-2</v>
      </c>
      <c r="O7" s="40">
        <v>0.68261050000000001</v>
      </c>
      <c r="P7" s="40">
        <v>1.938382</v>
      </c>
      <c r="Q7" s="40">
        <v>-0.5938485</v>
      </c>
      <c r="R7" s="44"/>
      <c r="S7" s="47" t="s">
        <v>91</v>
      </c>
    </row>
    <row r="8" spans="6:19" x14ac:dyDescent="0.3">
      <c r="F8" s="69" t="s">
        <v>111</v>
      </c>
      <c r="G8" s="74">
        <v>1450</v>
      </c>
      <c r="H8" s="47" t="s">
        <v>91</v>
      </c>
      <c r="I8" t="str">
        <f t="shared" ref="I8:I10" si="2">+"GOOGL US "&amp;H8&amp;" "&amp;F8&amp;G8&amp;" Equity"</f>
        <v>GOOGL US 8/21/2020 C1450 Equity</v>
      </c>
      <c r="J8" s="40">
        <v>74.81</v>
      </c>
      <c r="K8" s="40">
        <f t="shared" ref="K8:K10" si="3">+IF(F8="C",MAX(0,$J$2-G8),MAX(0,G8-$J$2))</f>
        <v>17.230000000000018</v>
      </c>
      <c r="L8" s="40">
        <f t="shared" ref="L8:L10" si="4">+J8-K8</f>
        <v>57.579999999999984</v>
      </c>
      <c r="M8" s="40">
        <f t="shared" si="0"/>
        <v>1524.81</v>
      </c>
      <c r="N8" s="56">
        <f t="shared" si="1"/>
        <v>3.9244017638679685E-2</v>
      </c>
      <c r="O8" s="40">
        <v>0.56397779999999997</v>
      </c>
      <c r="P8" s="40">
        <v>2.1408640000000001</v>
      </c>
      <c r="Q8" s="40">
        <v>-0.65620829999999997</v>
      </c>
      <c r="R8" s="47"/>
      <c r="S8" s="47" t="s">
        <v>92</v>
      </c>
    </row>
    <row r="9" spans="6:19" x14ac:dyDescent="0.3">
      <c r="F9" s="69" t="s">
        <v>111</v>
      </c>
      <c r="G9" s="74">
        <v>1500</v>
      </c>
      <c r="H9" s="47" t="s">
        <v>91</v>
      </c>
      <c r="I9" t="str">
        <f t="shared" si="2"/>
        <v>GOOGL US 8/21/2020 C1500 Equity</v>
      </c>
      <c r="J9" s="40">
        <v>47.69</v>
      </c>
      <c r="K9" s="40">
        <f t="shared" si="3"/>
        <v>0</v>
      </c>
      <c r="L9" s="40">
        <f t="shared" si="4"/>
        <v>47.69</v>
      </c>
      <c r="M9" s="40">
        <f t="shared" si="0"/>
        <v>1547.69</v>
      </c>
      <c r="N9" s="56">
        <f t="shared" si="1"/>
        <v>5.4838028121017235E-2</v>
      </c>
      <c r="O9" s="40">
        <v>0.43374970000000002</v>
      </c>
      <c r="P9" s="40">
        <v>2.1351170000000002</v>
      </c>
      <c r="Q9" s="40">
        <v>-0.6243706</v>
      </c>
      <c r="R9" s="47"/>
      <c r="S9" s="47" t="s">
        <v>93</v>
      </c>
    </row>
    <row r="10" spans="6:19" x14ac:dyDescent="0.3">
      <c r="F10" s="69" t="s">
        <v>111</v>
      </c>
      <c r="G10" s="74">
        <v>1540</v>
      </c>
      <c r="H10" s="47" t="s">
        <v>91</v>
      </c>
      <c r="I10" t="str">
        <f t="shared" si="2"/>
        <v>GOOGL US 8/21/2020 C1540 Equity</v>
      </c>
      <c r="J10" s="40">
        <v>31.63</v>
      </c>
      <c r="K10" s="40">
        <f t="shared" si="3"/>
        <v>0</v>
      </c>
      <c r="L10" s="40">
        <f t="shared" si="4"/>
        <v>31.63</v>
      </c>
      <c r="M10" s="40">
        <f t="shared" si="0"/>
        <v>1571.63</v>
      </c>
      <c r="N10" s="56">
        <f t="shared" si="1"/>
        <v>7.1154488389686854E-2</v>
      </c>
      <c r="O10" s="40">
        <v>0.33998519999999999</v>
      </c>
      <c r="P10" s="40">
        <v>1.9928490000000001</v>
      </c>
      <c r="Q10" s="40">
        <v>-0.55532210000000004</v>
      </c>
      <c r="R10" s="47"/>
      <c r="S10" s="47" t="s">
        <v>94</v>
      </c>
    </row>
    <row r="11" spans="6:19" x14ac:dyDescent="0.3">
      <c r="F11" s="69" t="s">
        <v>136</v>
      </c>
      <c r="G11" s="74">
        <v>1350</v>
      </c>
      <c r="H11" s="47" t="s">
        <v>91</v>
      </c>
      <c r="I11" t="str">
        <f>+"GOOGL US "&amp;H11&amp;" "&amp;F11&amp;G11&amp;" Equity"</f>
        <v>GOOGL US 8/21/2020 P1350 Equity</v>
      </c>
      <c r="J11" s="40">
        <v>26.2</v>
      </c>
      <c r="K11" s="40">
        <f>+IF(F11="C",MAX(0,$J$2-G11),MAX(0,G11-$J$2))</f>
        <v>0</v>
      </c>
      <c r="L11" s="40">
        <f>+J11-K11</f>
        <v>26.2</v>
      </c>
      <c r="M11" s="40">
        <f>IF(F11="C",G11+J11,G11-J11)</f>
        <v>1323.8</v>
      </c>
      <c r="N11" s="56">
        <f>+M11/$J$2-1</f>
        <v>-9.7755634767555222E-2</v>
      </c>
      <c r="O11" s="40">
        <v>-0.23235430000000001</v>
      </c>
      <c r="P11" s="40">
        <v>1.6595150000000001</v>
      </c>
      <c r="Q11" s="40">
        <v>-0.55528820000000001</v>
      </c>
      <c r="R11" s="47"/>
      <c r="S11" s="47" t="s">
        <v>95</v>
      </c>
    </row>
    <row r="12" spans="6:19" x14ac:dyDescent="0.3">
      <c r="F12" s="69" t="s">
        <v>136</v>
      </c>
      <c r="G12" s="74">
        <v>1400</v>
      </c>
      <c r="H12" s="47" t="s">
        <v>91</v>
      </c>
      <c r="I12" t="str">
        <f>+"GOOGL US "&amp;H12&amp;" "&amp;F12&amp;G12&amp;" Equity"</f>
        <v>GOOGL US 8/21/2020 P1400 Equity</v>
      </c>
      <c r="J12" s="40">
        <v>39.700000000000003</v>
      </c>
      <c r="K12" s="40">
        <f>+IF(F12="C",MAX(0,$J$2-G12),MAX(0,G12-$J$2))</f>
        <v>0</v>
      </c>
      <c r="L12" s="40">
        <f>+J12-K12</f>
        <v>39.700000000000003</v>
      </c>
      <c r="M12" s="40">
        <f t="shared" ref="M12:M15" si="5">IF(F12="C",G12+J12,G12-J12)</f>
        <v>1360.3</v>
      </c>
      <c r="N12" s="56">
        <f t="shared" ref="N12:N15" si="6">+M12/$J$2-1</f>
        <v>-7.2878826087252935E-2</v>
      </c>
      <c r="O12" s="40">
        <v>-0.32847169999999998</v>
      </c>
      <c r="P12" s="40">
        <v>1.9621550000000001</v>
      </c>
      <c r="Q12" s="40">
        <v>-0.62513479999999999</v>
      </c>
      <c r="R12" s="47"/>
      <c r="S12" s="47" t="s">
        <v>97</v>
      </c>
    </row>
    <row r="13" spans="6:19" x14ac:dyDescent="0.3">
      <c r="F13" s="69" t="s">
        <v>136</v>
      </c>
      <c r="G13" s="74">
        <v>1450</v>
      </c>
      <c r="H13" s="47" t="s">
        <v>91</v>
      </c>
      <c r="I13" t="str">
        <f t="shared" ref="I13:I15" si="7">+"GOOGL US "&amp;H13&amp;" "&amp;F13&amp;G13&amp;" Equity"</f>
        <v>GOOGL US 8/21/2020 P1450 Equity</v>
      </c>
      <c r="J13" s="40">
        <v>59.6</v>
      </c>
      <c r="K13" s="40">
        <f t="shared" ref="K13:K15" si="8">+IF(F13="C",MAX(0,$J$2-G13),MAX(0,G13-$J$2))</f>
        <v>0</v>
      </c>
      <c r="L13" s="40">
        <f t="shared" ref="L13:L15" si="9">+J13-K13</f>
        <v>59.6</v>
      </c>
      <c r="M13" s="40">
        <f t="shared" si="5"/>
        <v>1390.4</v>
      </c>
      <c r="N13" s="56">
        <f t="shared" si="6"/>
        <v>-5.2363978381030907E-2</v>
      </c>
      <c r="O13" s="40">
        <v>-0.43485230000000002</v>
      </c>
      <c r="P13" s="40">
        <v>2.1414040000000001</v>
      </c>
      <c r="Q13" s="40">
        <v>-0.67518469999999997</v>
      </c>
      <c r="R13" s="47"/>
      <c r="S13" s="47" t="s">
        <v>98</v>
      </c>
    </row>
    <row r="14" spans="6:19" x14ac:dyDescent="0.3">
      <c r="F14" s="69" t="s">
        <v>136</v>
      </c>
      <c r="G14" s="74">
        <v>1500</v>
      </c>
      <c r="H14" s="47" t="s">
        <v>91</v>
      </c>
      <c r="I14" t="str">
        <f t="shared" si="7"/>
        <v>GOOGL US 8/21/2020 P1500 Equity</v>
      </c>
      <c r="J14" s="40">
        <v>88.19</v>
      </c>
      <c r="K14" s="40">
        <f t="shared" si="8"/>
        <v>32.769999999999982</v>
      </c>
      <c r="L14" s="40">
        <f t="shared" si="9"/>
        <v>55.420000000000016</v>
      </c>
      <c r="M14" s="40">
        <f t="shared" si="5"/>
        <v>1411.81</v>
      </c>
      <c r="N14" s="56">
        <f t="shared" si="6"/>
        <v>-3.777185580992759E-2</v>
      </c>
      <c r="O14" s="40">
        <v>-0.55416390000000004</v>
      </c>
      <c r="P14" s="40">
        <v>2.1496010000000001</v>
      </c>
      <c r="Q14" s="40">
        <v>-0.65339840000000005</v>
      </c>
      <c r="R14" s="47"/>
      <c r="S14" s="47" t="s">
        <v>96</v>
      </c>
    </row>
    <row r="15" spans="6:19" x14ac:dyDescent="0.3">
      <c r="F15" s="69" t="s">
        <v>136</v>
      </c>
      <c r="G15" s="74">
        <v>1540</v>
      </c>
      <c r="H15" s="47" t="s">
        <v>91</v>
      </c>
      <c r="I15" t="str">
        <f t="shared" si="7"/>
        <v>GOOGL US 8/21/2020 P1540 Equity</v>
      </c>
      <c r="J15" s="40">
        <v>110</v>
      </c>
      <c r="K15" s="40">
        <f t="shared" si="8"/>
        <v>72.769999999999982</v>
      </c>
      <c r="L15" s="40">
        <f t="shared" si="9"/>
        <v>37.230000000000018</v>
      </c>
      <c r="M15" s="40">
        <f t="shared" si="5"/>
        <v>1430</v>
      </c>
      <c r="N15" s="56">
        <f t="shared" si="6"/>
        <v>-2.5374344853908437E-2</v>
      </c>
      <c r="O15" s="40">
        <v>-0.64972240000000003</v>
      </c>
      <c r="P15" s="40">
        <v>2.0148760000000001</v>
      </c>
      <c r="Q15" s="40">
        <v>-0.59509429999999996</v>
      </c>
      <c r="R15" s="47"/>
    </row>
    <row r="16" spans="6:19" x14ac:dyDescent="0.3">
      <c r="F16" s="69"/>
      <c r="G16" s="74"/>
      <c r="H16" s="47"/>
      <c r="J16" s="40"/>
      <c r="K16" s="40"/>
      <c r="L16" s="40"/>
      <c r="M16" s="40"/>
      <c r="N16" s="56"/>
      <c r="O16" s="40"/>
      <c r="P16" s="40"/>
      <c r="Q16" s="40"/>
      <c r="R16" s="47"/>
    </row>
    <row r="17" spans="2:18" x14ac:dyDescent="0.3">
      <c r="F17" s="69"/>
      <c r="G17" s="74"/>
      <c r="H17" s="47"/>
      <c r="J17" s="40"/>
      <c r="K17" s="78" t="s">
        <v>164</v>
      </c>
      <c r="L17" s="79"/>
      <c r="M17" s="80"/>
      <c r="N17" s="78" t="s">
        <v>135</v>
      </c>
      <c r="O17" s="79"/>
      <c r="P17" s="80"/>
      <c r="Q17" s="40"/>
      <c r="R17" s="47"/>
    </row>
    <row r="18" spans="2:18" ht="28.8" x14ac:dyDescent="0.3">
      <c r="B18" s="67" t="s">
        <v>172</v>
      </c>
      <c r="C18" s="67" t="s">
        <v>168</v>
      </c>
      <c r="D18" s="67" t="s">
        <v>162</v>
      </c>
      <c r="E18" s="67" t="s">
        <v>140</v>
      </c>
      <c r="F18" s="67" t="s">
        <v>110</v>
      </c>
      <c r="G18" s="67" t="s">
        <v>88</v>
      </c>
      <c r="H18" s="67" t="s">
        <v>109</v>
      </c>
      <c r="I18" s="67" t="s">
        <v>112</v>
      </c>
      <c r="J18" s="67" t="s">
        <v>141</v>
      </c>
      <c r="K18" s="67" t="s">
        <v>157</v>
      </c>
      <c r="L18" s="67" t="s">
        <v>134</v>
      </c>
      <c r="M18" s="67" t="s">
        <v>158</v>
      </c>
      <c r="N18" s="67" t="s">
        <v>157</v>
      </c>
      <c r="O18" s="67" t="s">
        <v>134</v>
      </c>
      <c r="P18" s="67" t="s">
        <v>158</v>
      </c>
      <c r="R18" s="47"/>
    </row>
    <row r="19" spans="2:18" x14ac:dyDescent="0.3">
      <c r="B19" s="64">
        <f>+G19+J21</f>
        <v>1447.13</v>
      </c>
      <c r="C19" s="82" t="s">
        <v>169</v>
      </c>
      <c r="D19" s="81" t="s">
        <v>163</v>
      </c>
      <c r="E19" s="69">
        <v>1</v>
      </c>
      <c r="F19" s="69" t="s">
        <v>111</v>
      </c>
      <c r="G19" s="74">
        <v>1350</v>
      </c>
      <c r="H19" s="74" t="s">
        <v>91</v>
      </c>
      <c r="I19" t="str">
        <f>+"GOOGL US "&amp;H19&amp;" "&amp;F19&amp;G19&amp;" Equity"</f>
        <v>GOOGL US 8/21/2020 C1350 Equity</v>
      </c>
      <c r="J19" s="40">
        <v>125.4</v>
      </c>
      <c r="K19" s="40">
        <v>0.78215539999999995</v>
      </c>
      <c r="L19" s="40">
        <v>1.6012090000000001</v>
      </c>
      <c r="M19" s="40">
        <v>-0.50142600000000004</v>
      </c>
      <c r="N19" s="40">
        <f t="shared" ref="N19:P20" si="10">+K19*$E19</f>
        <v>0.78215539999999995</v>
      </c>
      <c r="O19" s="40">
        <f t="shared" si="10"/>
        <v>1.6012090000000001</v>
      </c>
      <c r="P19" s="40">
        <f t="shared" si="10"/>
        <v>-0.50142600000000004</v>
      </c>
    </row>
    <row r="20" spans="2:18" x14ac:dyDescent="0.3">
      <c r="C20" s="82"/>
      <c r="D20" s="81"/>
      <c r="E20" s="69">
        <v>-1</v>
      </c>
      <c r="F20" s="69" t="s">
        <v>111</v>
      </c>
      <c r="G20" s="74">
        <v>1550</v>
      </c>
      <c r="H20" s="74" t="s">
        <v>91</v>
      </c>
      <c r="I20" t="str">
        <f>+"GOOGL US "&amp;H20&amp;" "&amp;F20&amp;G20&amp;" Equity"</f>
        <v>GOOGL US 8/21/2020 C1550 Equity</v>
      </c>
      <c r="J20" s="40">
        <v>-28.27</v>
      </c>
      <c r="K20" s="40">
        <v>0.30481180000000002</v>
      </c>
      <c r="L20" s="40">
        <v>1.896841</v>
      </c>
      <c r="M20" s="40">
        <v>-0.53711920000000002</v>
      </c>
      <c r="N20" s="40">
        <f t="shared" si="10"/>
        <v>-0.30481180000000002</v>
      </c>
      <c r="O20" s="40">
        <f t="shared" si="10"/>
        <v>-1.896841</v>
      </c>
      <c r="P20" s="40">
        <f t="shared" si="10"/>
        <v>0.53711920000000002</v>
      </c>
      <c r="Q20" s="40"/>
    </row>
    <row r="21" spans="2:18" x14ac:dyDescent="0.3">
      <c r="C21" s="82"/>
      <c r="D21" s="81"/>
      <c r="E21" s="77" t="s">
        <v>165</v>
      </c>
      <c r="F21" s="77"/>
      <c r="G21" s="77"/>
      <c r="H21" s="77"/>
      <c r="I21" s="77"/>
      <c r="J21" s="40">
        <f>+J19+J20</f>
        <v>97.13000000000001</v>
      </c>
      <c r="K21" s="40"/>
      <c r="L21" s="40"/>
      <c r="M21" s="40"/>
      <c r="N21" s="40">
        <f>+N19+N20</f>
        <v>0.47734359999999992</v>
      </c>
      <c r="O21" s="40">
        <f t="shared" ref="O21:P21" si="11">+O19+O20</f>
        <v>-0.29563199999999989</v>
      </c>
      <c r="P21" s="40">
        <f t="shared" si="11"/>
        <v>3.569319999999998E-2</v>
      </c>
      <c r="Q21" s="40"/>
    </row>
    <row r="23" spans="2:18" x14ac:dyDescent="0.3">
      <c r="B23" s="64">
        <f>+G23+J25</f>
        <v>1579.77</v>
      </c>
      <c r="C23" s="81" t="s">
        <v>184</v>
      </c>
      <c r="D23" s="81" t="s">
        <v>166</v>
      </c>
      <c r="E23" s="69">
        <v>1</v>
      </c>
      <c r="F23" s="69" t="s">
        <v>111</v>
      </c>
      <c r="G23" s="74">
        <v>1445</v>
      </c>
      <c r="H23" s="74" t="s">
        <v>91</v>
      </c>
      <c r="I23" t="str">
        <f>+"GOOGL US "&amp;H23&amp;" "&amp;F23&amp;G23&amp;" Equity"</f>
        <v>GOOGL US 8/21/2020 C1445 Equity</v>
      </c>
      <c r="J23" s="40">
        <v>76.37</v>
      </c>
      <c r="K23" s="40">
        <v>0.57240310000000005</v>
      </c>
      <c r="L23" s="40">
        <v>2.1301480000000002</v>
      </c>
      <c r="M23" s="40">
        <v>-0.65120769999999994</v>
      </c>
      <c r="N23" s="40">
        <f t="shared" ref="N23:P24" si="12">+K23*$E23</f>
        <v>0.57240310000000005</v>
      </c>
      <c r="O23" s="40">
        <f t="shared" si="12"/>
        <v>2.1301480000000002</v>
      </c>
      <c r="P23" s="40">
        <f t="shared" si="12"/>
        <v>-0.65120769999999994</v>
      </c>
    </row>
    <row r="24" spans="2:18" x14ac:dyDescent="0.3">
      <c r="B24" s="64">
        <f>+G24-J25</f>
        <v>1310.23</v>
      </c>
      <c r="C24" s="81"/>
      <c r="D24" s="81"/>
      <c r="E24" s="69">
        <v>1</v>
      </c>
      <c r="F24" s="69" t="s">
        <v>136</v>
      </c>
      <c r="G24" s="74">
        <v>1445</v>
      </c>
      <c r="H24" s="74" t="s">
        <v>91</v>
      </c>
      <c r="I24" t="str">
        <f>+"GOOGL US "&amp;H24&amp;" "&amp;F24&amp;G24&amp;" Equity"</f>
        <v>GOOGL US 8/21/2020 P1445 Equity</v>
      </c>
      <c r="J24" s="40">
        <v>58.4</v>
      </c>
      <c r="K24" s="40">
        <v>-0.42267539999999998</v>
      </c>
      <c r="L24" s="40">
        <v>2.129731</v>
      </c>
      <c r="M24" s="40">
        <v>-0.65925199999999995</v>
      </c>
      <c r="N24" s="40">
        <f t="shared" si="12"/>
        <v>-0.42267539999999998</v>
      </c>
      <c r="O24" s="40">
        <f t="shared" si="12"/>
        <v>2.129731</v>
      </c>
      <c r="P24" s="40">
        <f t="shared" si="12"/>
        <v>-0.65925199999999995</v>
      </c>
      <c r="Q24" s="40"/>
    </row>
    <row r="25" spans="2:18" x14ac:dyDescent="0.3">
      <c r="C25" s="81"/>
      <c r="D25" s="81"/>
      <c r="E25" s="77" t="s">
        <v>165</v>
      </c>
      <c r="F25" s="77"/>
      <c r="G25" s="77"/>
      <c r="H25" s="77"/>
      <c r="I25" s="77"/>
      <c r="J25" s="40">
        <f>+J23+J24</f>
        <v>134.77000000000001</v>
      </c>
      <c r="K25" s="40"/>
      <c r="L25" s="40"/>
      <c r="M25" s="40"/>
      <c r="N25" s="40">
        <f>+N23+N24</f>
        <v>0.14972770000000007</v>
      </c>
      <c r="O25" s="40">
        <f t="shared" ref="O25:P25" si="13">+O23+O24</f>
        <v>4.2598789999999997</v>
      </c>
      <c r="P25" s="40">
        <f t="shared" si="13"/>
        <v>-1.3104597</v>
      </c>
      <c r="Q25" s="40"/>
    </row>
    <row r="27" spans="2:18" x14ac:dyDescent="0.3">
      <c r="B27" s="64">
        <f>+G27+J31</f>
        <v>1487.17</v>
      </c>
      <c r="C27" s="81" t="s">
        <v>185</v>
      </c>
      <c r="D27" s="81" t="s">
        <v>173</v>
      </c>
      <c r="E27" s="69">
        <v>1</v>
      </c>
      <c r="F27" s="69" t="s">
        <v>111</v>
      </c>
      <c r="G27" s="74">
        <v>1445</v>
      </c>
      <c r="H27" s="74" t="s">
        <v>91</v>
      </c>
      <c r="I27" t="str">
        <f>+"GOOGL US "&amp;H27&amp;" "&amp;F27&amp;G27&amp;" Equity"</f>
        <v>GOOGL US 8/21/2020 C1445 Equity</v>
      </c>
      <c r="J27" s="40">
        <v>76.37</v>
      </c>
      <c r="K27" s="40">
        <v>0.57240310000000005</v>
      </c>
      <c r="L27" s="40">
        <v>2.1301480000000002</v>
      </c>
      <c r="M27" s="40">
        <v>-0.65120769999999994</v>
      </c>
      <c r="N27" s="40">
        <f t="shared" ref="N27:P30" si="14">+K27*$E27</f>
        <v>0.57240310000000005</v>
      </c>
      <c r="O27" s="40">
        <f t="shared" si="14"/>
        <v>2.1301480000000002</v>
      </c>
      <c r="P27" s="40">
        <f t="shared" si="14"/>
        <v>-0.65120769999999994</v>
      </c>
    </row>
    <row r="28" spans="2:18" x14ac:dyDescent="0.3">
      <c r="B28" s="64">
        <f>+G28-J31</f>
        <v>1402.83</v>
      </c>
      <c r="C28" s="81"/>
      <c r="D28" s="81"/>
      <c r="E28" s="69">
        <v>1</v>
      </c>
      <c r="F28" s="69" t="s">
        <v>136</v>
      </c>
      <c r="G28" s="74">
        <v>1445</v>
      </c>
      <c r="H28" s="74" t="s">
        <v>91</v>
      </c>
      <c r="I28" t="str">
        <f>+"GOOGL US "&amp;H28&amp;" "&amp;F28&amp;G28&amp;" Equity"</f>
        <v>GOOGL US 8/21/2020 P1445 Equity</v>
      </c>
      <c r="J28" s="40">
        <v>58.4</v>
      </c>
      <c r="K28" s="40">
        <v>-0.42267539999999998</v>
      </c>
      <c r="L28" s="40">
        <v>2.129731</v>
      </c>
      <c r="M28" s="40">
        <v>-0.65925199999999995</v>
      </c>
      <c r="N28" s="40">
        <f t="shared" si="14"/>
        <v>-0.42267539999999998</v>
      </c>
      <c r="O28" s="40">
        <f t="shared" si="14"/>
        <v>2.129731</v>
      </c>
      <c r="P28" s="40">
        <f t="shared" si="14"/>
        <v>-0.65925199999999995</v>
      </c>
      <c r="Q28" s="40"/>
    </row>
    <row r="29" spans="2:18" x14ac:dyDescent="0.3">
      <c r="C29" s="81"/>
      <c r="D29" s="81"/>
      <c r="E29" s="69">
        <v>-1</v>
      </c>
      <c r="F29" s="69" t="s">
        <v>111</v>
      </c>
      <c r="G29" s="74">
        <v>1490</v>
      </c>
      <c r="H29" s="74" t="s">
        <v>91</v>
      </c>
      <c r="I29" t="str">
        <f>+"GOOGL US "&amp;H29&amp;" "&amp;F29&amp;G29&amp;" Equity"</f>
        <v>GOOGL US 8/21/2020 C1490 Equity</v>
      </c>
      <c r="J29" s="40">
        <v>-52.9</v>
      </c>
      <c r="K29" s="40">
        <v>0.46107409999999999</v>
      </c>
      <c r="L29" s="40">
        <v>2.155742</v>
      </c>
      <c r="M29" s="40">
        <v>-0.63830390000000004</v>
      </c>
      <c r="N29" s="40">
        <f t="shared" si="14"/>
        <v>-0.46107409999999999</v>
      </c>
      <c r="O29" s="40">
        <f t="shared" si="14"/>
        <v>-2.155742</v>
      </c>
      <c r="P29" s="40">
        <f t="shared" si="14"/>
        <v>0.63830390000000004</v>
      </c>
      <c r="Q29" s="40"/>
    </row>
    <row r="30" spans="2:18" x14ac:dyDescent="0.3">
      <c r="C30" s="81"/>
      <c r="D30" s="81"/>
      <c r="E30" s="69">
        <v>-1</v>
      </c>
      <c r="F30" s="69" t="s">
        <v>136</v>
      </c>
      <c r="G30" s="74">
        <v>1400</v>
      </c>
      <c r="H30" s="74" t="s">
        <v>91</v>
      </c>
      <c r="I30" t="str">
        <f>+"GOOGL US "&amp;H30&amp;" "&amp;F30&amp;G30&amp;" Equity"</f>
        <v>GOOGL US 8/21/2020 P1400 Equity</v>
      </c>
      <c r="J30" s="40">
        <v>-39.700000000000003</v>
      </c>
      <c r="K30" s="40">
        <v>-0.32847169999999998</v>
      </c>
      <c r="L30" s="40">
        <v>1.9621550000000001</v>
      </c>
      <c r="M30" s="40">
        <v>-0.62513479999999999</v>
      </c>
      <c r="N30" s="40">
        <f t="shared" si="14"/>
        <v>0.32847169999999998</v>
      </c>
      <c r="O30" s="40">
        <f t="shared" si="14"/>
        <v>-1.9621550000000001</v>
      </c>
      <c r="P30" s="40">
        <f t="shared" si="14"/>
        <v>0.62513479999999999</v>
      </c>
      <c r="Q30" s="40"/>
    </row>
    <row r="31" spans="2:18" x14ac:dyDescent="0.3">
      <c r="C31" s="81"/>
      <c r="D31" s="81"/>
      <c r="E31" s="77" t="s">
        <v>165</v>
      </c>
      <c r="F31" s="77"/>
      <c r="G31" s="77"/>
      <c r="H31" s="77"/>
      <c r="I31" s="77"/>
      <c r="J31" s="40">
        <f>SUM(J27:J30)</f>
        <v>42.17</v>
      </c>
      <c r="K31" s="40"/>
      <c r="L31" s="40"/>
      <c r="M31" s="40"/>
      <c r="N31" s="40">
        <f>SUM(N27:N30)</f>
        <v>1.7125300000000065E-2</v>
      </c>
      <c r="O31" s="40">
        <f t="shared" ref="O31:P31" si="15">SUM(O27:O30)</f>
        <v>0.14198199999999961</v>
      </c>
      <c r="P31" s="40">
        <f t="shared" si="15"/>
        <v>-4.7020999999999979E-2</v>
      </c>
      <c r="Q31" s="40"/>
    </row>
    <row r="33" spans="2:17" x14ac:dyDescent="0.3">
      <c r="B33" s="64">
        <f>+G33+J35</f>
        <v>1587.19</v>
      </c>
      <c r="C33" s="81" t="s">
        <v>186</v>
      </c>
      <c r="D33" s="81" t="s">
        <v>167</v>
      </c>
      <c r="E33" s="69">
        <v>1</v>
      </c>
      <c r="F33" s="69" t="s">
        <v>111</v>
      </c>
      <c r="G33" s="74">
        <v>1500</v>
      </c>
      <c r="H33" s="74" t="s">
        <v>91</v>
      </c>
      <c r="I33" t="str">
        <f>+"GOOGL US "&amp;H33&amp;" "&amp;F33&amp;G33&amp;" Equity"</f>
        <v>GOOGL US 8/21/2020 C1500 Equity</v>
      </c>
      <c r="J33" s="40">
        <v>47.69</v>
      </c>
      <c r="K33" s="40">
        <v>0.43374970000000002</v>
      </c>
      <c r="L33" s="40">
        <v>2.1351170000000002</v>
      </c>
      <c r="M33" s="40">
        <v>-0.6243706</v>
      </c>
      <c r="N33" s="40">
        <f t="shared" ref="N33:P34" si="16">+K33*$E33</f>
        <v>0.43374970000000002</v>
      </c>
      <c r="O33" s="40">
        <f t="shared" si="16"/>
        <v>2.1351170000000002</v>
      </c>
      <c r="P33" s="40">
        <f t="shared" si="16"/>
        <v>-0.6243706</v>
      </c>
    </row>
    <row r="34" spans="2:17" x14ac:dyDescent="0.3">
      <c r="B34" s="64">
        <f>+G34-J35</f>
        <v>1302.81</v>
      </c>
      <c r="C34" s="81"/>
      <c r="D34" s="81"/>
      <c r="E34" s="69">
        <v>1</v>
      </c>
      <c r="F34" s="69" t="s">
        <v>136</v>
      </c>
      <c r="G34" s="74">
        <v>1390</v>
      </c>
      <c r="H34" s="74" t="s">
        <v>91</v>
      </c>
      <c r="I34" t="str">
        <f>+"GOOGL US "&amp;H34&amp;" "&amp;F34&amp;G34&amp;" Equity"</f>
        <v>GOOGL US 8/21/2020 P1390 Equity</v>
      </c>
      <c r="J34" s="40">
        <v>39.5</v>
      </c>
      <c r="K34" s="40">
        <v>-0.30650430000000001</v>
      </c>
      <c r="L34" s="40">
        <v>1.9083209999999999</v>
      </c>
      <c r="M34" s="40">
        <v>-0.62751369999999995</v>
      </c>
      <c r="N34" s="40">
        <f t="shared" si="16"/>
        <v>-0.30650430000000001</v>
      </c>
      <c r="O34" s="40">
        <f t="shared" si="16"/>
        <v>1.9083209999999999</v>
      </c>
      <c r="P34" s="40">
        <f t="shared" si="16"/>
        <v>-0.62751369999999995</v>
      </c>
      <c r="Q34" s="40"/>
    </row>
    <row r="35" spans="2:17" x14ac:dyDescent="0.3">
      <c r="C35" s="81"/>
      <c r="D35" s="81"/>
      <c r="E35" s="77" t="s">
        <v>165</v>
      </c>
      <c r="F35" s="77"/>
      <c r="G35" s="77"/>
      <c r="H35" s="77"/>
      <c r="I35" s="77"/>
      <c r="J35" s="40">
        <f>+J33+J34</f>
        <v>87.19</v>
      </c>
      <c r="K35" s="40"/>
      <c r="L35" s="40"/>
      <c r="M35" s="40"/>
      <c r="N35" s="40">
        <f>+N33+N34</f>
        <v>0.12724540000000001</v>
      </c>
      <c r="O35" s="40">
        <f t="shared" ref="O35:P35" si="17">+O33+O34</f>
        <v>4.0434380000000001</v>
      </c>
      <c r="P35" s="40">
        <f t="shared" si="17"/>
        <v>-1.2518842999999999</v>
      </c>
      <c r="Q35" s="40"/>
    </row>
  </sheetData>
  <mergeCells count="14">
    <mergeCell ref="C23:C25"/>
    <mergeCell ref="D23:D25"/>
    <mergeCell ref="E25:I25"/>
    <mergeCell ref="K17:M17"/>
    <mergeCell ref="N17:P17"/>
    <mergeCell ref="C19:C21"/>
    <mergeCell ref="D19:D21"/>
    <mergeCell ref="E21:I21"/>
    <mergeCell ref="C27:C31"/>
    <mergeCell ref="D27:D31"/>
    <mergeCell ref="E31:I31"/>
    <mergeCell ref="C33:C35"/>
    <mergeCell ref="D33:D35"/>
    <mergeCell ref="E35:I35"/>
  </mergeCells>
  <conditionalFormatting sqref="O6:O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:P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:Q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:Q2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:O1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:P1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:Q1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5:O1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:P1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:Q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:Q2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4:Q3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8:Q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10</vt:i4>
      </vt:variant>
    </vt:vector>
  </HeadingPairs>
  <TitlesOfParts>
    <vt:vector size="22" baseType="lpstr">
      <vt:lpstr>Forwards</vt:lpstr>
      <vt:lpstr>Posición Natural</vt:lpstr>
      <vt:lpstr>FRA</vt:lpstr>
      <vt:lpstr>IRS</vt:lpstr>
      <vt:lpstr>Curr Swap</vt:lpstr>
      <vt:lpstr>Opciones Cotizadas</vt:lpstr>
      <vt:lpstr>Opciones Cotizadas AsVal</vt:lpstr>
      <vt:lpstr>Opciones Cotizadas (2)</vt:lpstr>
      <vt:lpstr>Opciones Cotizadas (2) AsVal</vt:lpstr>
      <vt:lpstr>BSM</vt:lpstr>
      <vt:lpstr>Estructuración</vt:lpstr>
      <vt:lpstr>Estructuración AsVal</vt:lpstr>
      <vt:lpstr>d_1</vt:lpstr>
      <vt:lpstr>d_2</vt:lpstr>
      <vt:lpstr>dvd</vt:lpstr>
      <vt:lpstr>K</vt:lpstr>
      <vt:lpstr>Nd_1</vt:lpstr>
      <vt:lpstr>Nd_2</vt:lpstr>
      <vt:lpstr>rate</vt:lpstr>
      <vt:lpstr>S</vt:lpstr>
      <vt:lpstr>sigma</vt:lpstr>
      <vt:lpstr>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Bendezu Loayza, Oscar   Arturo</cp:lastModifiedBy>
  <dcterms:created xsi:type="dcterms:W3CDTF">2020-06-24T23:23:25Z</dcterms:created>
  <dcterms:modified xsi:type="dcterms:W3CDTF">2020-07-02T16:37:06Z</dcterms:modified>
</cp:coreProperties>
</file>