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esktop\"/>
    </mc:Choice>
  </mc:AlternateContent>
  <xr:revisionPtr revIDLastSave="0" documentId="13_ncr:1_{DFCEFC2C-CA1C-4C9F-9505-1E9014E8E5D0}" xr6:coauthVersionLast="45" xr6:coauthVersionMax="45" xr10:uidLastSave="{00000000-0000-0000-0000-000000000000}"/>
  <bookViews>
    <workbookView xWindow="-108" yWindow="-108" windowWidth="23256" windowHeight="12576" activeTab="4" xr2:uid="{F8275190-B430-4EDA-9197-1A3A4486B6DA}"/>
  </bookViews>
  <sheets>
    <sheet name="Forwards" sheetId="7" r:id="rId1"/>
    <sheet name="Posición Natural" sheetId="8" r:id="rId2"/>
    <sheet name="FRA" sheetId="9" r:id="rId3"/>
    <sheet name="IRS" sheetId="10" r:id="rId4"/>
    <sheet name="Curr Swap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8" i="11" l="1"/>
  <c r="N22" i="11" l="1"/>
  <c r="N23" i="11"/>
  <c r="N24" i="11"/>
  <c r="N21" i="11"/>
  <c r="N26" i="11" s="1"/>
  <c r="O22" i="11"/>
  <c r="O23" i="11"/>
  <c r="O24" i="11"/>
  <c r="O21" i="11"/>
  <c r="M22" i="11"/>
  <c r="M23" i="11"/>
  <c r="M24" i="11"/>
  <c r="M21" i="11"/>
  <c r="N13" i="11"/>
  <c r="N10" i="11"/>
  <c r="O13" i="11" s="1"/>
  <c r="M4" i="11"/>
  <c r="J29" i="10"/>
  <c r="J18" i="10"/>
  <c r="I21" i="10"/>
  <c r="I27" i="10" s="1"/>
  <c r="K25" i="10"/>
  <c r="K26" i="10"/>
  <c r="K27" i="10"/>
  <c r="K24" i="10"/>
  <c r="H25" i="10"/>
  <c r="H26" i="10"/>
  <c r="H27" i="10"/>
  <c r="H24" i="10"/>
  <c r="J24" i="10"/>
  <c r="I19" i="10"/>
  <c r="I25" i="10" s="1"/>
  <c r="I20" i="10"/>
  <c r="I26" i="10" s="1"/>
  <c r="I18" i="10"/>
  <c r="I24" i="10" s="1"/>
  <c r="I29" i="10" s="1"/>
  <c r="I15" i="10"/>
  <c r="H11" i="10"/>
  <c r="H12" i="10"/>
  <c r="H13" i="10"/>
  <c r="H10" i="10"/>
  <c r="I11" i="9"/>
  <c r="I9" i="9"/>
  <c r="D13" i="8"/>
  <c r="C13" i="8"/>
  <c r="D12" i="8"/>
  <c r="D15" i="8" s="1"/>
  <c r="C12" i="8"/>
  <c r="C15" i="8" s="1"/>
  <c r="C8" i="8"/>
  <c r="D11" i="8"/>
  <c r="I31" i="10" l="1"/>
  <c r="I30" i="10"/>
  <c r="O14" i="11"/>
  <c r="O26" i="11"/>
  <c r="N27" i="11" s="1"/>
  <c r="O15" i="11"/>
  <c r="O16" i="11"/>
  <c r="E11" i="8"/>
  <c r="D10" i="7"/>
  <c r="D11" i="7" s="1"/>
  <c r="D8" i="7"/>
  <c r="E13" i="8" l="1"/>
  <c r="E12" i="8"/>
  <c r="E15" i="8" s="1"/>
  <c r="F11" i="8"/>
  <c r="D13" i="7"/>
  <c r="F12" i="8" l="1"/>
  <c r="F13" i="8"/>
  <c r="G11" i="8"/>
  <c r="G13" i="8" l="1"/>
  <c r="G12" i="8"/>
  <c r="G15" i="8" s="1"/>
  <c r="F15" i="8"/>
  <c r="H11" i="8"/>
  <c r="H13" i="8" l="1"/>
  <c r="H12" i="8"/>
  <c r="H15" i="8" s="1"/>
  <c r="I11" i="8"/>
  <c r="I13" i="8" l="1"/>
  <c r="I12" i="8"/>
  <c r="I15" i="8" s="1"/>
  <c r="J11" i="8"/>
  <c r="J12" i="8" l="1"/>
  <c r="J13" i="8"/>
  <c r="K11" i="8"/>
  <c r="K13" i="8" l="1"/>
  <c r="K12" i="8"/>
  <c r="K15" i="8" s="1"/>
  <c r="J15" i="8"/>
</calcChain>
</file>

<file path=xl/sharedStrings.xml><?xml version="1.0" encoding="utf-8"?>
<sst xmlns="http://schemas.openxmlformats.org/spreadsheetml/2006/main" count="196" uniqueCount="89">
  <si>
    <t>LIBOR en t = 0</t>
  </si>
  <si>
    <t>EURIBOR en t = 0</t>
  </si>
  <si>
    <t>Plazo</t>
  </si>
  <si>
    <t>t</t>
  </si>
  <si>
    <t>Bloomberg Ticker</t>
  </si>
  <si>
    <t>Tasa</t>
  </si>
  <si>
    <t>1D</t>
  </si>
  <si>
    <t>US00O/N Index</t>
  </si>
  <si>
    <t>EE00O/N Index</t>
  </si>
  <si>
    <t>1W</t>
  </si>
  <si>
    <t>US0001W Index</t>
  </si>
  <si>
    <t>EUR001W Index</t>
  </si>
  <si>
    <t>1M</t>
  </si>
  <si>
    <t>US0001M Index</t>
  </si>
  <si>
    <t>EUR001M Index</t>
  </si>
  <si>
    <t>2M</t>
  </si>
  <si>
    <t>US0002M Index</t>
  </si>
  <si>
    <t>EUR002M Index</t>
  </si>
  <si>
    <t>3M</t>
  </si>
  <si>
    <t>US0003M Index</t>
  </si>
  <si>
    <t>EUR003M Index</t>
  </si>
  <si>
    <t>6M</t>
  </si>
  <si>
    <t>US0006M Index</t>
  </si>
  <si>
    <t>EUR006M Index</t>
  </si>
  <si>
    <t>9M</t>
  </si>
  <si>
    <t>*Interpolado</t>
  </si>
  <si>
    <t>EUR009M Index</t>
  </si>
  <si>
    <t>1Y</t>
  </si>
  <si>
    <t>US0012M Index</t>
  </si>
  <si>
    <t>EUR012M Index</t>
  </si>
  <si>
    <t>LIBOR en t = 20</t>
  </si>
  <si>
    <t>EURIBOR en t = 20</t>
  </si>
  <si>
    <t>70D</t>
  </si>
  <si>
    <t>*Interpolado*</t>
  </si>
  <si>
    <t>160D</t>
  </si>
  <si>
    <t>250D</t>
  </si>
  <si>
    <t>340D</t>
  </si>
  <si>
    <t>S_0</t>
  </si>
  <si>
    <t>Size</t>
  </si>
  <si>
    <t>Fecha de vcto</t>
  </si>
  <si>
    <t>r</t>
  </si>
  <si>
    <t>1)</t>
  </si>
  <si>
    <t>F(0,T)</t>
  </si>
  <si>
    <t>2)</t>
  </si>
  <si>
    <t>Fecha actual</t>
  </si>
  <si>
    <t>Plazo remanente</t>
  </si>
  <si>
    <t>S_90 dias</t>
  </si>
  <si>
    <t>V_t(0,T)</t>
  </si>
  <si>
    <t>Subyacente</t>
  </si>
  <si>
    <t>Petróleo</t>
  </si>
  <si>
    <t>u</t>
  </si>
  <si>
    <t>y</t>
  </si>
  <si>
    <t>T</t>
  </si>
  <si>
    <t>S_T</t>
  </si>
  <si>
    <t>Profit_Posición N corta</t>
  </si>
  <si>
    <t>Profit_fwd largo</t>
  </si>
  <si>
    <t>Profit_Posición N corta Cubierta</t>
  </si>
  <si>
    <t>FRA 3X6</t>
  </si>
  <si>
    <t>NOMINAL</t>
  </si>
  <si>
    <t>F(0,T1,T2)</t>
  </si>
  <si>
    <t>1 y 2)</t>
  </si>
  <si>
    <t>3)</t>
  </si>
  <si>
    <t>V_T</t>
  </si>
  <si>
    <t>Nominal</t>
  </si>
  <si>
    <t>f</t>
  </si>
  <si>
    <t>Comprar bono float</t>
  </si>
  <si>
    <t>Vender bono fijo</t>
  </si>
  <si>
    <t>Z</t>
  </si>
  <si>
    <t>S</t>
  </si>
  <si>
    <t>CF Pata fija</t>
  </si>
  <si>
    <t>CF Pata float</t>
  </si>
  <si>
    <t>4)</t>
  </si>
  <si>
    <t>Valor</t>
  </si>
  <si>
    <t>Valor IRS Pfijo</t>
  </si>
  <si>
    <t>Valor IRS Pfloat</t>
  </si>
  <si>
    <t>N USD</t>
  </si>
  <si>
    <t>N EUR</t>
  </si>
  <si>
    <t>EUR/USD</t>
  </si>
  <si>
    <t>Vende bono cupón fijo USD</t>
  </si>
  <si>
    <t>Compra bono cupón float EUR</t>
  </si>
  <si>
    <t>CF pata larga EUR</t>
  </si>
  <si>
    <t>CF pata corta USD</t>
  </si>
  <si>
    <t>Tasa Swap de NA en USD</t>
  </si>
  <si>
    <t>Z USD</t>
  </si>
  <si>
    <t>Z EUR</t>
  </si>
  <si>
    <t>Valor para A</t>
  </si>
  <si>
    <t>EUR/USD en t=20 días</t>
  </si>
  <si>
    <t>El valor es positivo porque la tasa forward de NA se redujo con el paso del tiempo porque la pendiente tiene pendiente positiva.</t>
  </si>
  <si>
    <t>Valor para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</si>
</sst>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0"/>
    <numFmt numFmtId="165" formatCode="_-[$$-409]* #,##0.00_ ;_-[$$-409]* \-#,##0.00\ ;_-[$$-409]* &quot;-&quot;??_ ;_-@_ "/>
    <numFmt numFmtId="166" formatCode="0.0000%"/>
    <numFmt numFmtId="167" formatCode="_-[$$-2C0A]\ * #,##0.00_-;\-[$$-2C0A]\ * #,##0.00_-;_-[$$-2C0A]\ * &quot;-&quot;??_-;_-@_-"/>
    <numFmt numFmtId="168" formatCode="0.0000"/>
    <numFmt numFmtId="169" formatCode="_-[$$-2C0A]\ * #,##0_-;\-[$$-2C0A]\ * #,##0_-;_-[$$-2C0A]\ * &quot;-&quot;??_-;_-@_-"/>
    <numFmt numFmtId="170" formatCode="0.000%"/>
    <numFmt numFmtId="171" formatCode="_-[$€-2]\ * #,##0.00_-;\-[$€-2]\ * #,##0.00_-;_-[$€-2]\ * &quot;-&quot;??_-;_-@_-"/>
    <numFmt numFmtId="172" formatCode="0.00000"/>
    <numFmt numFmtId="173" formatCode="_-[$€-2]\ * #,##0_-;\-[$€-2]\ * #,##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">
    <xf numFmtId="0" fontId="0" fillId="0" borderId="0" xfId="0"/>
    <xf numFmtId="0" fontId="2" fillId="2" borderId="0" xfId="0" applyFont="1" applyFill="1" applyAlignment="1">
      <alignment horizontal="center"/>
    </xf>
    <xf numFmtId="9" fontId="0" fillId="0" borderId="0" xfId="2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0" fillId="0" borderId="0" xfId="2" applyNumberFormat="1" applyFont="1" applyFill="1" applyAlignment="1">
      <alignment horizontal="center"/>
    </xf>
    <xf numFmtId="166" fontId="0" fillId="0" borderId="0" xfId="2" applyNumberFormat="1" applyFont="1" applyFill="1"/>
    <xf numFmtId="167" fontId="0" fillId="0" borderId="0" xfId="0" applyNumberFormat="1"/>
    <xf numFmtId="15" fontId="0" fillId="0" borderId="0" xfId="0" applyNumberFormat="1"/>
    <xf numFmtId="10" fontId="0" fillId="0" borderId="0" xfId="0" applyNumberFormat="1"/>
    <xf numFmtId="14" fontId="0" fillId="0" borderId="0" xfId="0" applyNumberFormat="1"/>
    <xf numFmtId="168" fontId="0" fillId="0" borderId="0" xfId="0" applyNumberFormat="1"/>
    <xf numFmtId="167" fontId="0" fillId="0" borderId="0" xfId="2" applyNumberFormat="1" applyFont="1"/>
    <xf numFmtId="1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5" fontId="0" fillId="3" borderId="0" xfId="0" applyNumberForma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6" fontId="0" fillId="3" borderId="0" xfId="2" applyNumberFormat="1" applyFont="1" applyFill="1" applyAlignment="1">
      <alignment horizontal="center"/>
    </xf>
    <xf numFmtId="169" fontId="0" fillId="0" borderId="0" xfId="0" applyNumberFormat="1"/>
    <xf numFmtId="166" fontId="0" fillId="0" borderId="0" xfId="2" applyNumberFormat="1" applyFont="1"/>
    <xf numFmtId="171" fontId="0" fillId="0" borderId="0" xfId="0" applyNumberFormat="1"/>
    <xf numFmtId="166" fontId="0" fillId="4" borderId="0" xfId="2" applyNumberFormat="1" applyFont="1" applyFill="1" applyAlignment="1">
      <alignment horizontal="center"/>
    </xf>
    <xf numFmtId="166" fontId="0" fillId="5" borderId="0" xfId="2" applyNumberFormat="1" applyFont="1" applyFill="1"/>
    <xf numFmtId="0" fontId="3" fillId="0" borderId="0" xfId="0" applyFont="1" applyFill="1"/>
    <xf numFmtId="0" fontId="3" fillId="0" borderId="0" xfId="0" applyFont="1"/>
    <xf numFmtId="166" fontId="3" fillId="0" borderId="0" xfId="0" applyNumberFormat="1" applyFont="1" applyFill="1"/>
    <xf numFmtId="169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72" fontId="3" fillId="0" borderId="0" xfId="0" applyNumberFormat="1" applyFont="1" applyFill="1" applyAlignment="1">
      <alignment horizontal="center"/>
    </xf>
    <xf numFmtId="170" fontId="3" fillId="0" borderId="0" xfId="2" applyNumberFormat="1" applyFont="1" applyFill="1"/>
    <xf numFmtId="0" fontId="3" fillId="0" borderId="0" xfId="0" applyNumberFormat="1" applyFont="1" applyFill="1" applyAlignment="1">
      <alignment horizontal="center"/>
    </xf>
    <xf numFmtId="173" fontId="0" fillId="0" borderId="0" xfId="0" applyNumberFormat="1"/>
    <xf numFmtId="165" fontId="0" fillId="0" borderId="0" xfId="3" applyNumberFormat="1" applyFont="1"/>
    <xf numFmtId="16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6" fontId="3" fillId="0" borderId="0" xfId="2" applyNumberFormat="1" applyFont="1" applyFill="1" applyAlignment="1">
      <alignment horizontal="center"/>
    </xf>
    <xf numFmtId="165" fontId="0" fillId="0" borderId="0" xfId="0" applyNumberFormat="1"/>
    <xf numFmtId="165" fontId="2" fillId="2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437536</xdr:colOff>
      <xdr:row>0</xdr:row>
      <xdr:rowOff>89121</xdr:rowOff>
    </xdr:from>
    <xdr:to>
      <xdr:col>13</xdr:col>
      <xdr:colOff>261761</xdr:colOff>
      <xdr:row>15</xdr:row>
      <xdr:rowOff>15500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704625-B2A5-4CBC-BDDF-32329B19C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5636" y="89121"/>
          <a:ext cx="4701025" cy="2669579"/>
        </a:xfrm>
        <a:prstGeom prst="rect">
          <a:avLst/>
        </a:prstGeom>
      </xdr:spPr>
    </xdr:pic>
    <xdr:clientData/>
  </xdr:twoCellAnchor>
  <xdr:twoCellAnchor editAs="oneCell">
    <xdr:from>
      <xdr:col>9</xdr:col>
      <xdr:colOff>340361</xdr:colOff>
      <xdr:row>15</xdr:row>
      <xdr:rowOff>89673</xdr:rowOff>
    </xdr:from>
    <xdr:to>
      <xdr:col>13</xdr:col>
      <xdr:colOff>578151</xdr:colOff>
      <xdr:row>19</xdr:row>
      <xdr:rowOff>31693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820AFB-B92C-4111-8BB0-AFAEF9B68D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6861" y="2832873"/>
          <a:ext cx="2676190" cy="673540"/>
        </a:xfrm>
        <a:prstGeom prst="rect">
          <a:avLst/>
        </a:prstGeom>
      </xdr:spPr>
    </xdr:pic>
    <xdr:clientData/>
  </xdr:twoCellAnchor>
  <xdr:twoCellAnchor editAs="oneCell">
    <xdr:from>
      <xdr:col>5</xdr:col>
      <xdr:colOff>569843</xdr:colOff>
      <xdr:row>15</xdr:row>
      <xdr:rowOff>132521</xdr:rowOff>
    </xdr:from>
    <xdr:to>
      <xdr:col>9</xdr:col>
      <xdr:colOff>207633</xdr:colOff>
      <xdr:row>18</xdr:row>
      <xdr:rowOff>118787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6DB3C3-9686-4DB1-8EC4-C20816736A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17943" y="2875721"/>
          <a:ext cx="2076190" cy="5349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383540</xdr:colOff>
      <xdr:row>1</xdr:row>
      <xdr:rowOff>68580</xdr:rowOff>
    </xdr:from>
    <xdr:to>
      <xdr:col>13</xdr:col>
      <xdr:colOff>487921</xdr:colOff>
      <xdr:row>6</xdr:row>
      <xdr:rowOff>144656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8EB9A8-3638-4DEE-A37C-9EC3A59BC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0190" y="252730"/>
          <a:ext cx="3152381" cy="996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161290</xdr:colOff>
      <xdr:row>1</xdr:row>
      <xdr:rowOff>129540</xdr:rowOff>
    </xdr:from>
    <xdr:to>
      <xdr:col>23</xdr:col>
      <xdr:colOff>145755</xdr:colOff>
      <xdr:row>18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BC1635-CF64-49E5-99B3-751B32BB8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26470" y="312420"/>
          <a:ext cx="3032465" cy="3154680"/>
        </a:xfrm>
        <a:prstGeom prst="rect">
          <a:avLst/>
        </a:prstGeom>
      </xdr:spPr>
    </xdr:pic>
    <xdr:clientData/>
  </xdr:twoCellAnchor>
  <xdr:twoCellAnchor editAs="oneCell">
    <xdr:from>
      <xdr:col>6</xdr:col>
      <xdr:colOff>325120</xdr:colOff>
      <xdr:row>13</xdr:row>
      <xdr:rowOff>119380</xdr:rowOff>
    </xdr:from>
    <xdr:to>
      <xdr:col>11</xdr:col>
      <xdr:colOff>12700</xdr:colOff>
      <xdr:row>17</xdr:row>
      <xdr:rowOff>94565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864B0A-692B-49B7-8222-F8F72117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48380" y="2496820"/>
          <a:ext cx="3131820" cy="706705"/>
        </a:xfrm>
        <a:prstGeom prst="rect">
          <a:avLst/>
        </a:prstGeom>
      </xdr:spPr>
    </xdr:pic>
    <xdr:clientData/>
  </xdr:twoCellAnchor>
  <xdr:twoCellAnchor editAs="oneCell">
    <xdr:from>
      <xdr:col>6</xdr:col>
      <xdr:colOff>267970</xdr:colOff>
      <xdr:row>18</xdr:row>
      <xdr:rowOff>89175</xdr:rowOff>
    </xdr:from>
    <xdr:to>
      <xdr:col>13</xdr:col>
      <xdr:colOff>540194</xdr:colOff>
      <xdr:row>22</xdr:row>
      <xdr:rowOff>66807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667BAE-CA2E-404F-9FE6-3FAAE62DB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1230" y="3381015"/>
          <a:ext cx="4966144" cy="7091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548640</xdr:colOff>
      <xdr:row>1</xdr:row>
      <xdr:rowOff>158454</xdr:rowOff>
    </xdr:from>
    <xdr:to>
      <xdr:col>16</xdr:col>
      <xdr:colOff>266699</xdr:colOff>
      <xdr:row>15</xdr:row>
      <xdr:rowOff>144009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1AB7D-F7D5-43EC-B964-4AC250E58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93695" y="341125"/>
          <a:ext cx="2771278" cy="254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316308</xdr:colOff>
      <xdr:row>16</xdr:row>
      <xdr:rowOff>158143</xdr:rowOff>
    </xdr:from>
    <xdr:to>
      <xdr:col>16</xdr:col>
      <xdr:colOff>4815</xdr:colOff>
      <xdr:row>25</xdr:row>
      <xdr:rowOff>131204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66E1D1-A507-409E-822C-537294D5B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26" y="3080883"/>
          <a:ext cx="2741726" cy="1617102"/>
        </a:xfrm>
        <a:prstGeom prst="rect">
          <a:avLst/>
        </a:prstGeom>
      </xdr:spPr>
    </xdr:pic>
    <xdr:clientData/>
  </xdr:twoCellAnchor>
  <xdr:twoCellAnchor editAs="oneCell">
    <xdr:from>
      <xdr:col>18</xdr:col>
      <xdr:colOff>533400</xdr:colOff>
      <xdr:row>4</xdr:row>
      <xdr:rowOff>68580</xdr:rowOff>
    </xdr:from>
    <xdr:to>
      <xdr:col>23</xdr:col>
      <xdr:colOff>123495</xdr:colOff>
      <xdr:row>9</xdr:row>
      <xdr:rowOff>1799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C9107A5-B5EA-47E4-9276-C5F7712745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7600" y="800100"/>
          <a:ext cx="2638095" cy="8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601980</xdr:colOff>
      <xdr:row>15</xdr:row>
      <xdr:rowOff>160020</xdr:rowOff>
    </xdr:from>
    <xdr:to>
      <xdr:col>27</xdr:col>
      <xdr:colOff>172724</xdr:colOff>
      <xdr:row>19</xdr:row>
      <xdr:rowOff>95167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41388E-198A-4A25-9EF6-128DC3516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346180" y="2903220"/>
          <a:ext cx="5057143" cy="6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237876</xdr:colOff>
      <xdr:row>0</xdr:row>
      <xdr:rowOff>99060</xdr:rowOff>
    </xdr:from>
    <xdr:to>
      <xdr:col>24</xdr:col>
      <xdr:colOff>129309</xdr:colOff>
      <xdr:row>9</xdr:row>
      <xdr:rowOff>43559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C09FD-18BC-42B0-8960-F4E15C460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7236" y="99060"/>
          <a:ext cx="5377833" cy="1590419"/>
        </a:xfrm>
        <a:prstGeom prst="rect">
          <a:avLst/>
        </a:prstGeom>
      </xdr:spPr>
    </xdr:pic>
    <xdr:clientData/>
  </xdr:twoCellAnchor>
  <xdr:twoCellAnchor editAs="oneCell">
    <xdr:from>
      <xdr:col>15</xdr:col>
      <xdr:colOff>396240</xdr:colOff>
      <xdr:row>9</xdr:row>
      <xdr:rowOff>37224</xdr:rowOff>
    </xdr:from>
    <xdr:to>
      <xdr:col>24</xdr:col>
      <xdr:colOff>220980</xdr:colOff>
      <xdr:row>14</xdr:row>
      <xdr:rowOff>121877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A33BE00-664D-4D01-9964-85C58EA8F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92840" y="1683144"/>
          <a:ext cx="5311140" cy="999053"/>
        </a:xfrm>
        <a:prstGeom prst="rect">
          <a:avLst/>
        </a:prstGeom>
      </xdr:spPr>
    </xdr:pic>
    <xdr:clientData/>
  </xdr:twoCellAnchor>
  <xdr:twoCellAnchor editAs="oneCell">
    <xdr:from>
      <xdr:col>16</xdr:col>
      <xdr:colOff>192293</xdr:colOff>
      <xdr:row>15</xdr:row>
      <xdr:rowOff>40341</xdr:rowOff>
    </xdr:from>
    <xdr:to>
      <xdr:col>20</xdr:col>
      <xdr:colOff>391988</xdr:colOff>
      <xdr:row>19</xdr:row>
      <xdr:rowOff>152854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BBE02C-3816-4518-944F-FABA3E284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7446" y="2729753"/>
          <a:ext cx="2638095" cy="829689"/>
        </a:xfrm>
        <a:prstGeom prst="rect">
          <a:avLst/>
        </a:prstGeom>
      </xdr:spPr>
    </xdr:pic>
    <xdr:clientData/>
  </xdr:twoCellAnchor>
  <xdr:twoCellAnchor editAs="oneCell">
    <xdr:from>
      <xdr:col>16</xdr:col>
      <xdr:colOff>161365</xdr:colOff>
      <xdr:row>20</xdr:row>
      <xdr:rowOff>4930</xdr:rowOff>
    </xdr:from>
    <xdr:to>
      <xdr:col>24</xdr:col>
      <xdr:colOff>341708</xdr:colOff>
      <xdr:row>23</xdr:row>
      <xdr:rowOff>122957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D631D0-6AD5-4403-A6FD-B8D6A1927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06518" y="3590812"/>
          <a:ext cx="5057143" cy="655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F52C-F8AF-4DF0-93C3-1D97F056DCE6}">
  <dimension ref="B2:D13"/>
  <sheetViews>
    <sheetView workbookViewId="0">
      <selection activeCell="D14" sqref="D14"/>
    </sheetView>
  </sheetViews>
  <sheetFormatPr defaultRowHeight="14.4" x14ac:dyDescent="0.3"/>
  <cols>
    <col min="2" max="2" width="12.44140625" style="15" bestFit="1" customWidth="1"/>
    <col min="3" max="3" width="15.109375" bestFit="1" customWidth="1"/>
    <col min="4" max="4" width="10.77734375" bestFit="1" customWidth="1"/>
  </cols>
  <sheetData>
    <row r="2" spans="2:4" x14ac:dyDescent="0.3">
      <c r="B2" s="15" t="s">
        <v>37</v>
      </c>
      <c r="C2" s="6">
        <v>1763</v>
      </c>
    </row>
    <row r="3" spans="2:4" x14ac:dyDescent="0.3">
      <c r="B3" s="15" t="s">
        <v>38</v>
      </c>
      <c r="C3">
        <v>2000</v>
      </c>
    </row>
    <row r="4" spans="2:4" x14ac:dyDescent="0.3">
      <c r="B4" s="15" t="s">
        <v>39</v>
      </c>
      <c r="C4" s="7">
        <v>44371</v>
      </c>
    </row>
    <row r="5" spans="2:4" x14ac:dyDescent="0.3">
      <c r="B5" s="15" t="s">
        <v>2</v>
      </c>
      <c r="C5">
        <v>1</v>
      </c>
    </row>
    <row r="6" spans="2:4" x14ac:dyDescent="0.3">
      <c r="B6" s="15" t="s">
        <v>40</v>
      </c>
      <c r="C6" s="8">
        <v>1.4999999999999999E-2</v>
      </c>
    </row>
    <row r="8" spans="2:4" x14ac:dyDescent="0.3">
      <c r="B8" s="15" t="s">
        <v>41</v>
      </c>
      <c r="C8" t="s">
        <v>42</v>
      </c>
      <c r="D8" s="6">
        <f>+C2*(1+C6)^C5</f>
        <v>1789.4449999999999</v>
      </c>
    </row>
    <row r="10" spans="2:4" x14ac:dyDescent="0.3">
      <c r="B10" s="15" t="s">
        <v>43</v>
      </c>
      <c r="C10" t="s">
        <v>44</v>
      </c>
      <c r="D10" s="9">
        <f ca="1">+TODAY()+90</f>
        <v>44101</v>
      </c>
    </row>
    <row r="11" spans="2:4" x14ac:dyDescent="0.3">
      <c r="C11" t="s">
        <v>45</v>
      </c>
      <c r="D11" s="10">
        <f ca="1">+(C4-D10)/365</f>
        <v>0.73972602739726023</v>
      </c>
    </row>
    <row r="12" spans="2:4" x14ac:dyDescent="0.3">
      <c r="C12" t="s">
        <v>46</v>
      </c>
      <c r="D12" s="6">
        <v>1763</v>
      </c>
    </row>
    <row r="13" spans="2:4" x14ac:dyDescent="0.3">
      <c r="C13" t="s">
        <v>47</v>
      </c>
      <c r="D13" s="6">
        <f ca="1">+D12-D8/(1+C6)^D11</f>
        <v>-6.8450877954401221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1B86-C741-4DAF-89E2-520E9CEEDBC5}">
  <dimension ref="B2:K15"/>
  <sheetViews>
    <sheetView zoomScale="120" zoomScaleNormal="120" workbookViewId="0">
      <selection activeCell="B18" sqref="B18"/>
    </sheetView>
  </sheetViews>
  <sheetFormatPr defaultRowHeight="14.4" x14ac:dyDescent="0.3"/>
  <cols>
    <col min="2" max="2" width="28.44140625" style="15" bestFit="1" customWidth="1"/>
  </cols>
  <sheetData>
    <row r="2" spans="2:11" x14ac:dyDescent="0.3">
      <c r="B2" s="15" t="s">
        <v>48</v>
      </c>
      <c r="C2" t="s">
        <v>49</v>
      </c>
    </row>
    <row r="3" spans="2:11" x14ac:dyDescent="0.3">
      <c r="B3" s="15" t="s">
        <v>37</v>
      </c>
      <c r="C3" s="11">
        <v>37</v>
      </c>
    </row>
    <row r="4" spans="2:11" x14ac:dyDescent="0.3">
      <c r="B4" s="15" t="s">
        <v>40</v>
      </c>
      <c r="C4" s="8">
        <v>1.4999999999999999E-2</v>
      </c>
    </row>
    <row r="5" spans="2:11" x14ac:dyDescent="0.3">
      <c r="B5" s="15" t="s">
        <v>50</v>
      </c>
      <c r="C5" s="8">
        <v>0.01</v>
      </c>
    </row>
    <row r="6" spans="2:11" x14ac:dyDescent="0.3">
      <c r="B6" s="15" t="s">
        <v>51</v>
      </c>
      <c r="C6" s="8">
        <v>2E-3</v>
      </c>
    </row>
    <row r="7" spans="2:11" x14ac:dyDescent="0.3">
      <c r="B7" s="15" t="s">
        <v>52</v>
      </c>
      <c r="C7">
        <v>0.25</v>
      </c>
    </row>
    <row r="8" spans="2:11" x14ac:dyDescent="0.3">
      <c r="B8" s="15" t="s">
        <v>42</v>
      </c>
      <c r="C8" s="11">
        <f>+C3*((1+C4)*(1+C5)/(1+C6))^C7</f>
        <v>37.211883076692423</v>
      </c>
    </row>
    <row r="9" spans="2:11" x14ac:dyDescent="0.3">
      <c r="C9" s="11"/>
    </row>
    <row r="11" spans="2:11" x14ac:dyDescent="0.3">
      <c r="B11" s="1" t="s">
        <v>53</v>
      </c>
      <c r="C11" s="40">
        <v>33</v>
      </c>
      <c r="D11" s="40">
        <f>+C11+1</f>
        <v>34</v>
      </c>
      <c r="E11" s="40">
        <f t="shared" ref="E11:K11" si="0">+D11+1</f>
        <v>35</v>
      </c>
      <c r="F11" s="40">
        <f t="shared" si="0"/>
        <v>36</v>
      </c>
      <c r="G11" s="40">
        <f t="shared" si="0"/>
        <v>37</v>
      </c>
      <c r="H11" s="40">
        <f t="shared" si="0"/>
        <v>38</v>
      </c>
      <c r="I11" s="40">
        <f t="shared" si="0"/>
        <v>39</v>
      </c>
      <c r="J11" s="40">
        <f t="shared" si="0"/>
        <v>40</v>
      </c>
      <c r="K11" s="40">
        <f t="shared" si="0"/>
        <v>41</v>
      </c>
    </row>
    <row r="12" spans="2:11" x14ac:dyDescent="0.3">
      <c r="B12" s="15" t="s">
        <v>54</v>
      </c>
      <c r="C12" s="6">
        <f>-C11+$C$3</f>
        <v>4</v>
      </c>
      <c r="D12" s="6">
        <f t="shared" ref="D12:K12" si="1">-D11+$C$3</f>
        <v>3</v>
      </c>
      <c r="E12" s="6">
        <f t="shared" si="1"/>
        <v>2</v>
      </c>
      <c r="F12" s="6">
        <f t="shared" si="1"/>
        <v>1</v>
      </c>
      <c r="G12" s="6">
        <f t="shared" si="1"/>
        <v>0</v>
      </c>
      <c r="H12" s="6">
        <f t="shared" si="1"/>
        <v>-1</v>
      </c>
      <c r="I12" s="6">
        <f t="shared" si="1"/>
        <v>-2</v>
      </c>
      <c r="J12" s="6">
        <f t="shared" si="1"/>
        <v>-3</v>
      </c>
      <c r="K12" s="6">
        <f t="shared" si="1"/>
        <v>-4</v>
      </c>
    </row>
    <row r="13" spans="2:11" x14ac:dyDescent="0.3">
      <c r="B13" s="15" t="s">
        <v>55</v>
      </c>
      <c r="C13" s="6">
        <f>+C11-$C$8</f>
        <v>-4.2118830766924233</v>
      </c>
      <c r="D13" s="6">
        <f t="shared" ref="D13:K13" si="2">+D11-$C$8</f>
        <v>-3.2118830766924233</v>
      </c>
      <c r="E13" s="6">
        <f t="shared" si="2"/>
        <v>-2.2118830766924233</v>
      </c>
      <c r="F13" s="6">
        <f t="shared" si="2"/>
        <v>-1.2118830766924233</v>
      </c>
      <c r="G13" s="6">
        <f t="shared" si="2"/>
        <v>-0.21188307669242334</v>
      </c>
      <c r="H13" s="6">
        <f t="shared" si="2"/>
        <v>0.78811692330757666</v>
      </c>
      <c r="I13" s="6">
        <f t="shared" si="2"/>
        <v>1.7881169233075767</v>
      </c>
      <c r="J13" s="6">
        <f t="shared" si="2"/>
        <v>2.7881169233075767</v>
      </c>
      <c r="K13" s="6">
        <f t="shared" si="2"/>
        <v>3.7881169233075767</v>
      </c>
    </row>
    <row r="15" spans="2:11" x14ac:dyDescent="0.3">
      <c r="B15" s="15" t="s">
        <v>56</v>
      </c>
      <c r="C15" s="6">
        <f>+C12+C13</f>
        <v>-0.21188307669242334</v>
      </c>
      <c r="D15" s="6">
        <f t="shared" ref="D15:K15" si="3">+D12+D13</f>
        <v>-0.21188307669242334</v>
      </c>
      <c r="E15" s="6">
        <f t="shared" si="3"/>
        <v>-0.21188307669242334</v>
      </c>
      <c r="F15" s="6">
        <f t="shared" si="3"/>
        <v>-0.21188307669242334</v>
      </c>
      <c r="G15" s="6">
        <f t="shared" si="3"/>
        <v>-0.21188307669242334</v>
      </c>
      <c r="H15" s="6">
        <f t="shared" si="3"/>
        <v>-0.21188307669242334</v>
      </c>
      <c r="I15" s="6">
        <f t="shared" si="3"/>
        <v>-0.21188307669242334</v>
      </c>
      <c r="J15" s="6">
        <f t="shared" si="3"/>
        <v>-0.21188307669242334</v>
      </c>
      <c r="K15" s="6">
        <f t="shared" si="3"/>
        <v>-0.21188307669242334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0F686-5719-497E-8066-8149AB48E006}">
  <dimension ref="B3:I16"/>
  <sheetViews>
    <sheetView zoomScaleNormal="100" workbookViewId="0">
      <selection activeCell="E16" sqref="E16"/>
    </sheetView>
  </sheetViews>
  <sheetFormatPr defaultRowHeight="14.4" x14ac:dyDescent="0.3"/>
  <cols>
    <col min="1" max="1" width="4.77734375" customWidth="1"/>
    <col min="2" max="3" width="6.6640625" style="15" customWidth="1"/>
    <col min="4" max="4" width="15.44140625" style="15" customWidth="1"/>
    <col min="5" max="5" width="9.33203125" style="2" customWidth="1"/>
    <col min="6" max="6" width="4.88671875" style="2" customWidth="1"/>
    <col min="7" max="7" width="8.88671875" style="15"/>
    <col min="8" max="8" width="9.21875" bestFit="1" customWidth="1"/>
    <col min="9" max="9" width="14.33203125" bestFit="1" customWidth="1"/>
    <col min="13" max="13" width="9.33203125" bestFit="1" customWidth="1"/>
  </cols>
  <sheetData>
    <row r="3" spans="2:9" x14ac:dyDescent="0.3">
      <c r="F3" s="15"/>
    </row>
    <row r="4" spans="2:9" x14ac:dyDescent="0.3">
      <c r="B4" s="37" t="s">
        <v>0</v>
      </c>
      <c r="C4" s="37"/>
      <c r="D4" s="37"/>
      <c r="E4" s="37"/>
      <c r="F4" s="15"/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  <c r="F5" s="15"/>
    </row>
    <row r="6" spans="2:9" x14ac:dyDescent="0.3">
      <c r="B6" s="16" t="s">
        <v>6</v>
      </c>
      <c r="C6" s="42">
        <v>2.7777777777777779E-3</v>
      </c>
      <c r="D6" s="17" t="s">
        <v>7</v>
      </c>
      <c r="E6" s="18">
        <v>7.0999999999999991E-4</v>
      </c>
      <c r="F6" s="15"/>
      <c r="H6" t="s">
        <v>57</v>
      </c>
    </row>
    <row r="7" spans="2:9" x14ac:dyDescent="0.3">
      <c r="B7" s="16" t="s">
        <v>9</v>
      </c>
      <c r="C7" s="42">
        <v>1.9444444444444445E-2</v>
      </c>
      <c r="D7" s="17" t="s">
        <v>10</v>
      </c>
      <c r="E7" s="18">
        <v>1.09E-3</v>
      </c>
      <c r="F7" s="15"/>
      <c r="H7" t="s">
        <v>58</v>
      </c>
      <c r="I7" s="19">
        <v>1000000</v>
      </c>
    </row>
    <row r="8" spans="2:9" x14ac:dyDescent="0.3">
      <c r="B8" s="16" t="s">
        <v>12</v>
      </c>
      <c r="C8" s="42">
        <v>8.3333333333333329E-2</v>
      </c>
      <c r="D8" s="17" t="s">
        <v>13</v>
      </c>
      <c r="E8" s="18">
        <v>1.8500000000000001E-3</v>
      </c>
      <c r="F8" s="15"/>
    </row>
    <row r="9" spans="2:9" x14ac:dyDescent="0.3">
      <c r="B9" s="16" t="s">
        <v>15</v>
      </c>
      <c r="C9" s="42">
        <v>0.16666666666666666</v>
      </c>
      <c r="D9" s="17" t="s">
        <v>16</v>
      </c>
      <c r="E9" s="18">
        <v>2.5200000000000001E-3</v>
      </c>
      <c r="F9" s="15"/>
      <c r="G9" s="15" t="s">
        <v>60</v>
      </c>
      <c r="H9" t="s">
        <v>59</v>
      </c>
      <c r="I9" s="23">
        <f>+((1+E11*C11)/(1+E10*C10)-1)*(1/(C11-C10))</f>
        <v>4.68652025870675E-3</v>
      </c>
    </row>
    <row r="10" spans="2:9" x14ac:dyDescent="0.3">
      <c r="B10" s="12" t="s">
        <v>18</v>
      </c>
      <c r="C10" s="41">
        <v>0.25</v>
      </c>
      <c r="D10" s="14" t="s">
        <v>19</v>
      </c>
      <c r="E10" s="22">
        <v>2.97E-3</v>
      </c>
      <c r="F10" s="15"/>
    </row>
    <row r="11" spans="2:9" x14ac:dyDescent="0.3">
      <c r="B11" s="15" t="s">
        <v>21</v>
      </c>
      <c r="C11" s="41">
        <v>0.5</v>
      </c>
      <c r="D11" s="14" t="s">
        <v>22</v>
      </c>
      <c r="E11" s="4">
        <v>3.8300000000000001E-3</v>
      </c>
      <c r="F11" s="15"/>
      <c r="G11" s="15" t="s">
        <v>61</v>
      </c>
      <c r="H11" t="s">
        <v>62</v>
      </c>
      <c r="I11" s="6">
        <f>+-I7*(E10-I9)*(C11-C10)/(1+E10*C10)</f>
        <v>428.81167201021992</v>
      </c>
    </row>
    <row r="12" spans="2:9" x14ac:dyDescent="0.3">
      <c r="B12" s="15" t="s">
        <v>24</v>
      </c>
      <c r="C12" s="41">
        <v>0.75</v>
      </c>
      <c r="D12" s="14" t="s">
        <v>25</v>
      </c>
      <c r="E12" s="4">
        <v>4.7399999999999994E-3</v>
      </c>
      <c r="F12" s="15"/>
      <c r="H12" t="s">
        <v>87</v>
      </c>
    </row>
    <row r="13" spans="2:9" x14ac:dyDescent="0.3">
      <c r="B13" s="15" t="s">
        <v>27</v>
      </c>
      <c r="C13" s="41">
        <v>1</v>
      </c>
      <c r="D13" s="14" t="s">
        <v>28</v>
      </c>
      <c r="E13" s="4">
        <v>5.6499999999999996E-3</v>
      </c>
      <c r="F13" s="15"/>
    </row>
    <row r="14" spans="2:9" x14ac:dyDescent="0.3">
      <c r="B14" s="12"/>
      <c r="C14" s="13"/>
      <c r="D14" s="3"/>
      <c r="E14" s="4"/>
      <c r="F14" s="15"/>
    </row>
    <row r="15" spans="2:9" x14ac:dyDescent="0.3">
      <c r="F15" s="15"/>
    </row>
    <row r="16" spans="2:9" x14ac:dyDescent="0.3">
      <c r="F16" s="15"/>
    </row>
  </sheetData>
  <mergeCells count="1">
    <mergeCell ref="B4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DC4DC-0817-442B-9F0E-921023C19D4F}">
  <dimension ref="B2:O31"/>
  <sheetViews>
    <sheetView zoomScale="85" zoomScaleNormal="85" workbookViewId="0">
      <selection activeCell="D27" sqref="D27"/>
    </sheetView>
  </sheetViews>
  <sheetFormatPr defaultRowHeight="14.4" x14ac:dyDescent="0.3"/>
  <cols>
    <col min="2" max="3" width="6.6640625" style="15" customWidth="1"/>
    <col min="4" max="4" width="16.6640625" style="15" bestFit="1" customWidth="1"/>
    <col min="5" max="5" width="9.33203125" style="2" customWidth="1"/>
    <col min="6" max="6" width="3" customWidth="1"/>
    <col min="7" max="7" width="8.88671875" style="28"/>
    <col min="8" max="8" width="17.33203125" style="24" bestFit="1" customWidth="1"/>
    <col min="9" max="10" width="13.21875" style="24" bestFit="1" customWidth="1"/>
    <col min="11" max="14" width="8.88671875" style="24"/>
    <col min="15" max="15" width="8.88671875" style="25"/>
  </cols>
  <sheetData>
    <row r="2" spans="2:9" x14ac:dyDescent="0.3">
      <c r="G2" s="28" t="s">
        <v>63</v>
      </c>
      <c r="H2" s="27">
        <v>20000000</v>
      </c>
    </row>
    <row r="3" spans="2:9" x14ac:dyDescent="0.3">
      <c r="G3" s="28" t="s">
        <v>52</v>
      </c>
      <c r="H3" s="24">
        <v>1</v>
      </c>
    </row>
    <row r="4" spans="2:9" x14ac:dyDescent="0.3">
      <c r="B4" s="37" t="s">
        <v>0</v>
      </c>
      <c r="C4" s="37"/>
      <c r="D4" s="37"/>
      <c r="E4" s="37"/>
      <c r="G4" s="28" t="s">
        <v>64</v>
      </c>
      <c r="H4" s="24">
        <v>4</v>
      </c>
    </row>
    <row r="5" spans="2:9" x14ac:dyDescent="0.3">
      <c r="B5" s="1" t="s">
        <v>2</v>
      </c>
      <c r="C5" s="1" t="s">
        <v>3</v>
      </c>
      <c r="D5" s="1" t="s">
        <v>4</v>
      </c>
      <c r="E5" s="1" t="s">
        <v>5</v>
      </c>
    </row>
    <row r="6" spans="2:9" x14ac:dyDescent="0.3">
      <c r="B6" s="12" t="s">
        <v>6</v>
      </c>
      <c r="C6" s="41">
        <v>2.7777777777777779E-3</v>
      </c>
      <c r="D6" s="3" t="s">
        <v>7</v>
      </c>
      <c r="E6" s="4">
        <v>7.0999999999999991E-4</v>
      </c>
      <c r="F6" s="5"/>
      <c r="G6" s="38" t="s">
        <v>41</v>
      </c>
      <c r="H6" s="24" t="s">
        <v>65</v>
      </c>
    </row>
    <row r="7" spans="2:9" x14ac:dyDescent="0.3">
      <c r="B7" s="12" t="s">
        <v>9</v>
      </c>
      <c r="C7" s="41">
        <v>1.9444444444444445E-2</v>
      </c>
      <c r="D7" s="3" t="s">
        <v>10</v>
      </c>
      <c r="E7" s="4">
        <v>1.09E-3</v>
      </c>
      <c r="F7" s="5"/>
      <c r="G7" s="38"/>
      <c r="H7" s="24" t="s">
        <v>66</v>
      </c>
    </row>
    <row r="8" spans="2:9" x14ac:dyDescent="0.3">
      <c r="B8" s="12" t="s">
        <v>12</v>
      </c>
      <c r="C8" s="41">
        <v>8.3333333333333329E-2</v>
      </c>
      <c r="D8" s="3" t="s">
        <v>13</v>
      </c>
      <c r="E8" s="4">
        <v>1.8500000000000001E-3</v>
      </c>
      <c r="F8" s="5"/>
      <c r="G8" s="38"/>
    </row>
    <row r="9" spans="2:9" x14ac:dyDescent="0.3">
      <c r="B9" s="12" t="s">
        <v>15</v>
      </c>
      <c r="C9" s="41">
        <v>0.16666666666666666</v>
      </c>
      <c r="D9" s="3" t="s">
        <v>16</v>
      </c>
      <c r="E9" s="4">
        <v>2.5200000000000001E-3</v>
      </c>
      <c r="F9" s="5"/>
      <c r="G9" s="38" t="s">
        <v>43</v>
      </c>
      <c r="H9" s="1" t="s">
        <v>67</v>
      </c>
    </row>
    <row r="10" spans="2:9" x14ac:dyDescent="0.3">
      <c r="B10" s="12" t="s">
        <v>18</v>
      </c>
      <c r="C10" s="41">
        <v>0.25</v>
      </c>
      <c r="D10" s="14" t="s">
        <v>19</v>
      </c>
      <c r="E10" s="4">
        <v>2.97E-3</v>
      </c>
      <c r="F10" s="5"/>
      <c r="G10" s="38"/>
      <c r="H10" s="30">
        <f>1/(1+C10*E10)</f>
        <v>0.99925805089720876</v>
      </c>
    </row>
    <row r="11" spans="2:9" x14ac:dyDescent="0.3">
      <c r="B11" s="15" t="s">
        <v>21</v>
      </c>
      <c r="C11" s="41">
        <v>0.5</v>
      </c>
      <c r="D11" s="14" t="s">
        <v>22</v>
      </c>
      <c r="E11" s="4">
        <v>3.8300000000000001E-3</v>
      </c>
      <c r="F11" s="5"/>
      <c r="G11" s="38"/>
      <c r="H11" s="30">
        <f t="shared" ref="H11:H13" si="0">1/(1+C11*E11)</f>
        <v>0.9980886602156871</v>
      </c>
    </row>
    <row r="12" spans="2:9" x14ac:dyDescent="0.3">
      <c r="B12" s="15" t="s">
        <v>24</v>
      </c>
      <c r="C12" s="41">
        <v>0.75</v>
      </c>
      <c r="D12" s="14" t="s">
        <v>25</v>
      </c>
      <c r="E12" s="4">
        <v>4.7399999999999994E-3</v>
      </c>
      <c r="F12" s="5"/>
      <c r="G12" s="38"/>
      <c r="H12" s="30">
        <f t="shared" si="0"/>
        <v>0.99645759325597505</v>
      </c>
    </row>
    <row r="13" spans="2:9" x14ac:dyDescent="0.3">
      <c r="B13" s="15" t="s">
        <v>27</v>
      </c>
      <c r="C13" s="41">
        <v>1</v>
      </c>
      <c r="D13" s="14" t="s">
        <v>28</v>
      </c>
      <c r="E13" s="4">
        <v>5.6499999999999996E-3</v>
      </c>
      <c r="F13" s="5"/>
      <c r="G13" s="38"/>
      <c r="H13" s="30">
        <f t="shared" si="0"/>
        <v>0.99438174315119576</v>
      </c>
    </row>
    <row r="14" spans="2:9" x14ac:dyDescent="0.3">
      <c r="C14" s="13"/>
      <c r="D14" s="14"/>
      <c r="E14" s="4"/>
    </row>
    <row r="15" spans="2:9" x14ac:dyDescent="0.3">
      <c r="H15" s="28" t="s">
        <v>68</v>
      </c>
      <c r="I15" s="31">
        <f>+((1-H13)/SUM(H10:H13))*H4</f>
        <v>5.6348994574089949E-3</v>
      </c>
    </row>
    <row r="17" spans="2:11" x14ac:dyDescent="0.3">
      <c r="G17" s="28" t="s">
        <v>61</v>
      </c>
      <c r="H17" s="1" t="s">
        <v>3</v>
      </c>
      <c r="I17" s="1" t="s">
        <v>69</v>
      </c>
      <c r="J17" s="1" t="s">
        <v>70</v>
      </c>
    </row>
    <row r="18" spans="2:11" x14ac:dyDescent="0.3">
      <c r="B18" s="37" t="s">
        <v>30</v>
      </c>
      <c r="C18" s="37"/>
      <c r="D18" s="37"/>
      <c r="E18" s="37"/>
      <c r="H18" s="32">
        <v>0.25</v>
      </c>
      <c r="I18" s="27">
        <f>+$I$15*$H$2/$H$4</f>
        <v>28174.497287044975</v>
      </c>
      <c r="J18" s="27">
        <f>+E10*H2/H4+H2</f>
        <v>20014850</v>
      </c>
    </row>
    <row r="19" spans="2:11" x14ac:dyDescent="0.3">
      <c r="B19" s="1" t="s">
        <v>2</v>
      </c>
      <c r="C19" s="1" t="s">
        <v>3</v>
      </c>
      <c r="D19" s="1" t="s">
        <v>4</v>
      </c>
      <c r="E19" s="1" t="s">
        <v>5</v>
      </c>
      <c r="G19" s="38"/>
      <c r="H19" s="32">
        <v>0.5</v>
      </c>
      <c r="I19" s="27">
        <f>+$I$15*$H$2/$H$4</f>
        <v>28174.497287044975</v>
      </c>
    </row>
    <row r="20" spans="2:11" x14ac:dyDescent="0.3">
      <c r="B20" s="12" t="s">
        <v>32</v>
      </c>
      <c r="C20" s="41">
        <v>0.19444444444444445</v>
      </c>
      <c r="D20" s="3" t="s">
        <v>33</v>
      </c>
      <c r="E20" s="4">
        <v>2.3525563672255009E-3</v>
      </c>
      <c r="F20" s="5"/>
      <c r="G20" s="38"/>
      <c r="H20" s="32">
        <v>0.75</v>
      </c>
      <c r="I20" s="27">
        <f>+$I$15*$H$2/$H$4</f>
        <v>28174.497287044975</v>
      </c>
    </row>
    <row r="21" spans="2:11" x14ac:dyDescent="0.3">
      <c r="B21" s="12" t="s">
        <v>34</v>
      </c>
      <c r="C21" s="41">
        <v>0.44444444444444442</v>
      </c>
      <c r="D21" s="3" t="s">
        <v>33</v>
      </c>
      <c r="E21" s="4">
        <v>3.3787912830385799E-3</v>
      </c>
      <c r="F21" s="5"/>
      <c r="G21" s="38"/>
      <c r="H21" s="32">
        <v>1</v>
      </c>
      <c r="I21" s="27">
        <f>+$I$15*$H$2/$H$4+H2</f>
        <v>20028174.497287046</v>
      </c>
    </row>
    <row r="22" spans="2:11" x14ac:dyDescent="0.3">
      <c r="B22" s="12" t="s">
        <v>35</v>
      </c>
      <c r="C22" s="41">
        <v>0.69444444444444442</v>
      </c>
      <c r="D22" s="3" t="s">
        <v>33</v>
      </c>
      <c r="E22" s="4">
        <v>4.365204808306951E-3</v>
      </c>
      <c r="F22" s="5"/>
      <c r="G22" s="38"/>
      <c r="H22" s="26"/>
    </row>
    <row r="23" spans="2:11" x14ac:dyDescent="0.3">
      <c r="B23" s="12" t="s">
        <v>36</v>
      </c>
      <c r="C23" s="41">
        <v>0.94444444444444442</v>
      </c>
      <c r="D23" s="3" t="s">
        <v>33</v>
      </c>
      <c r="E23" s="4">
        <v>4.9727725051572098E-3</v>
      </c>
      <c r="F23" s="5"/>
      <c r="G23" s="38" t="s">
        <v>71</v>
      </c>
      <c r="H23" s="1" t="s">
        <v>3</v>
      </c>
      <c r="I23" s="1" t="s">
        <v>69</v>
      </c>
      <c r="J23" s="1" t="s">
        <v>70</v>
      </c>
      <c r="K23" s="1" t="s">
        <v>67</v>
      </c>
    </row>
    <row r="24" spans="2:11" x14ac:dyDescent="0.3">
      <c r="B24" s="12"/>
      <c r="C24" s="13"/>
      <c r="D24" s="3"/>
      <c r="E24" s="4"/>
      <c r="F24" s="5"/>
      <c r="G24" s="38"/>
      <c r="H24" s="29">
        <f>+C20</f>
        <v>0.19444444444444445</v>
      </c>
      <c r="I24" s="27">
        <f>+I18</f>
        <v>28174.497287044975</v>
      </c>
      <c r="J24" s="27">
        <f>+J18</f>
        <v>20014850</v>
      </c>
      <c r="K24" s="24">
        <f>1/(1+C20*E20)</f>
        <v>0.99954276764121397</v>
      </c>
    </row>
    <row r="25" spans="2:11" x14ac:dyDescent="0.3">
      <c r="B25" s="12"/>
      <c r="C25" s="13"/>
      <c r="D25" s="3"/>
      <c r="E25" s="4"/>
      <c r="F25" s="5"/>
      <c r="G25" s="38"/>
      <c r="H25" s="29">
        <f t="shared" ref="H25:H27" si="1">+C21</f>
        <v>0.44444444444444442</v>
      </c>
      <c r="I25" s="27">
        <f t="shared" ref="I25:I27" si="2">+I19</f>
        <v>28174.497287044975</v>
      </c>
      <c r="K25" s="24">
        <f t="shared" ref="K25:K27" si="3">1/(1+C21*E21)</f>
        <v>0.99850056666189047</v>
      </c>
    </row>
    <row r="26" spans="2:11" x14ac:dyDescent="0.3">
      <c r="H26" s="29">
        <f t="shared" si="1"/>
        <v>0.69444444444444442</v>
      </c>
      <c r="I26" s="27">
        <f t="shared" si="2"/>
        <v>28174.497287044975</v>
      </c>
      <c r="K26" s="24">
        <f t="shared" si="3"/>
        <v>0.99697776933854731</v>
      </c>
    </row>
    <row r="27" spans="2:11" x14ac:dyDescent="0.3">
      <c r="H27" s="29">
        <f t="shared" si="1"/>
        <v>0.94444444444444442</v>
      </c>
      <c r="I27" s="27">
        <f t="shared" si="2"/>
        <v>20028174.497287046</v>
      </c>
      <c r="K27" s="24">
        <f t="shared" si="3"/>
        <v>0.99532544670798695</v>
      </c>
    </row>
    <row r="29" spans="2:11" x14ac:dyDescent="0.3">
      <c r="H29" s="24" t="s">
        <v>72</v>
      </c>
      <c r="I29" s="27">
        <f>+SUMPRODUCT(I24:I27,$K$24:$K$27)</f>
        <v>20018934.942216936</v>
      </c>
      <c r="J29" s="27">
        <f>+SUMPRODUCT(J24:J27,$K$24:$K$27)</f>
        <v>20005698.562923752</v>
      </c>
    </row>
    <row r="30" spans="2:11" x14ac:dyDescent="0.3">
      <c r="H30" s="24" t="s">
        <v>73</v>
      </c>
      <c r="I30" s="27">
        <f>-I29+J29</f>
        <v>-13236.379293184727</v>
      </c>
    </row>
    <row r="31" spans="2:11" x14ac:dyDescent="0.3">
      <c r="H31" s="24" t="s">
        <v>74</v>
      </c>
      <c r="I31" s="27">
        <f>-J29+I29</f>
        <v>13236.379293184727</v>
      </c>
    </row>
  </sheetData>
  <mergeCells count="2">
    <mergeCell ref="B4:E4"/>
    <mergeCell ref="B18:E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46FF-1559-4963-9C77-8BEF16836234}">
  <dimension ref="B2:O28"/>
  <sheetViews>
    <sheetView tabSelected="1" zoomScale="85" zoomScaleNormal="85" workbookViewId="0">
      <selection activeCell="J25" sqref="J25"/>
    </sheetView>
  </sheetViews>
  <sheetFormatPr defaultRowHeight="14.4" x14ac:dyDescent="0.3"/>
  <cols>
    <col min="1" max="1" width="4" customWidth="1"/>
    <col min="2" max="3" width="5.5546875" style="15" bestFit="1" customWidth="1"/>
    <col min="4" max="4" width="16.6640625" style="15" bestFit="1" customWidth="1"/>
    <col min="5" max="5" width="8.109375" style="2" bestFit="1" customWidth="1"/>
    <col min="6" max="6" width="3" customWidth="1"/>
    <col min="7" max="8" width="5.5546875" style="15" bestFit="1" customWidth="1"/>
    <col min="9" max="9" width="16.6640625" style="15" bestFit="1" customWidth="1"/>
    <col min="10" max="10" width="8.77734375" style="2" bestFit="1" customWidth="1"/>
    <col min="12" max="12" width="8.88671875" style="15"/>
    <col min="13" max="13" width="26.77734375" bestFit="1" customWidth="1"/>
    <col min="14" max="14" width="16.5546875" bestFit="1" customWidth="1"/>
    <col min="15" max="15" width="17" bestFit="1" customWidth="1"/>
  </cols>
  <sheetData>
    <row r="2" spans="2:15" x14ac:dyDescent="0.3">
      <c r="L2" s="15" t="s">
        <v>77</v>
      </c>
      <c r="M2">
        <v>1.131</v>
      </c>
    </row>
    <row r="3" spans="2:15" x14ac:dyDescent="0.3">
      <c r="L3" s="15" t="s">
        <v>75</v>
      </c>
      <c r="M3" s="19">
        <v>20000000</v>
      </c>
    </row>
    <row r="4" spans="2:15" x14ac:dyDescent="0.3">
      <c r="B4" s="37" t="s">
        <v>0</v>
      </c>
      <c r="C4" s="37"/>
      <c r="D4" s="37"/>
      <c r="E4" s="37"/>
      <c r="G4" s="37" t="s">
        <v>1</v>
      </c>
      <c r="H4" s="37"/>
      <c r="I4" s="37"/>
      <c r="J4" s="37"/>
      <c r="L4" s="15" t="s">
        <v>76</v>
      </c>
      <c r="M4" s="33">
        <f>+M3/M2</f>
        <v>17683465.959328029</v>
      </c>
    </row>
    <row r="5" spans="2:15" x14ac:dyDescent="0.3">
      <c r="B5" s="1" t="s">
        <v>2</v>
      </c>
      <c r="C5" s="1" t="s">
        <v>3</v>
      </c>
      <c r="D5" s="1" t="s">
        <v>4</v>
      </c>
      <c r="E5" s="1" t="s">
        <v>5</v>
      </c>
      <c r="G5" s="1" t="s">
        <v>2</v>
      </c>
      <c r="H5" s="1" t="s">
        <v>3</v>
      </c>
      <c r="I5" s="1" t="s">
        <v>4</v>
      </c>
      <c r="J5" s="1" t="s">
        <v>5</v>
      </c>
      <c r="L5" s="15" t="s">
        <v>64</v>
      </c>
      <c r="M5">
        <v>4</v>
      </c>
    </row>
    <row r="6" spans="2:15" x14ac:dyDescent="0.3">
      <c r="B6" s="12" t="s">
        <v>6</v>
      </c>
      <c r="C6" s="41">
        <v>2.7777777777777779E-3</v>
      </c>
      <c r="D6" s="3" t="s">
        <v>7</v>
      </c>
      <c r="E6" s="4">
        <v>7.0999999999999991E-4</v>
      </c>
      <c r="F6" s="5"/>
      <c r="G6" s="12" t="s">
        <v>6</v>
      </c>
      <c r="H6" s="13">
        <v>2.7777777777777779E-3</v>
      </c>
      <c r="I6" s="3" t="s">
        <v>8</v>
      </c>
      <c r="J6" s="4">
        <v>-5.6842999999999998E-3</v>
      </c>
    </row>
    <row r="7" spans="2:15" x14ac:dyDescent="0.3">
      <c r="B7" s="12" t="s">
        <v>9</v>
      </c>
      <c r="C7" s="41">
        <v>1.9444444444444445E-2</v>
      </c>
      <c r="D7" s="3" t="s">
        <v>10</v>
      </c>
      <c r="E7" s="4">
        <v>1.09E-3</v>
      </c>
      <c r="F7" s="5"/>
      <c r="G7" s="12" t="s">
        <v>9</v>
      </c>
      <c r="H7" s="13">
        <v>1.9444444444444445E-2</v>
      </c>
      <c r="I7" s="3" t="s">
        <v>11</v>
      </c>
      <c r="J7" s="4">
        <v>-5.1900000000000002E-3</v>
      </c>
      <c r="L7" s="15" t="s">
        <v>41</v>
      </c>
      <c r="M7" t="s">
        <v>79</v>
      </c>
    </row>
    <row r="8" spans="2:15" x14ac:dyDescent="0.3">
      <c r="B8" s="12" t="s">
        <v>12</v>
      </c>
      <c r="C8" s="41">
        <v>8.3333333333333329E-2</v>
      </c>
      <c r="D8" s="3" t="s">
        <v>13</v>
      </c>
      <c r="E8" s="4">
        <v>1.8500000000000001E-3</v>
      </c>
      <c r="F8" s="5"/>
      <c r="G8" s="12" t="s">
        <v>12</v>
      </c>
      <c r="H8" s="13">
        <v>8.3333333333333329E-2</v>
      </c>
      <c r="I8" s="3" t="s">
        <v>14</v>
      </c>
      <c r="J8" s="4">
        <v>-5.0899999999999999E-3</v>
      </c>
      <c r="M8" t="s">
        <v>78</v>
      </c>
    </row>
    <row r="9" spans="2:15" x14ac:dyDescent="0.3">
      <c r="B9" s="12" t="s">
        <v>15</v>
      </c>
      <c r="C9" s="41">
        <v>0.16666666666666666</v>
      </c>
      <c r="D9" s="3" t="s">
        <v>16</v>
      </c>
      <c r="E9" s="4">
        <v>2.5200000000000001E-3</v>
      </c>
      <c r="F9" s="5"/>
      <c r="G9" s="12" t="s">
        <v>15</v>
      </c>
      <c r="H9" s="13">
        <v>0.16666666666666666</v>
      </c>
      <c r="I9" s="3" t="s">
        <v>17</v>
      </c>
      <c r="J9" s="4">
        <v>-3.3600000000000001E-3</v>
      </c>
    </row>
    <row r="10" spans="2:15" x14ac:dyDescent="0.3">
      <c r="B10" s="12" t="s">
        <v>18</v>
      </c>
      <c r="C10" s="41">
        <v>0.25</v>
      </c>
      <c r="D10" s="14" t="s">
        <v>19</v>
      </c>
      <c r="E10" s="4">
        <v>2.97E-3</v>
      </c>
      <c r="F10" s="5"/>
      <c r="G10" s="12" t="s">
        <v>18</v>
      </c>
      <c r="H10" s="13">
        <v>0.25</v>
      </c>
      <c r="I10" s="14" t="s">
        <v>20</v>
      </c>
      <c r="J10" s="4">
        <v>-4.0000000000000001E-3</v>
      </c>
      <c r="L10" s="15" t="s">
        <v>43</v>
      </c>
      <c r="M10" t="s">
        <v>82</v>
      </c>
      <c r="N10" s="20">
        <f>+IRS!I15</f>
        <v>5.6348994574089949E-3</v>
      </c>
    </row>
    <row r="11" spans="2:15" x14ac:dyDescent="0.3">
      <c r="B11" s="15" t="s">
        <v>21</v>
      </c>
      <c r="C11" s="41">
        <v>0.5</v>
      </c>
      <c r="D11" s="14" t="s">
        <v>22</v>
      </c>
      <c r="E11" s="4">
        <v>3.8300000000000001E-3</v>
      </c>
      <c r="F11" s="5"/>
      <c r="G11" s="15" t="s">
        <v>21</v>
      </c>
      <c r="H11" s="13">
        <v>0.5</v>
      </c>
      <c r="I11" s="14" t="s">
        <v>23</v>
      </c>
      <c r="J11" s="4">
        <v>-2.5900000000000003E-3</v>
      </c>
    </row>
    <row r="12" spans="2:15" x14ac:dyDescent="0.3">
      <c r="B12" s="15" t="s">
        <v>24</v>
      </c>
      <c r="C12" s="41">
        <v>0.75</v>
      </c>
      <c r="D12" s="14" t="s">
        <v>25</v>
      </c>
      <c r="E12" s="4">
        <v>4.7399999999999994E-3</v>
      </c>
      <c r="F12" s="5"/>
      <c r="G12" s="15" t="s">
        <v>24</v>
      </c>
      <c r="H12" s="13">
        <v>0.75</v>
      </c>
      <c r="I12" s="14" t="s">
        <v>26</v>
      </c>
      <c r="J12" s="4">
        <v>-1.9400000000000001E-3</v>
      </c>
      <c r="L12" s="15" t="s">
        <v>61</v>
      </c>
      <c r="M12" s="1" t="s">
        <v>3</v>
      </c>
      <c r="N12" s="1" t="s">
        <v>80</v>
      </c>
      <c r="O12" s="1" t="s">
        <v>81</v>
      </c>
    </row>
    <row r="13" spans="2:15" x14ac:dyDescent="0.3">
      <c r="B13" s="15" t="s">
        <v>27</v>
      </c>
      <c r="C13" s="41">
        <v>1</v>
      </c>
      <c r="D13" s="14" t="s">
        <v>28</v>
      </c>
      <c r="E13" s="4">
        <v>5.6499999999999996E-3</v>
      </c>
      <c r="F13" s="5"/>
      <c r="G13" s="15" t="s">
        <v>27</v>
      </c>
      <c r="H13" s="13">
        <v>1</v>
      </c>
      <c r="I13" s="14" t="s">
        <v>29</v>
      </c>
      <c r="J13" s="4">
        <v>-1.7899999999999999E-3</v>
      </c>
      <c r="M13" s="13">
        <v>0.25</v>
      </c>
      <c r="N13" s="21">
        <f>+J10*M4/M5+M4</f>
        <v>17665782.4933687</v>
      </c>
      <c r="O13" s="34">
        <f>+$N$10*$M$3/$M$5</f>
        <v>28174.497287044975</v>
      </c>
    </row>
    <row r="14" spans="2:15" x14ac:dyDescent="0.3">
      <c r="C14" s="13"/>
      <c r="D14" s="14"/>
      <c r="E14" s="4"/>
      <c r="H14" s="13"/>
      <c r="I14" s="14"/>
      <c r="J14" s="4"/>
      <c r="M14" s="13">
        <v>0.5</v>
      </c>
      <c r="O14" s="34">
        <f t="shared" ref="O14:O15" si="0">+$N$10*$M$3/$M$5</f>
        <v>28174.497287044975</v>
      </c>
    </row>
    <row r="15" spans="2:15" x14ac:dyDescent="0.3">
      <c r="M15" s="13">
        <v>0.75</v>
      </c>
      <c r="O15" s="34">
        <f t="shared" si="0"/>
        <v>28174.497287044975</v>
      </c>
    </row>
    <row r="16" spans="2:15" x14ac:dyDescent="0.3">
      <c r="M16" s="13">
        <v>1</v>
      </c>
      <c r="O16" s="34">
        <f>+$N$10*$M$3/$M$5+M3</f>
        <v>20028174.497287046</v>
      </c>
    </row>
    <row r="18" spans="2:15" x14ac:dyDescent="0.3">
      <c r="B18" s="37" t="s">
        <v>30</v>
      </c>
      <c r="C18" s="37"/>
      <c r="D18" s="37"/>
      <c r="E18" s="37"/>
      <c r="G18" s="37" t="s">
        <v>31</v>
      </c>
      <c r="H18" s="37"/>
      <c r="I18" s="37"/>
      <c r="J18" s="37"/>
      <c r="L18" s="15" t="s">
        <v>71</v>
      </c>
      <c r="M18" t="s">
        <v>86</v>
      </c>
      <c r="N18" s="15">
        <v>1.135</v>
      </c>
    </row>
    <row r="19" spans="2:15" x14ac:dyDescent="0.3">
      <c r="B19" s="1" t="s">
        <v>2</v>
      </c>
      <c r="C19" s="1" t="s">
        <v>3</v>
      </c>
      <c r="D19" s="1" t="s">
        <v>4</v>
      </c>
      <c r="E19" s="1" t="s">
        <v>5</v>
      </c>
      <c r="G19" s="1" t="s">
        <v>2</v>
      </c>
      <c r="H19" s="1" t="s">
        <v>3</v>
      </c>
      <c r="I19" s="1" t="s">
        <v>4</v>
      </c>
      <c r="J19" s="1" t="s">
        <v>5</v>
      </c>
    </row>
    <row r="20" spans="2:15" x14ac:dyDescent="0.3">
      <c r="B20" s="12" t="s">
        <v>32</v>
      </c>
      <c r="C20" s="41">
        <v>0.19444444444444445</v>
      </c>
      <c r="D20" s="3" t="s">
        <v>33</v>
      </c>
      <c r="E20" s="4">
        <v>2.3525563672255009E-3</v>
      </c>
      <c r="F20" s="5"/>
      <c r="G20" s="12" t="s">
        <v>32</v>
      </c>
      <c r="H20" s="13">
        <v>0.19444444444444445</v>
      </c>
      <c r="I20" s="3" t="s">
        <v>33</v>
      </c>
      <c r="J20" s="4">
        <v>-4.5767746467955863E-3</v>
      </c>
      <c r="M20" s="1" t="s">
        <v>3</v>
      </c>
      <c r="N20" s="1" t="s">
        <v>84</v>
      </c>
      <c r="O20" s="1" t="s">
        <v>83</v>
      </c>
    </row>
    <row r="21" spans="2:15" x14ac:dyDescent="0.3">
      <c r="B21" s="12" t="s">
        <v>34</v>
      </c>
      <c r="C21" s="41">
        <v>0.44444444444444442</v>
      </c>
      <c r="D21" s="3" t="s">
        <v>33</v>
      </c>
      <c r="E21" s="4">
        <v>3.3787912830385799E-3</v>
      </c>
      <c r="F21" s="5"/>
      <c r="G21" s="12" t="s">
        <v>34</v>
      </c>
      <c r="H21" s="13">
        <v>0.44444444444444442</v>
      </c>
      <c r="I21" s="3" t="s">
        <v>33</v>
      </c>
      <c r="J21" s="4">
        <v>-3.2029522904284411E-3</v>
      </c>
      <c r="M21" s="41">
        <f>+C20</f>
        <v>0.19444444444444445</v>
      </c>
      <c r="N21" s="35">
        <f>1/(1+M21*J20)</f>
        <v>1.0008907210815337</v>
      </c>
      <c r="O21" s="35">
        <f>1/(1+M21*E20)</f>
        <v>0.99954276764121397</v>
      </c>
    </row>
    <row r="22" spans="2:15" x14ac:dyDescent="0.3">
      <c r="B22" s="12" t="s">
        <v>35</v>
      </c>
      <c r="C22" s="41">
        <v>0.69444444444444442</v>
      </c>
      <c r="D22" s="3" t="s">
        <v>33</v>
      </c>
      <c r="E22" s="4">
        <v>4.365204808306951E-3</v>
      </c>
      <c r="F22" s="5"/>
      <c r="G22" s="12" t="s">
        <v>35</v>
      </c>
      <c r="H22" s="13">
        <v>0.69444444444444442</v>
      </c>
      <c r="I22" s="3" t="s">
        <v>33</v>
      </c>
      <c r="J22" s="4">
        <v>-2.4088398910280342E-3</v>
      </c>
      <c r="M22" s="41">
        <f>+C21</f>
        <v>0.44444444444444442</v>
      </c>
      <c r="N22" s="35">
        <f>1/(1+M22*J21)</f>
        <v>1.0014255636901845</v>
      </c>
      <c r="O22" s="35">
        <f>1/(1+M22*E21)</f>
        <v>0.99850056666189047</v>
      </c>
    </row>
    <row r="23" spans="2:15" x14ac:dyDescent="0.3">
      <c r="B23" s="12" t="s">
        <v>36</v>
      </c>
      <c r="C23" s="41">
        <v>0.94444444444444442</v>
      </c>
      <c r="D23" s="3" t="s">
        <v>33</v>
      </c>
      <c r="E23" s="4">
        <v>4.9727725051572098E-3</v>
      </c>
      <c r="F23" s="5"/>
      <c r="G23" s="12" t="s">
        <v>36</v>
      </c>
      <c r="H23" s="13">
        <v>0.94444444444444442</v>
      </c>
      <c r="I23" s="3" t="s">
        <v>33</v>
      </c>
      <c r="J23" s="4">
        <v>-2.3101919696024891E-3</v>
      </c>
      <c r="M23" s="41">
        <f>+C22</f>
        <v>0.69444444444444442</v>
      </c>
      <c r="N23" s="35">
        <f>1/(1+M23*J22)</f>
        <v>1.0016756084468725</v>
      </c>
      <c r="O23" s="35">
        <f>1/(1+M23*E22)</f>
        <v>0.99697776933854731</v>
      </c>
    </row>
    <row r="24" spans="2:15" x14ac:dyDescent="0.3">
      <c r="B24" s="12"/>
      <c r="C24" s="13"/>
      <c r="D24" s="3"/>
      <c r="E24" s="4"/>
      <c r="F24" s="5"/>
      <c r="G24" s="12"/>
      <c r="H24" s="13"/>
      <c r="I24" s="3"/>
      <c r="J24" s="4"/>
      <c r="M24" s="41">
        <f>+C23</f>
        <v>0.94444444444444442</v>
      </c>
      <c r="N24" s="35">
        <f>1/(1+M24*J23)</f>
        <v>1.0021866188411739</v>
      </c>
      <c r="O24" s="35">
        <f>1/(1+M24*E23)</f>
        <v>0.99532544670798695</v>
      </c>
    </row>
    <row r="25" spans="2:15" x14ac:dyDescent="0.3">
      <c r="B25" s="12"/>
      <c r="C25" s="13"/>
      <c r="D25" s="3"/>
      <c r="E25" s="4"/>
      <c r="F25" s="5"/>
      <c r="G25" s="12"/>
      <c r="H25" s="13"/>
      <c r="I25" s="3"/>
      <c r="J25" s="4"/>
      <c r="M25" s="15"/>
      <c r="N25" s="15"/>
      <c r="O25" s="15"/>
    </row>
    <row r="26" spans="2:15" x14ac:dyDescent="0.3">
      <c r="M26" s="15" t="s">
        <v>72</v>
      </c>
      <c r="N26" s="21">
        <f>+SUMPRODUCT(N13:N16,N21:N24)</f>
        <v>17681517.778257333</v>
      </c>
      <c r="O26" s="34">
        <f>+SUMPRODUCT(O13:O16,O21:O24)</f>
        <v>20018934.942216936</v>
      </c>
    </row>
    <row r="27" spans="2:15" x14ac:dyDescent="0.3">
      <c r="M27" s="15" t="s">
        <v>85</v>
      </c>
      <c r="N27" s="36">
        <f>+N26*N18-O26</f>
        <v>49587.736105136573</v>
      </c>
      <c r="O27" s="15"/>
    </row>
    <row r="28" spans="2:15" x14ac:dyDescent="0.3">
      <c r="M28" s="15" t="s">
        <v>88</v>
      </c>
      <c r="N28" s="39">
        <f>-N27</f>
        <v>-49587.736105136573</v>
      </c>
    </row>
  </sheetData>
  <mergeCells count="4">
    <mergeCell ref="B4:E4"/>
    <mergeCell ref="G4:J4"/>
    <mergeCell ref="B18:E18"/>
    <mergeCell ref="G18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Forwards</vt:lpstr>
      <vt:lpstr>Posición Natural</vt:lpstr>
      <vt:lpstr>FRA</vt:lpstr>
      <vt:lpstr>IRS</vt:lpstr>
      <vt:lpstr>Curr 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2020-06-24T23:23:25Z</dcterms:created>
  <dcterms:modified xsi:type="dcterms:W3CDTF">2020-06-29T18:25:18Z</dcterms:modified>
</cp:coreProperties>
</file>