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illep\scripts\working\"/>
    </mc:Choice>
  </mc:AlternateContent>
  <xr:revisionPtr revIDLastSave="0" documentId="10_ncr:100000_{191064CA-510E-48C4-917A-C38064A07A3A}" xr6:coauthVersionLast="31" xr6:coauthVersionMax="31" xr10:uidLastSave="{00000000-0000-0000-0000-000000000000}"/>
  <bookViews>
    <workbookView xWindow="0" yWindow="0" windowWidth="16740" windowHeight="7185" xr2:uid="{340BD4CB-BFD8-4CFE-9F9D-57F35A7A9F1A}"/>
  </bookViews>
  <sheets>
    <sheet name="Decimal" sheetId="2" r:id="rId1"/>
    <sheet name="coef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2" l="1"/>
  <c r="S24" i="2"/>
  <c r="Q24" i="2"/>
  <c r="Q25" i="2"/>
  <c r="Q23" i="2"/>
  <c r="R24" i="2"/>
  <c r="R25" i="2"/>
  <c r="R23" i="2"/>
  <c r="S19" i="2"/>
  <c r="C23" i="2"/>
  <c r="F23" i="2" s="1"/>
  <c r="G23" i="2" s="1"/>
  <c r="C24" i="2"/>
  <c r="F24" i="2" s="1"/>
  <c r="G24" i="2" s="1"/>
  <c r="C25" i="2"/>
  <c r="F25" i="2" s="1"/>
  <c r="G25" i="2" s="1"/>
  <c r="B24" i="2"/>
  <c r="B25" i="2"/>
  <c r="D25" i="2" s="1"/>
  <c r="B23" i="2"/>
  <c r="D23" i="2" s="1"/>
  <c r="D24" i="2"/>
  <c r="F22" i="2"/>
  <c r="G22" i="2" s="1"/>
  <c r="D22" i="2"/>
  <c r="E22" i="2" s="1"/>
  <c r="C17" i="2"/>
  <c r="C18" i="2"/>
  <c r="C19" i="2"/>
  <c r="F19" i="2" s="1"/>
  <c r="G19" i="2" s="1"/>
  <c r="B18" i="2"/>
  <c r="D18" i="2" s="1"/>
  <c r="E18" i="2" s="1"/>
  <c r="B19" i="2"/>
  <c r="D19" i="2" s="1"/>
  <c r="E19" i="2" s="1"/>
  <c r="B17" i="2"/>
  <c r="D17" i="2" s="1"/>
  <c r="E17" i="2" s="1"/>
  <c r="F17" i="2"/>
  <c r="G17" i="2" s="1"/>
  <c r="F18" i="2"/>
  <c r="G18" i="2" s="1"/>
  <c r="S25" i="2" l="1"/>
  <c r="H22" i="2"/>
  <c r="J22" i="2" s="1"/>
  <c r="H25" i="2"/>
  <c r="E25" i="2"/>
  <c r="H23" i="2"/>
  <c r="E23" i="2"/>
  <c r="H24" i="2"/>
  <c r="E24" i="2"/>
  <c r="D10" i="2"/>
  <c r="E10" i="2" s="1"/>
  <c r="F16" i="2"/>
  <c r="G16" i="2" s="1"/>
  <c r="D16" i="2"/>
  <c r="L22" i="2" l="1"/>
  <c r="M22" i="2" s="1"/>
  <c r="I22" i="2"/>
  <c r="K22" i="2"/>
  <c r="I24" i="2"/>
  <c r="J24" i="2"/>
  <c r="L24" i="2"/>
  <c r="M24" i="2" s="1"/>
  <c r="K24" i="2"/>
  <c r="I23" i="2"/>
  <c r="K23" i="2"/>
  <c r="L23" i="2"/>
  <c r="M23" i="2" s="1"/>
  <c r="J23" i="2"/>
  <c r="I25" i="2"/>
  <c r="L25" i="2"/>
  <c r="M25" i="2" s="1"/>
  <c r="J25" i="2"/>
  <c r="K25" i="2"/>
  <c r="E16" i="2"/>
  <c r="D11" i="2"/>
  <c r="H18" i="2"/>
  <c r="H16" i="2"/>
  <c r="N22" i="2" l="1"/>
  <c r="O22" i="2" s="1"/>
  <c r="N24" i="2"/>
  <c r="O24" i="2" s="1"/>
  <c r="N23" i="2"/>
  <c r="O23" i="2" s="1"/>
  <c r="N25" i="2"/>
  <c r="O25" i="2" s="1"/>
  <c r="H17" i="2"/>
  <c r="L17" i="2" s="1"/>
  <c r="M17" i="2" s="1"/>
  <c r="H19" i="2"/>
  <c r="K16" i="2"/>
  <c r="J16" i="2"/>
  <c r="I16" i="2"/>
  <c r="L16" i="2"/>
  <c r="M16" i="2" s="1"/>
  <c r="I18" i="2"/>
  <c r="J18" i="2"/>
  <c r="L18" i="2"/>
  <c r="M18" i="2" s="1"/>
  <c r="K18" i="2"/>
  <c r="D2" i="2"/>
  <c r="D6" i="2"/>
  <c r="F2" i="2"/>
  <c r="F3" i="2"/>
  <c r="G3" i="2" s="1"/>
  <c r="F4" i="2"/>
  <c r="G4" i="2" s="1"/>
  <c r="F8" i="2"/>
  <c r="G8" i="2" s="1"/>
  <c r="F6" i="2"/>
  <c r="G6" i="2" s="1"/>
  <c r="F7" i="2"/>
  <c r="G7" i="2" s="1"/>
  <c r="J17" i="2" l="1"/>
  <c r="K17" i="2"/>
  <c r="I17" i="2"/>
  <c r="Q17" i="2" s="1"/>
  <c r="K19" i="2"/>
  <c r="J19" i="2"/>
  <c r="L19" i="2"/>
  <c r="M19" i="2" s="1"/>
  <c r="I19" i="2"/>
  <c r="Q19" i="2" s="1"/>
  <c r="Q18" i="2"/>
  <c r="N18" i="2"/>
  <c r="O18" i="2" s="1"/>
  <c r="N16" i="2"/>
  <c r="O16" i="2" s="1"/>
  <c r="H6" i="2"/>
  <c r="I6" i="2" s="1"/>
  <c r="D8" i="2"/>
  <c r="H8" i="2" s="1"/>
  <c r="I8" i="2" s="1"/>
  <c r="D7" i="2"/>
  <c r="H7" i="2" s="1"/>
  <c r="J7" i="2" s="1"/>
  <c r="H2" i="2"/>
  <c r="K2" i="2" s="1"/>
  <c r="D3" i="2"/>
  <c r="H3" i="2" s="1"/>
  <c r="K3" i="2" s="1"/>
  <c r="D4" i="2"/>
  <c r="H4" i="2" s="1"/>
  <c r="L4" i="2" s="1"/>
  <c r="M4" i="2" s="1"/>
  <c r="E6" i="2"/>
  <c r="E2" i="2"/>
  <c r="G2" i="2"/>
  <c r="N17" i="2" l="1"/>
  <c r="O17" i="2" s="1"/>
  <c r="R17" i="2" s="1"/>
  <c r="N19" i="2"/>
  <c r="O19" i="2" s="1"/>
  <c r="R19" i="2" s="1"/>
  <c r="J6" i="2"/>
  <c r="L6" i="2"/>
  <c r="M6" i="2" s="1"/>
  <c r="K6" i="2"/>
  <c r="K8" i="2"/>
  <c r="L8" i="2"/>
  <c r="M8" i="2" s="1"/>
  <c r="R18" i="2"/>
  <c r="J8" i="2"/>
  <c r="J3" i="2"/>
  <c r="K4" i="2"/>
  <c r="J4" i="2"/>
  <c r="I2" i="2"/>
  <c r="I3" i="2"/>
  <c r="J2" i="2"/>
  <c r="L2" i="2"/>
  <c r="M2" i="2" s="1"/>
  <c r="I7" i="2"/>
  <c r="Q7" i="2" s="1"/>
  <c r="Q8" i="2"/>
  <c r="L7" i="2"/>
  <c r="M7" i="2" s="1"/>
  <c r="K7" i="2"/>
  <c r="L3" i="2"/>
  <c r="M3" i="2" s="1"/>
  <c r="E4" i="2"/>
  <c r="E3" i="2"/>
  <c r="I4" i="2"/>
  <c r="E8" i="2"/>
  <c r="E7" i="2"/>
  <c r="Q3" i="2" l="1"/>
  <c r="Q4" i="2"/>
  <c r="N6" i="2"/>
  <c r="O6" i="2" s="1"/>
  <c r="N3" i="2"/>
  <c r="O3" i="2" s="1"/>
  <c r="N8" i="2"/>
  <c r="O8" i="2" s="1"/>
  <c r="N4" i="2"/>
  <c r="O4" i="2" s="1"/>
  <c r="N7" i="2"/>
  <c r="O7" i="2" s="1"/>
  <c r="N2" i="2"/>
  <c r="O2" i="2" s="1"/>
  <c r="R7" i="2" l="1"/>
  <c r="R8" i="2"/>
  <c r="R3" i="2"/>
  <c r="R4" i="2"/>
</calcChain>
</file>

<file path=xl/sharedStrings.xml><?xml version="1.0" encoding="utf-8"?>
<sst xmlns="http://schemas.openxmlformats.org/spreadsheetml/2006/main" count="21" uniqueCount="21">
  <si>
    <t>temperature</t>
  </si>
  <si>
    <t>pcore</t>
  </si>
  <si>
    <t xml:space="preserve">    U</t>
  </si>
  <si>
    <t xml:space="preserve">    Y</t>
  </si>
  <si>
    <t xml:space="preserve">    C</t>
  </si>
  <si>
    <t xml:space="preserve">    D</t>
  </si>
  <si>
    <t xml:space="preserve">    T</t>
  </si>
  <si>
    <t>Cv</t>
  </si>
  <si>
    <t>Dv</t>
  </si>
  <si>
    <t>Tv</t>
  </si>
  <si>
    <t>Uv</t>
  </si>
  <si>
    <t>Temp</t>
  </si>
  <si>
    <t>t period (usec)</t>
  </si>
  <si>
    <t>p period (usec)</t>
  </si>
  <si>
    <t>p freq (kHz)</t>
  </si>
  <si>
    <t>t freq (kHz)</t>
  </si>
  <si>
    <t>Factor</t>
  </si>
  <si>
    <t>pascal</t>
  </si>
  <si>
    <t>PSIA</t>
  </si>
  <si>
    <t>delta T</t>
  </si>
  <si>
    <t>delta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</si>
</sst>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0" xfId="0" applyNumberFormat="1" applyFont="1" applyAlignment="1">
      <alignment vertical="center"/>
    </xf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165" fontId="0" fillId="0" borderId="0" xfId="0" applyNumberFormat="1"/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DEBE-EA67-4D03-AB85-4BD6D5DC38BE}">
  <dimension ref="A1:S25"/>
  <sheetViews>
    <sheetView tabSelected="1" workbookViewId="0">
      <selection activeCell="S19" sqref="S19"/>
    </sheetView>
  </sheetViews>
  <sheetFormatPr defaultRowHeight="15"/>
  <cols>
    <col min="1" max="1" width="12.5703125" style="7" bestFit="1" customWidth="1"/>
    <col min="2" max="3" width="12.28515625" customWidth="1"/>
    <col min="4" max="4" width="14" bestFit="1" customWidth="1"/>
    <col min="5" max="5" width="14" customWidth="1"/>
    <col min="6" max="6" width="17" customWidth="1"/>
    <col min="7" max="7" width="12" bestFit="1" customWidth="1"/>
    <col min="8" max="8" width="9.28515625" style="4" bestFit="1" customWidth="1"/>
    <col min="9" max="9" width="13.42578125" style="4" bestFit="1" customWidth="1"/>
    <col min="10" max="10" width="13.7109375" style="4" bestFit="1" customWidth="1"/>
    <col min="11" max="11" width="9.28515625" style="4" bestFit="1" customWidth="1"/>
    <col min="12" max="12" width="12.28515625" style="4" bestFit="1" customWidth="1"/>
    <col min="13" max="13" width="13.42578125" style="4" bestFit="1" customWidth="1"/>
    <col min="14" max="14" width="25.85546875" style="4" bestFit="1" customWidth="1"/>
    <col min="15" max="15" width="28.85546875" style="6" bestFit="1" customWidth="1"/>
    <col min="18" max="18" width="14.5703125" style="6" customWidth="1"/>
  </cols>
  <sheetData>
    <row r="1" spans="1:18">
      <c r="B1" s="2" t="s">
        <v>0</v>
      </c>
      <c r="C1" s="2" t="s">
        <v>1</v>
      </c>
      <c r="D1" s="2" t="s">
        <v>12</v>
      </c>
      <c r="E1" s="2" t="s">
        <v>15</v>
      </c>
      <c r="F1" s="2" t="s">
        <v>13</v>
      </c>
      <c r="G1" s="2" t="s">
        <v>14</v>
      </c>
      <c r="H1" s="3" t="s">
        <v>10</v>
      </c>
      <c r="I1" s="3" t="s">
        <v>11</v>
      </c>
      <c r="J1" s="3" t="s">
        <v>7</v>
      </c>
      <c r="K1" s="3" t="s">
        <v>8</v>
      </c>
      <c r="L1" s="3" t="s">
        <v>9</v>
      </c>
      <c r="M1" s="3" t="s">
        <v>16</v>
      </c>
      <c r="N1" s="3" t="s">
        <v>18</v>
      </c>
      <c r="O1" s="5" t="s">
        <v>17</v>
      </c>
      <c r="Q1" s="3" t="s">
        <v>19</v>
      </c>
      <c r="R1" s="5" t="s">
        <v>20</v>
      </c>
    </row>
    <row r="2" spans="1:18">
      <c r="B2" s="1">
        <v>602650000</v>
      </c>
      <c r="C2" s="1">
        <v>2900000000</v>
      </c>
      <c r="D2">
        <f>(B2/(2^21)+0.5)/50</f>
        <v>5.7573182678222654</v>
      </c>
      <c r="E2">
        <f>1000/D2</f>
        <v>173.69197836239388</v>
      </c>
      <c r="F2">
        <f>(C2/(2^21)+0.5)/50</f>
        <v>27.666555175781252</v>
      </c>
      <c r="G2">
        <f>1000/F2</f>
        <v>36.144723968937775</v>
      </c>
      <c r="H2" s="4">
        <f>D2-coef!$B$1</f>
        <v>-8.0273217773463301E-4</v>
      </c>
      <c r="I2" s="4">
        <f>coef!$B$2*H2+coef!$C$2*H2^2+coef!$D$2*H2^3</f>
        <v>3.2300523014733202</v>
      </c>
      <c r="J2" s="4">
        <f>coef!$B$3+coef!$C$3*H2+coef!$D$3*H2^2</f>
        <v>-30870.361319402906</v>
      </c>
      <c r="K2" s="4">
        <f>coef!$B$4+coef!$C$4*H2</f>
        <v>4.0691999999999999E-2</v>
      </c>
      <c r="L2" s="4">
        <f>coef!$B$5+coef!$C$5*H2+coef!$D$5*H2^2+coef!$E$5*H2^3+coef!$F$5*Decimal!H2^4</f>
        <v>30.118354893807965</v>
      </c>
      <c r="M2" s="4">
        <f>1-L2^2/F2^2</f>
        <v>-0.18509268583452942</v>
      </c>
      <c r="N2" s="4">
        <f>(J2*M2*(1-K2*M2))</f>
        <v>5756.9138281268843</v>
      </c>
      <c r="O2" s="6">
        <f>N2*6894.7</f>
        <v>39692193.770786427</v>
      </c>
    </row>
    <row r="3" spans="1:18">
      <c r="B3" s="1">
        <v>602650000</v>
      </c>
      <c r="C3" s="1">
        <v>2900000000</v>
      </c>
      <c r="D3">
        <f>D2*$D$10</f>
        <v>5.7573519718280481</v>
      </c>
      <c r="E3">
        <f>E2*$D$10</f>
        <v>173.69299517528674</v>
      </c>
      <c r="F3">
        <f>(C3/(2^21)+0.5)/50</f>
        <v>27.666555175781252</v>
      </c>
      <c r="G3">
        <f t="shared" ref="E3:G8" si="0">1000/F3</f>
        <v>36.144723968937775</v>
      </c>
      <c r="H3" s="4">
        <f>D3-coef!$B$1</f>
        <v>-7.690281719519021E-4</v>
      </c>
      <c r="I3" s="4">
        <f>coef!$B$2*H3+coef!$C$2*H3^2+coef!$D$2*H3^3</f>
        <v>3.0947342718811295</v>
      </c>
      <c r="J3" s="4">
        <f>coef!$B$3+coef!$C$3*H3+coef!$D$3*H3^2</f>
        <v>-30870.314008689453</v>
      </c>
      <c r="K3" s="4">
        <f>coef!$B$4+coef!$C$4*H3</f>
        <v>4.0691999999999999E-2</v>
      </c>
      <c r="L3" s="4">
        <f>coef!$B$5+coef!$C$5*H3+coef!$D$5*H3^2+coef!$E$5*H3^3+coef!$F$5*Decimal!H3^4</f>
        <v>30.118412753906252</v>
      </c>
      <c r="M3" s="4">
        <f t="shared" ref="M3:M8" si="1">1-L3^2/F3^2</f>
        <v>-0.18509723918051302</v>
      </c>
      <c r="N3" s="4">
        <f t="shared" ref="N3:N8" si="2">(J3*M3*(1-K3*M3))</f>
        <v>5757.0476859370692</v>
      </c>
      <c r="O3" s="6">
        <f t="shared" ref="O3:O8" si="3">N3*6894.7</f>
        <v>39693116.680230312</v>
      </c>
      <c r="Q3" s="4">
        <f>I3-I$2</f>
        <v>-0.13531802959219075</v>
      </c>
      <c r="R3" s="6">
        <f>O3-O$2</f>
        <v>922.90944388508797</v>
      </c>
    </row>
    <row r="4" spans="1:18">
      <c r="B4" s="1">
        <v>602650000</v>
      </c>
      <c r="C4" s="1">
        <v>2900000000</v>
      </c>
      <c r="D4">
        <f>D2/$D$10</f>
        <v>5.7572845640137889</v>
      </c>
      <c r="E4">
        <f>E2/$D$10</f>
        <v>173.69096155545353</v>
      </c>
      <c r="F4">
        <f>(C4/(2^21)+0.5)/50</f>
        <v>27.666555175781252</v>
      </c>
      <c r="G4">
        <f t="shared" si="0"/>
        <v>36.144723968937775</v>
      </c>
      <c r="H4" s="4">
        <f>D4-coef!$B$1</f>
        <v>-8.3643598621119253E-4</v>
      </c>
      <c r="I4" s="4">
        <f>coef!$B$2*H4+coef!$C$2*H4^2+coef!$D$2*H4^3</f>
        <v>3.3653431617106597</v>
      </c>
      <c r="J4" s="4">
        <f>coef!$B$3+coef!$C$3*H4+coef!$D$3*H4^2</f>
        <v>-30870.40839240971</v>
      </c>
      <c r="K4" s="4">
        <f>coef!$B$4+coef!$C$4*H4</f>
        <v>4.0691999999999999E-2</v>
      </c>
      <c r="L4" s="4">
        <f>coef!$B$5+coef!$C$5*H4+coef!$D$5*H4^2+coef!$E$5*H4^3+coef!$F$5*Decimal!H4^4</f>
        <v>30.118297170126887</v>
      </c>
      <c r="M4" s="4">
        <f t="shared" si="1"/>
        <v>-0.1850881432327216</v>
      </c>
      <c r="N4" s="4">
        <f t="shared" si="2"/>
        <v>5756.7802622766258</v>
      </c>
      <c r="O4" s="6">
        <f t="shared" si="3"/>
        <v>39691272.874318652</v>
      </c>
      <c r="Q4" s="4">
        <f>I4-I$2</f>
        <v>0.13529086023733949</v>
      </c>
      <c r="R4" s="6">
        <f>O4-O$2</f>
        <v>-920.89646777510643</v>
      </c>
    </row>
    <row r="5" spans="1:18">
      <c r="B5" s="1"/>
      <c r="C5" s="1"/>
    </row>
    <row r="6" spans="1:18">
      <c r="B6" s="1">
        <v>602000000</v>
      </c>
      <c r="C6" s="1">
        <v>3155400000</v>
      </c>
      <c r="D6">
        <f>(B6/(2^21)+0.5)/50</f>
        <v>5.7511193847656248</v>
      </c>
      <c r="E6">
        <f t="shared" si="0"/>
        <v>173.87919343996595</v>
      </c>
      <c r="F6">
        <f>(C6/(2^21)+0.5)/50</f>
        <v>30.102239379882814</v>
      </c>
      <c r="G6">
        <f t="shared" si="0"/>
        <v>33.220119851558131</v>
      </c>
      <c r="H6" s="4">
        <f>D6-coef!$B$1</f>
        <v>-7.001615234375258E-3</v>
      </c>
      <c r="I6" s="4">
        <f>coef!$B$2*H6+coef!$C$2*H6^2+coef!$D$2*H6^3</f>
        <v>27.669353586431274</v>
      </c>
      <c r="J6" s="4">
        <f>coef!$B$3+coef!$C$3*H6+coef!$D$3*H6^2</f>
        <v>-30875.025125221171</v>
      </c>
      <c r="K6" s="4">
        <f>coef!$B$4+coef!$C$4*H6</f>
        <v>4.0691999999999999E-2</v>
      </c>
      <c r="L6" s="4">
        <f>coef!$B$5+coef!$C$5*H6+coef!$D$5*H6^2+coef!$E$5*H6^3+coef!$F$5*Decimal!H6^4</f>
        <v>30.109994926910019</v>
      </c>
      <c r="M6" s="4">
        <f t="shared" si="1"/>
        <v>-5.1534678198983386E-4</v>
      </c>
      <c r="N6" s="4">
        <f t="shared" si="2"/>
        <v>15.911678510855831</v>
      </c>
      <c r="O6" s="6">
        <f t="shared" si="3"/>
        <v>109706.24982879769</v>
      </c>
    </row>
    <row r="7" spans="1:18">
      <c r="B7" s="1">
        <v>602000000</v>
      </c>
      <c r="C7" s="1">
        <v>3155400000</v>
      </c>
      <c r="D7">
        <f>D6*$D$10</f>
        <v>5.7511530524824304</v>
      </c>
      <c r="E7">
        <f>E6*$D$10</f>
        <v>173.88021134883749</v>
      </c>
      <c r="F7">
        <f>(C7/(2^21)+0.5)/50</f>
        <v>30.102239379882814</v>
      </c>
      <c r="G7">
        <f t="shared" si="0"/>
        <v>33.220119851558131</v>
      </c>
      <c r="H7" s="4">
        <f>D7-coef!$B$1</f>
        <v>-6.9679475175696837E-3</v>
      </c>
      <c r="I7" s="4">
        <f>coef!$B$2*H7+coef!$C$2*H7^2+coef!$D$2*H7^3</f>
        <v>27.539027412743653</v>
      </c>
      <c r="J7" s="4">
        <f>coef!$B$3+coef!$C$3*H7+coef!$D$3*H7^2</f>
        <v>-30875.021487306247</v>
      </c>
      <c r="K7" s="4">
        <f>coef!$B$4+coef!$C$4*H7</f>
        <v>4.0691999999999999E-2</v>
      </c>
      <c r="L7" s="4">
        <f>coef!$B$5+coef!$C$5*H7+coef!$D$5*H7^2+coef!$E$5*H7^3+coef!$F$5*Decimal!H7^4</f>
        <v>30.110028248130984</v>
      </c>
      <c r="M7" s="4">
        <f t="shared" si="1"/>
        <v>-5.1756122350510303E-4</v>
      </c>
      <c r="N7" s="4">
        <f t="shared" si="2"/>
        <v>15.980050439099944</v>
      </c>
      <c r="O7" s="6">
        <f t="shared" si="3"/>
        <v>110177.65376246239</v>
      </c>
      <c r="Q7" s="4">
        <f>I7-I$6</f>
        <v>-0.13032617368762089</v>
      </c>
      <c r="R7" s="6">
        <f>O7-O$6</f>
        <v>471.40393366469652</v>
      </c>
    </row>
    <row r="8" spans="1:18">
      <c r="B8" s="1">
        <v>602000000</v>
      </c>
      <c r="C8" s="1">
        <v>3155400000</v>
      </c>
      <c r="D8">
        <f>D6/$D$10</f>
        <v>5.7510857172459131</v>
      </c>
      <c r="E8">
        <f>E6/$D$10</f>
        <v>173.87817553705332</v>
      </c>
      <c r="F8">
        <f>(C8/(2^21)+0.5)/50</f>
        <v>30.102239379882814</v>
      </c>
      <c r="G8">
        <f t="shared" si="0"/>
        <v>33.220119851558131</v>
      </c>
      <c r="H8" s="4">
        <f>D8-coef!$B$1</f>
        <v>-7.0352827540869356E-3</v>
      </c>
      <c r="I8" s="4">
        <f>coef!$B$2*H8+coef!$C$2*H8^2+coef!$D$2*H8^3</f>
        <v>27.79965267675604</v>
      </c>
      <c r="J8" s="4">
        <f>coef!$B$3+coef!$C$3*H8+coef!$D$3*H8^2</f>
        <v>-30875.028526196114</v>
      </c>
      <c r="K8" s="4">
        <f>coef!$B$4+coef!$C$4*H8</f>
        <v>4.0691999999999999E-2</v>
      </c>
      <c r="L8" s="4">
        <f>coef!$B$5+coef!$C$5*H8+coef!$D$5*H8^2+coef!$E$5*H8^3+coef!$F$5*Decimal!H8^4</f>
        <v>30.109961735941383</v>
      </c>
      <c r="M8" s="4">
        <f t="shared" si="1"/>
        <v>-5.1314099914123723E-4</v>
      </c>
      <c r="N8" s="4">
        <f t="shared" si="2"/>
        <v>15.843573804981638</v>
      </c>
      <c r="O8" s="6">
        <f t="shared" si="3"/>
        <v>109236.68831320689</v>
      </c>
      <c r="Q8" s="4">
        <f>I8-I$6</f>
        <v>0.13029909032476539</v>
      </c>
      <c r="R8" s="6">
        <f>O8-O$6</f>
        <v>-469.56151559080172</v>
      </c>
    </row>
    <row r="9" spans="1:18">
      <c r="B9" s="1"/>
      <c r="C9" s="1"/>
    </row>
    <row r="10" spans="1:18">
      <c r="B10" s="1"/>
      <c r="C10" s="1"/>
      <c r="D10">
        <f>1+(427050-427047.5)/427050</f>
        <v>1.0000058541154431</v>
      </c>
      <c r="E10">
        <f>1/D10</f>
        <v>0.9999941459188274</v>
      </c>
    </row>
    <row r="11" spans="1:18">
      <c r="B11" s="1">
        <v>602650000</v>
      </c>
      <c r="C11" s="1">
        <v>2900000000</v>
      </c>
      <c r="D11">
        <f>8*D10</f>
        <v>8.0000468329235446</v>
      </c>
    </row>
    <row r="12" spans="1:18">
      <c r="B12" s="1">
        <v>602650000</v>
      </c>
      <c r="C12" s="1">
        <v>2900000000</v>
      </c>
    </row>
    <row r="13" spans="1:18">
      <c r="B13" s="1">
        <v>602650000</v>
      </c>
      <c r="C13" s="1">
        <v>2900000000</v>
      </c>
    </row>
    <row r="14" spans="1:18">
      <c r="B14" s="1"/>
      <c r="C14" s="1"/>
    </row>
    <row r="15" spans="1:18">
      <c r="B15" s="1"/>
      <c r="C15" s="1"/>
    </row>
    <row r="16" spans="1:18">
      <c r="A16" s="8"/>
      <c r="B16" s="1">
        <v>602000000</v>
      </c>
      <c r="C16" s="1">
        <v>3155400000</v>
      </c>
      <c r="D16">
        <f>(B16/(2^21)+0.5)/50</f>
        <v>5.7511193847656248</v>
      </c>
      <c r="E16">
        <f t="shared" ref="E16" si="4">1000/D16</f>
        <v>173.87919343996595</v>
      </c>
      <c r="F16">
        <f>(C16/(2^21)+0.5)/50</f>
        <v>30.102239379882814</v>
      </c>
      <c r="G16">
        <f t="shared" ref="G16" si="5">1000/F16</f>
        <v>33.220119851558131</v>
      </c>
      <c r="H16" s="4">
        <f>D16-coef!$B$1</f>
        <v>-7.001615234375258E-3</v>
      </c>
      <c r="I16" s="4">
        <f>coef!$B$2*H16+coef!$C$2*H16^2+coef!$D$2*H16^3</f>
        <v>27.669353586431274</v>
      </c>
      <c r="J16" s="4">
        <f>coef!$B$3+coef!$C$3*H16+coef!$D$3*H16^2</f>
        <v>-30875.025125221171</v>
      </c>
      <c r="K16" s="4">
        <f>coef!$B$4+coef!$C$4*H16</f>
        <v>4.0691999999999999E-2</v>
      </c>
      <c r="L16" s="4">
        <f>coef!$B$5+coef!$C$5*H16+coef!$D$5*H16^2+coef!$E$5*H16^3+coef!$F$5*Decimal!H16^4</f>
        <v>30.109994926910019</v>
      </c>
      <c r="M16" s="4">
        <f t="shared" ref="M16:M18" si="6">1-L16^2/F16^2</f>
        <v>-5.1534678198983386E-4</v>
      </c>
      <c r="N16" s="4">
        <f t="shared" ref="N16:N18" si="7">(J16*M16*(1-K16*M16))</f>
        <v>15.911678510855831</v>
      </c>
      <c r="O16" s="6">
        <f t="shared" ref="O16:O18" si="8">N16*6894.7</f>
        <v>109706.24982879769</v>
      </c>
    </row>
    <row r="17" spans="1:19">
      <c r="A17" s="7">
        <v>1.0000053377743616</v>
      </c>
      <c r="B17" s="1">
        <f>B$16/$A17</f>
        <v>601996786.67698634</v>
      </c>
      <c r="C17" s="1">
        <f>C$16/$A17</f>
        <v>3155383157.2766819</v>
      </c>
      <c r="D17">
        <f>(B17/(2^21)+0.5)/50</f>
        <v>5.7510887401293402</v>
      </c>
      <c r="E17">
        <f t="shared" ref="E17:E19" si="9">1000/D17</f>
        <v>173.88011995403679</v>
      </c>
      <c r="F17">
        <f>(C17/(2^21)+0.5)/50</f>
        <v>30.102078755156345</v>
      </c>
      <c r="G17">
        <f t="shared" ref="G17:G19" si="10">1000/F17</f>
        <v>33.220297114155436</v>
      </c>
      <c r="H17" s="4">
        <f>D17-coef!$B$1</f>
        <v>-7.0322598706598072E-3</v>
      </c>
      <c r="I17" s="4">
        <f>coef!$B$2*H17+coef!$C$2*H17^2+coef!$D$2*H17^3</f>
        <v>27.787954673628125</v>
      </c>
      <c r="J17" s="4">
        <f>coef!$B$3+coef!$C$3*H17+coef!$D$3*H17^2</f>
        <v>-30875.028230516047</v>
      </c>
      <c r="K17" s="4">
        <f>coef!$B$4+coef!$C$4*H17</f>
        <v>4.0691999999999999E-2</v>
      </c>
      <c r="L17" s="4">
        <f>coef!$B$5+coef!$C$5*H17+coef!$D$5*H17^2+coef!$E$5*H17^3+coef!$F$5*Decimal!H17^4</f>
        <v>30.109964710723407</v>
      </c>
      <c r="M17" s="4">
        <f t="shared" si="6"/>
        <v>-5.2401620419884054E-4</v>
      </c>
      <c r="N17" s="4">
        <f t="shared" si="7"/>
        <v>16.179360087351963</v>
      </c>
      <c r="O17" s="6">
        <f t="shared" si="8"/>
        <v>111551.83399426557</v>
      </c>
      <c r="Q17" s="4">
        <f>I17-I$16</f>
        <v>0.11860108719685059</v>
      </c>
      <c r="R17" s="6">
        <f>O17-O$16</f>
        <v>1845.5841654678807</v>
      </c>
    </row>
    <row r="18" spans="1:19">
      <c r="A18" s="7">
        <v>1.000005295039607</v>
      </c>
      <c r="B18" s="1">
        <f t="shared" ref="B18:C19" si="11">B$16/$A18</f>
        <v>601996812.40303504</v>
      </c>
      <c r="C18" s="1">
        <f t="shared" si="11"/>
        <v>3155383292.1204929</v>
      </c>
      <c r="D18">
        <f>(B18/(2^21)+0.5)/50</f>
        <v>5.7510889854720597</v>
      </c>
      <c r="E18">
        <f t="shared" si="9"/>
        <v>173.88011253627269</v>
      </c>
      <c r="F18">
        <f>(C18/(2^21)+0.5)/50</f>
        <v>30.102080041127138</v>
      </c>
      <c r="G18">
        <f t="shared" si="10"/>
        <v>33.22029569497338</v>
      </c>
      <c r="H18" s="4">
        <f>D18-coef!$B$1</f>
        <v>-7.0320145279403334E-3</v>
      </c>
      <c r="I18" s="4">
        <f>coef!$B$2*H18+coef!$C$2*H18^2+coef!$D$2*H18^3</f>
        <v>27.787005233098768</v>
      </c>
      <c r="J18" s="4">
        <f>coef!$B$3+coef!$C$3*H18+coef!$D$3*H18^2</f>
        <v>-30875.028206434319</v>
      </c>
      <c r="K18" s="4">
        <f>coef!$B$4+coef!$C$4*H18</f>
        <v>4.0691999999999999E-2</v>
      </c>
      <c r="L18" s="4">
        <f>coef!$B$5+coef!$C$5*H18+coef!$D$5*H18^2+coef!$E$5*H18^3+coef!$F$5*Decimal!H18^4</f>
        <v>30.10996495220812</v>
      </c>
      <c r="M18" s="4">
        <f t="shared" si="6"/>
        <v>-5.2394676735811885E-4</v>
      </c>
      <c r="N18" s="4">
        <f t="shared" si="7"/>
        <v>16.177216118894297</v>
      </c>
      <c r="O18" s="6">
        <f t="shared" si="8"/>
        <v>111537.05197494051</v>
      </c>
      <c r="Q18" s="4">
        <f>I18-I$16</f>
        <v>0.11765164666749328</v>
      </c>
      <c r="R18" s="6">
        <f>O18-O$16</f>
        <v>1830.8021461428143</v>
      </c>
      <c r="S18" s="6">
        <f>R17-R18</f>
        <v>14.782019325066358</v>
      </c>
    </row>
    <row r="19" spans="1:19">
      <c r="A19" s="7">
        <v>1.0000052292503347</v>
      </c>
      <c r="B19" s="1">
        <f t="shared" si="11"/>
        <v>601996852.00776017</v>
      </c>
      <c r="C19" s="1">
        <f t="shared" si="11"/>
        <v>3155383499.7097778</v>
      </c>
      <c r="D19">
        <f>(B19/(2^21)+0.5)/50</f>
        <v>5.7510893631721514</v>
      </c>
      <c r="E19">
        <f t="shared" si="9"/>
        <v>173.88010111677798</v>
      </c>
      <c r="F19">
        <f>(C19/(2^21)+0.5)/50</f>
        <v>30.10208202085283</v>
      </c>
      <c r="G19">
        <f t="shared" si="10"/>
        <v>33.220293510171913</v>
      </c>
      <c r="H19" s="4">
        <f>D19-coef!$B$1</f>
        <v>-7.0316368278486863E-3</v>
      </c>
      <c r="I19" s="4">
        <f>coef!$B$2*H19+coef!$C$2*H19^2+coef!$D$2*H19^3</f>
        <v>27.785543586117626</v>
      </c>
      <c r="J19" s="4">
        <f>coef!$B$3+coef!$C$3*H19+coef!$D$3*H19^2</f>
        <v>-30875.028169336398</v>
      </c>
      <c r="K19" s="4">
        <f>coef!$B$4+coef!$C$4*H19</f>
        <v>4.0691999999999999E-2</v>
      </c>
      <c r="L19" s="4">
        <f>coef!$B$5+coef!$C$5*H19+coef!$D$5*H19^2+coef!$E$5*H19^3+coef!$F$5*Decimal!H19^4</f>
        <v>30.10996532398239</v>
      </c>
      <c r="M19" s="4">
        <f t="shared" ref="M19" si="12">1-L19^2/F19^2</f>
        <v>-5.2383987167758939E-4</v>
      </c>
      <c r="N19" s="4">
        <f t="shared" ref="N19" si="13">(J19*M19*(1-K19*M19))</f>
        <v>16.173915551591097</v>
      </c>
      <c r="O19" s="6">
        <f t="shared" ref="O19" si="14">N19*6894.7</f>
        <v>111514.29555355513</v>
      </c>
      <c r="Q19" s="4">
        <f>I19-I$16</f>
        <v>0.1161899996863518</v>
      </c>
      <c r="R19" s="6">
        <f>O19-O$16</f>
        <v>1808.0457247574377</v>
      </c>
      <c r="S19" s="6">
        <f>R17-R19</f>
        <v>37.538440710442956</v>
      </c>
    </row>
    <row r="22" spans="1:19">
      <c r="A22" s="8"/>
      <c r="B22" s="1">
        <v>602650000</v>
      </c>
      <c r="C22" s="1">
        <v>2950000000</v>
      </c>
      <c r="D22">
        <f>(B22/(2^21)+0.5)/50</f>
        <v>5.7573182678222654</v>
      </c>
      <c r="E22">
        <f t="shared" ref="E22:E25" si="15">1000/D22</f>
        <v>173.69197836239388</v>
      </c>
      <c r="F22">
        <f>(C22/(2^21)+0.5)/50</f>
        <v>28.143392333984377</v>
      </c>
      <c r="G22">
        <f t="shared" ref="G22:G25" si="16">1000/F22</f>
        <v>35.532319207747257</v>
      </c>
      <c r="H22" s="4">
        <f>D22-coef!$B$1</f>
        <v>-8.0273217773463301E-4</v>
      </c>
      <c r="I22" s="4">
        <f>coef!$B$2*H22+coef!$C$2*H22^2+coef!$D$2*H22^3</f>
        <v>3.2300523014733202</v>
      </c>
      <c r="J22" s="4">
        <f>coef!$B$3+coef!$C$3*H22+coef!$D$3*H22^2</f>
        <v>-30870.361319402906</v>
      </c>
      <c r="K22" s="4">
        <f>coef!$B$4+coef!$C$4*H22</f>
        <v>4.0691999999999999E-2</v>
      </c>
      <c r="L22" s="4">
        <f>coef!$B$5+coef!$C$5*H22+coef!$D$5*H22^2+coef!$E$5*H22^3+coef!$F$5*Decimal!H22^4</f>
        <v>30.118354893807965</v>
      </c>
      <c r="M22" s="4">
        <f t="shared" ref="M22:M25" si="17">1-L22^2/F22^2</f>
        <v>-0.14527453083689768</v>
      </c>
      <c r="N22" s="4">
        <f t="shared" ref="N22:N25" si="18">(J22*M22*(1-K22*M22))</f>
        <v>4511.1884773170559</v>
      </c>
      <c r="O22" s="6">
        <f t="shared" ref="O22:O25" si="19">N22*6894.7</f>
        <v>31103291.194557905</v>
      </c>
    </row>
    <row r="23" spans="1:19">
      <c r="A23" s="7">
        <v>1.0000053377743616</v>
      </c>
      <c r="B23" s="1">
        <f>B$22/$A23</f>
        <v>602646783.20745146</v>
      </c>
      <c r="C23" s="1">
        <f>C$22/$A23</f>
        <v>2949984253.6496835</v>
      </c>
      <c r="D23">
        <f>(B23/(2^21)+0.5)/50</f>
        <v>5.7572875900979179</v>
      </c>
      <c r="E23">
        <f t="shared" si="15"/>
        <v>173.69290388062626</v>
      </c>
      <c r="F23">
        <f>(C23/(2^21)+0.5)/50</f>
        <v>28.143242165085635</v>
      </c>
      <c r="G23">
        <f t="shared" si="16"/>
        <v>35.532508803857539</v>
      </c>
      <c r="H23" s="4">
        <f>D23-coef!$B$1</f>
        <v>-8.3340990208213839E-4</v>
      </c>
      <c r="I23" s="4">
        <f>coef!$B$2*H23+coef!$C$2*H23^2+coef!$D$2*H23^3</f>
        <v>3.3531971990712135</v>
      </c>
      <c r="J23" s="4">
        <f>coef!$B$3+coef!$C$3*H23+coef!$D$3*H23^2</f>
        <v>-30870.404175678745</v>
      </c>
      <c r="K23" s="4">
        <f>coef!$B$4+coef!$C$4*H23</f>
        <v>4.0691999999999999E-2</v>
      </c>
      <c r="L23" s="4">
        <f>coef!$B$5+coef!$C$5*H23+coef!$D$5*H23^2+coef!$E$5*H23^3+coef!$F$5*Decimal!H23^4</f>
        <v>30.11830234726693</v>
      </c>
      <c r="M23" s="4">
        <f t="shared" si="17"/>
        <v>-0.14528275667155155</v>
      </c>
      <c r="N23" s="4">
        <f t="shared" si="18"/>
        <v>4511.4516772498055</v>
      </c>
      <c r="O23" s="6">
        <f t="shared" si="19"/>
        <v>31105105.879134234</v>
      </c>
      <c r="Q23" s="4">
        <f>I23-I$22</f>
        <v>0.12314489759789327</v>
      </c>
      <c r="R23" s="6">
        <f>O23-O$22</f>
        <v>1814.6845763288438</v>
      </c>
    </row>
    <row r="24" spans="1:19">
      <c r="A24" s="7">
        <v>1.000005295039607</v>
      </c>
      <c r="B24" s="1">
        <f t="shared" ref="B24:C25" si="20">B$22/$A24</f>
        <v>602646808.96127748</v>
      </c>
      <c r="C24" s="1">
        <f t="shared" si="20"/>
        <v>2949984379.7158694</v>
      </c>
      <c r="D24">
        <f>(B24/(2^21)+0.5)/50</f>
        <v>5.7572878357055428</v>
      </c>
      <c r="E24">
        <f t="shared" si="15"/>
        <v>173.69289647083491</v>
      </c>
      <c r="F24">
        <f>(C24/(2^21)+0.5)/50</f>
        <v>28.143243367346471</v>
      </c>
      <c r="G24">
        <f t="shared" si="16"/>
        <v>35.532507285932148</v>
      </c>
      <c r="H24" s="4">
        <f>D24-coef!$B$1</f>
        <v>-8.3316429445723372E-4</v>
      </c>
      <c r="I24" s="4">
        <f>coef!$B$2*H24+coef!$C$2*H24^2+coef!$D$2*H24^3</f>
        <v>3.3522113807197167</v>
      </c>
      <c r="J24" s="4">
        <f>coef!$B$3+coef!$C$3*H24+coef!$D$3*H24^2</f>
        <v>-30870.403833350061</v>
      </c>
      <c r="K24" s="4">
        <f>coef!$B$4+coef!$C$4*H24</f>
        <v>4.0691999999999999E-2</v>
      </c>
      <c r="L24" s="4">
        <f>coef!$B$5+coef!$C$5*H24+coef!$D$5*H24^2+coef!$E$5*H24^3+coef!$F$5*Decimal!H24^4</f>
        <v>30.118302767509935</v>
      </c>
      <c r="M24" s="4">
        <f t="shared" si="17"/>
        <v>-0.14528269078053779</v>
      </c>
      <c r="N24" s="4">
        <f t="shared" si="18"/>
        <v>4511.4495690887697</v>
      </c>
      <c r="O24" s="6">
        <f t="shared" si="19"/>
        <v>31105091.343996339</v>
      </c>
      <c r="Q24" s="4">
        <f t="shared" ref="Q24:Q25" si="21">I24-I$22</f>
        <v>0.12215907924639646</v>
      </c>
      <c r="R24" s="6">
        <f t="shared" ref="R24:R25" si="22">O24-O$22</f>
        <v>1800.1494384333491</v>
      </c>
      <c r="S24" s="6">
        <f>R23-R24</f>
        <v>14.535137895494699</v>
      </c>
    </row>
    <row r="25" spans="1:19">
      <c r="A25" s="7">
        <v>1.0000052292503347</v>
      </c>
      <c r="B25" s="1">
        <f t="shared" si="20"/>
        <v>602646848.60876513</v>
      </c>
      <c r="C25" s="1">
        <f t="shared" si="20"/>
        <v>2949984573.7921801</v>
      </c>
      <c r="D25">
        <f>(B25/(2^21)+0.5)/50</f>
        <v>5.7572882138134496</v>
      </c>
      <c r="E25">
        <f t="shared" si="15"/>
        <v>173.69288506361417</v>
      </c>
      <c r="F25">
        <f>(C25/(2^21)+0.5)/50</f>
        <v>28.143245218202402</v>
      </c>
      <c r="G25">
        <f t="shared" si="16"/>
        <v>35.532504949117346</v>
      </c>
      <c r="H25" s="4">
        <f>D25-coef!$B$1</f>
        <v>-8.3278618655047154E-4</v>
      </c>
      <c r="I25" s="4">
        <f>coef!$B$2*H25+coef!$C$2*H25^2+coef!$D$2*H25^3</f>
        <v>3.3506937308260576</v>
      </c>
      <c r="J25" s="4">
        <f>coef!$B$3+coef!$C$3*H25+coef!$D$3*H25^2</f>
        <v>-30870.403306317414</v>
      </c>
      <c r="K25" s="4">
        <f>coef!$B$4+coef!$C$4*H25</f>
        <v>4.0691999999999999E-2</v>
      </c>
      <c r="L25" s="4">
        <f>coef!$B$5+coef!$C$5*H25+coef!$D$5*H25^2+coef!$E$5*H25^3+coef!$F$5*Decimal!H25^4</f>
        <v>30.118303414479552</v>
      </c>
      <c r="M25" s="4">
        <f t="shared" si="17"/>
        <v>-0.14528258934376015</v>
      </c>
      <c r="N25" s="4">
        <f t="shared" si="18"/>
        <v>4511.4463236485399</v>
      </c>
      <c r="O25" s="6">
        <f t="shared" si="19"/>
        <v>31105068.967659589</v>
      </c>
      <c r="Q25" s="4">
        <f t="shared" si="21"/>
        <v>0.12064142935273736</v>
      </c>
      <c r="R25" s="6">
        <f t="shared" si="22"/>
        <v>1777.773101683706</v>
      </c>
      <c r="S25" s="6">
        <f>R23-R25</f>
        <v>36.911474645137787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58BD-B26D-49F9-B3ED-9E7530DA6495}">
  <dimension ref="A1:F5"/>
  <sheetViews>
    <sheetView workbookViewId="0">
      <selection sqref="A1:F5"/>
    </sheetView>
  </sheetViews>
  <sheetFormatPr defaultRowHeight="15"/>
  <sheetData>
    <row r="1" spans="1:6">
      <c r="A1" t="s">
        <v>2</v>
      </c>
      <c r="B1">
        <v>5.758121</v>
      </c>
    </row>
    <row r="2" spans="1:6">
      <c r="A2" t="s">
        <v>3</v>
      </c>
      <c r="B2">
        <v>-4033.143</v>
      </c>
      <c r="C2">
        <v>-11610.19</v>
      </c>
      <c r="D2">
        <v>0</v>
      </c>
    </row>
    <row r="3" spans="1:6">
      <c r="A3" t="s">
        <v>4</v>
      </c>
      <c r="B3">
        <v>-30869.17</v>
      </c>
      <c r="C3">
        <v>1567.972</v>
      </c>
      <c r="D3">
        <v>104507.1</v>
      </c>
    </row>
    <row r="4" spans="1:6">
      <c r="A4" t="s">
        <v>5</v>
      </c>
      <c r="B4">
        <v>4.0691999999999999E-2</v>
      </c>
      <c r="C4">
        <v>0</v>
      </c>
    </row>
    <row r="5" spans="1:6">
      <c r="A5" t="s">
        <v>6</v>
      </c>
      <c r="B5">
        <v>30.119769999999999</v>
      </c>
      <c r="C5">
        <v>1.811118</v>
      </c>
      <c r="D5">
        <v>60.223550000000003</v>
      </c>
      <c r="E5">
        <v>135.8758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Decimal</vt:lpstr>
      <vt:lpstr>coef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Palmer</dc:creator>
  <cp:lastModifiedBy>Neville Palmer</cp:lastModifiedBy>
  <dcterms:created xsi:type="dcterms:W3CDTF">2018-11-28T19:47:21Z</dcterms:created>
  <dcterms:modified xsi:type="dcterms:W3CDTF">2018-12-11T03:58:22Z</dcterms:modified>
</cp:coreProperties>
</file>