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Desktop\LogicielExcel ALL\"/>
    </mc:Choice>
  </mc:AlternateContent>
  <xr:revisionPtr revIDLastSave="0" documentId="13_ncr:1_{1159D1E5-6FCC-4B66-9980-A853DC2C62EA}" xr6:coauthVersionLast="45" xr6:coauthVersionMax="45" xr10:uidLastSave="{00000000-0000-0000-0000-000000000000}"/>
  <bookViews>
    <workbookView xWindow="25080" yWindow="-120" windowWidth="25440" windowHeight="15390" tabRatio="676" activeTab="1" xr2:uid="{00000000-000D-0000-FFFF-FFFF00000000}"/>
  </bookViews>
  <sheets>
    <sheet name="Formulaire" sheetId="1" r:id="rId1"/>
    <sheet name="Sommaire" sheetId="2" r:id="rId2"/>
    <sheet name="Item1" sheetId="3" r:id="rId3"/>
    <sheet name="Item2" sheetId="4" r:id="rId4"/>
    <sheet name="Item3" sheetId="5" r:id="rId5"/>
    <sheet name="Item4" sheetId="7" r:id="rId6"/>
    <sheet name="Item5" sheetId="8" r:id="rId7"/>
    <sheet name="Item6" sheetId="9" r:id="rId8"/>
    <sheet name="Item7" sheetId="10" r:id="rId9"/>
    <sheet name="Item8" sheetId="11" r:id="rId10"/>
    <sheet name="Item9" sheetId="12" r:id="rId11"/>
    <sheet name="Item10" sheetId="13" r:id="rId12"/>
    <sheet name="Item11" sheetId="14" r:id="rId13"/>
    <sheet name="Item12" sheetId="15" r:id="rId14"/>
    <sheet name="Estimation" sheetId="16" r:id="rId15"/>
    <sheet name="Variance" sheetId="17" r:id="rId16"/>
    <sheet name="calcul fardeau" sheetId="18" r:id="rId17"/>
    <sheet name="taux horaire " sheetId="19" r:id="rId18"/>
    <sheet name="CSST CCQ" sheetId="22" r:id="rId19"/>
    <sheet name="Evaluation progressive" sheetId="23" r:id="rId20"/>
    <sheet name="Feuil1" sheetId="20" r:id="rId21"/>
    <sheet name="Feuil2" sheetId="21" r:id="rId22"/>
    <sheet name="Feuil3" sheetId="24" r:id="rId23"/>
  </sheets>
  <externalReferences>
    <externalReference r:id="rId24"/>
    <externalReference r:id="rId25"/>
  </externalReferences>
  <definedNames>
    <definedName name="_xlnm.Print_Area" localSheetId="2">Item1!$A$1:$Q$74</definedName>
    <definedName name="_xlnm.Print_Area" localSheetId="11">Item10!$A$1:$O$63</definedName>
    <definedName name="_xlnm.Print_Area" localSheetId="12">Item11!$A$1:$O$63</definedName>
    <definedName name="_xlnm.Print_Area" localSheetId="13">Item12!$A$1:$O$63</definedName>
    <definedName name="_xlnm.Print_Area" localSheetId="3">Item2!$A$1:$O$71</definedName>
    <definedName name="_xlnm.Print_Area" localSheetId="4">Item3!$A$1:$O$63</definedName>
    <definedName name="_xlnm.Print_Area" localSheetId="5">Item4!$A$1:$O$63</definedName>
    <definedName name="_xlnm.Print_Area" localSheetId="6">Item5!$A$1:$O$63</definedName>
    <definedName name="_xlnm.Print_Area" localSheetId="7">Item6!$A$1:$O$63</definedName>
    <definedName name="_xlnm.Print_Area" localSheetId="8">Item7!$A$1:$O$63</definedName>
    <definedName name="_xlnm.Print_Area" localSheetId="9">Item8!$A$1:$O$63</definedName>
    <definedName name="_xlnm.Print_Area" localSheetId="10">Item9!$A$1:$O$63</definedName>
  </definedNames>
  <calcPr calcId="191029"/>
</workbook>
</file>

<file path=xl/calcChain.xml><?xml version="1.0" encoding="utf-8"?>
<calcChain xmlns="http://schemas.openxmlformats.org/spreadsheetml/2006/main">
  <c r="F4" i="1" l="1"/>
  <c r="J5" i="9" l="1"/>
  <c r="I5" i="9"/>
  <c r="J5" i="8"/>
  <c r="I5" i="8"/>
  <c r="J5" i="7"/>
  <c r="I5" i="7"/>
  <c r="J5" i="5"/>
  <c r="I5" i="5"/>
  <c r="E41" i="3"/>
  <c r="W23" i="18" l="1"/>
  <c r="J5" i="18" l="1"/>
  <c r="O20" i="18" l="1"/>
  <c r="O8" i="18"/>
  <c r="O9" i="18"/>
  <c r="O10" i="18"/>
  <c r="O11" i="18"/>
  <c r="O12" i="18"/>
  <c r="O13" i="18"/>
  <c r="O14" i="18"/>
  <c r="O15" i="18"/>
  <c r="O16" i="18"/>
  <c r="O17" i="18"/>
  <c r="O18" i="18"/>
  <c r="L10" i="18"/>
  <c r="P20" i="18" l="1"/>
  <c r="C3" i="22"/>
  <c r="B30" i="23"/>
  <c r="B29" i="23"/>
  <c r="B28" i="23"/>
  <c r="B27" i="23"/>
  <c r="B26" i="23"/>
  <c r="B25" i="23"/>
  <c r="B24" i="23"/>
  <c r="B23" i="23"/>
  <c r="B22" i="23"/>
  <c r="B21" i="23"/>
  <c r="B20" i="23"/>
  <c r="B19" i="23"/>
  <c r="B12" i="23"/>
  <c r="B11" i="23"/>
  <c r="B10" i="23"/>
  <c r="E7" i="23"/>
  <c r="D48" i="23"/>
  <c r="D47" i="23"/>
  <c r="D49" i="23" s="1"/>
  <c r="D52" i="23" s="1"/>
  <c r="H44" i="23"/>
  <c r="G44" i="23"/>
  <c r="F44" i="23"/>
  <c r="D44" i="23"/>
  <c r="E44" i="23" s="1"/>
  <c r="G35" i="23"/>
  <c r="G46" i="23" s="1"/>
  <c r="F33" i="23"/>
  <c r="H33" i="23" s="1"/>
  <c r="F32" i="23"/>
  <c r="H32" i="23" s="1"/>
  <c r="G48" i="23" l="1"/>
  <c r="G47" i="23"/>
  <c r="C21" i="19"/>
  <c r="K23" i="18"/>
  <c r="U23" i="18" s="1"/>
  <c r="H37" i="19" s="1"/>
  <c r="V23" i="18"/>
  <c r="X23" i="18" s="1"/>
  <c r="Y23" i="18" s="1"/>
  <c r="Z23" i="18" s="1"/>
  <c r="G49" i="23" l="1"/>
  <c r="G50" i="23" s="1"/>
  <c r="G52" i="23" s="1"/>
  <c r="AA23" i="18"/>
  <c r="D18" i="18"/>
  <c r="F18" i="18" s="1"/>
  <c r="AB23" i="18" l="1"/>
  <c r="D37" i="19"/>
  <c r="H18" i="18"/>
  <c r="G18" i="18"/>
  <c r="I18" i="18"/>
  <c r="J18" i="18"/>
  <c r="J5" i="4"/>
  <c r="I5" i="4"/>
  <c r="J5" i="3"/>
  <c r="I5" i="3"/>
  <c r="C15" i="1"/>
  <c r="C14" i="1"/>
  <c r="C13" i="1"/>
  <c r="F35" i="1" l="1"/>
  <c r="F36" i="1"/>
  <c r="C20" i="18"/>
  <c r="D17" i="18"/>
  <c r="C22" i="19"/>
  <c r="F17" i="18" l="1"/>
  <c r="H17" i="18"/>
  <c r="G17" i="18"/>
  <c r="I17" i="18"/>
  <c r="J17" i="18"/>
  <c r="D16" i="18"/>
  <c r="I16" i="18" s="1"/>
  <c r="G16" i="18"/>
  <c r="D15" i="18"/>
  <c r="E11" i="19"/>
  <c r="M17" i="19"/>
  <c r="M18" i="19"/>
  <c r="M19" i="19" s="1"/>
  <c r="M15" i="19"/>
  <c r="M9" i="19"/>
  <c r="F16" i="18" l="1"/>
  <c r="J16" i="18"/>
  <c r="H16" i="18"/>
  <c r="E5" i="19"/>
  <c r="D26" i="18"/>
  <c r="P26" i="18" s="1"/>
  <c r="O26" i="18"/>
  <c r="J26" i="18" l="1"/>
  <c r="L26" i="18"/>
  <c r="G26" i="18"/>
  <c r="H26" i="18"/>
  <c r="F26" i="18"/>
  <c r="M26" i="18"/>
  <c r="I26" i="18"/>
  <c r="G6" i="13" l="1"/>
  <c r="E6" i="15"/>
  <c r="E49" i="15" s="1"/>
  <c r="G49" i="15" s="1"/>
  <c r="I49" i="15" s="1"/>
  <c r="K49" i="15" s="1"/>
  <c r="E6" i="14"/>
  <c r="E51" i="14" s="1"/>
  <c r="G51" i="14" s="1"/>
  <c r="I51" i="14" s="1"/>
  <c r="K51" i="14" s="1"/>
  <c r="E6" i="13"/>
  <c r="E49" i="13" s="1"/>
  <c r="G49" i="13" s="1"/>
  <c r="I49" i="13" s="1"/>
  <c r="K49" i="13" s="1"/>
  <c r="E6" i="12"/>
  <c r="E48" i="12" s="1"/>
  <c r="G48" i="12" s="1"/>
  <c r="I48" i="12" s="1"/>
  <c r="K48" i="12" s="1"/>
  <c r="E6" i="11"/>
  <c r="E50" i="11" s="1"/>
  <c r="G50" i="11" s="1"/>
  <c r="I50" i="11" s="1"/>
  <c r="K50" i="11" s="1"/>
  <c r="E6" i="10"/>
  <c r="E51" i="10" s="1"/>
  <c r="G51" i="10" s="1"/>
  <c r="I51" i="10" s="1"/>
  <c r="K51" i="10" s="1"/>
  <c r="E6" i="9"/>
  <c r="E50" i="9" s="1"/>
  <c r="G50" i="9" s="1"/>
  <c r="I50" i="9" s="1"/>
  <c r="K50" i="9" s="1"/>
  <c r="E6" i="8"/>
  <c r="E51" i="8" s="1"/>
  <c r="G51" i="8" s="1"/>
  <c r="I51" i="8" s="1"/>
  <c r="K51" i="8" s="1"/>
  <c r="E6" i="7"/>
  <c r="E49" i="7" s="1"/>
  <c r="G49" i="7" s="1"/>
  <c r="I49" i="7" s="1"/>
  <c r="K49" i="7" s="1"/>
  <c r="E6" i="4"/>
  <c r="E47" i="4" s="1"/>
  <c r="G47" i="4" s="1"/>
  <c r="I47" i="4" s="1"/>
  <c r="K47" i="4" s="1"/>
  <c r="C6" i="15"/>
  <c r="C5" i="15"/>
  <c r="G6" i="15"/>
  <c r="C6" i="14"/>
  <c r="C5" i="14"/>
  <c r="G6" i="14"/>
  <c r="C6" i="13"/>
  <c r="C5" i="13"/>
  <c r="C6" i="12"/>
  <c r="C5" i="12"/>
  <c r="G6" i="12"/>
  <c r="C5" i="11"/>
  <c r="C6" i="11"/>
  <c r="G6" i="11"/>
  <c r="C5" i="10"/>
  <c r="C6" i="10"/>
  <c r="G6" i="10"/>
  <c r="G6" i="9"/>
  <c r="C6" i="9"/>
  <c r="C5" i="9"/>
  <c r="C5" i="8"/>
  <c r="C6" i="8"/>
  <c r="G6" i="8"/>
  <c r="G6" i="7"/>
  <c r="C6" i="7"/>
  <c r="C5" i="7"/>
  <c r="C5" i="4"/>
  <c r="C6" i="4"/>
  <c r="C5" i="5"/>
  <c r="E6" i="5"/>
  <c r="E49" i="5" s="1"/>
  <c r="G49" i="5" s="1"/>
  <c r="I49" i="5" s="1"/>
  <c r="K49" i="5" s="1"/>
  <c r="C6" i="5"/>
  <c r="G6" i="5"/>
  <c r="G6" i="4"/>
  <c r="Q60" i="15"/>
  <c r="Q60" i="3"/>
  <c r="M75" i="15"/>
  <c r="M74" i="15"/>
  <c r="P73" i="15"/>
  <c r="M73" i="15"/>
  <c r="M71" i="15"/>
  <c r="P70" i="15"/>
  <c r="M70" i="15"/>
  <c r="M69" i="15"/>
  <c r="O59" i="15" s="1"/>
  <c r="M68" i="15"/>
  <c r="P67" i="15"/>
  <c r="M66" i="15"/>
  <c r="M62" i="15"/>
  <c r="M61" i="15"/>
  <c r="M60" i="15"/>
  <c r="M59" i="15"/>
  <c r="M58" i="15"/>
  <c r="L52" i="15"/>
  <c r="L53" i="15" s="1"/>
  <c r="L54" i="15" s="1"/>
  <c r="G41" i="15"/>
  <c r="I41" i="15" s="1"/>
  <c r="K41" i="15" s="1"/>
  <c r="E31" i="15"/>
  <c r="G31" i="15" s="1"/>
  <c r="I31" i="15" s="1"/>
  <c r="K31" i="15" s="1"/>
  <c r="E28" i="15"/>
  <c r="G28" i="15" s="1"/>
  <c r="I28" i="15" s="1"/>
  <c r="K28" i="15" s="1"/>
  <c r="E23" i="15"/>
  <c r="G23" i="15" s="1"/>
  <c r="I23" i="15" s="1"/>
  <c r="K23" i="15" s="1"/>
  <c r="E20" i="15"/>
  <c r="G20" i="15" s="1"/>
  <c r="I20" i="15" s="1"/>
  <c r="K20" i="15" s="1"/>
  <c r="E15" i="15"/>
  <c r="G15" i="15" s="1"/>
  <c r="I15" i="15" s="1"/>
  <c r="K15" i="15" s="1"/>
  <c r="E12" i="15"/>
  <c r="G12" i="15" s="1"/>
  <c r="I12" i="15" s="1"/>
  <c r="K12" i="15" s="1"/>
  <c r="G5" i="15"/>
  <c r="G4" i="15"/>
  <c r="G3" i="15"/>
  <c r="C3" i="15"/>
  <c r="G2" i="15"/>
  <c r="C2" i="15"/>
  <c r="M75" i="14"/>
  <c r="M74" i="14"/>
  <c r="P73" i="14"/>
  <c r="M73" i="14"/>
  <c r="M71" i="14"/>
  <c r="P70" i="14"/>
  <c r="M70" i="14"/>
  <c r="M69" i="14"/>
  <c r="O59" i="14" s="1"/>
  <c r="J52" i="2" s="1"/>
  <c r="M68" i="14"/>
  <c r="P67" i="14"/>
  <c r="M66" i="14"/>
  <c r="M62" i="14"/>
  <c r="M61" i="14"/>
  <c r="Q60" i="14"/>
  <c r="M60" i="14"/>
  <c r="M59" i="14"/>
  <c r="M58" i="14"/>
  <c r="L52" i="14"/>
  <c r="L53" i="14" s="1"/>
  <c r="L54" i="14" s="1"/>
  <c r="E42" i="14"/>
  <c r="G42" i="14" s="1"/>
  <c r="I42" i="14" s="1"/>
  <c r="K42" i="14" s="1"/>
  <c r="G41" i="14"/>
  <c r="I41" i="14" s="1"/>
  <c r="K41" i="14" s="1"/>
  <c r="G5" i="14"/>
  <c r="G4" i="14"/>
  <c r="G3" i="14"/>
  <c r="C3" i="14"/>
  <c r="G2" i="14"/>
  <c r="C2" i="14"/>
  <c r="M75" i="13"/>
  <c r="M74" i="13"/>
  <c r="P73" i="13"/>
  <c r="M73" i="13"/>
  <c r="M71" i="13"/>
  <c r="P70" i="13"/>
  <c r="M70" i="13"/>
  <c r="M69" i="13"/>
  <c r="O59" i="13" s="1"/>
  <c r="M68" i="13"/>
  <c r="P67" i="13"/>
  <c r="M66" i="13"/>
  <c r="M62" i="13"/>
  <c r="M61" i="13"/>
  <c r="Q60" i="13"/>
  <c r="M60" i="13"/>
  <c r="M59" i="13"/>
  <c r="M58" i="13"/>
  <c r="L52" i="13"/>
  <c r="L53" i="13" s="1"/>
  <c r="L54" i="13" s="1"/>
  <c r="G41" i="13"/>
  <c r="I41" i="13" s="1"/>
  <c r="K41" i="13" s="1"/>
  <c r="G5" i="13"/>
  <c r="G4" i="13"/>
  <c r="G3" i="13"/>
  <c r="C3" i="13"/>
  <c r="G2" i="13"/>
  <c r="C2" i="13"/>
  <c r="M75" i="12"/>
  <c r="M74" i="12"/>
  <c r="P73" i="12"/>
  <c r="M73" i="12"/>
  <c r="M71" i="12"/>
  <c r="P70" i="12"/>
  <c r="M70" i="12"/>
  <c r="M69" i="12"/>
  <c r="O59" i="12" s="1"/>
  <c r="M68" i="12"/>
  <c r="P67" i="12"/>
  <c r="M66" i="12"/>
  <c r="M62" i="12"/>
  <c r="M61" i="12"/>
  <c r="Q60" i="12"/>
  <c r="M60" i="12"/>
  <c r="M59" i="12"/>
  <c r="M58" i="12"/>
  <c r="L52" i="12"/>
  <c r="E47" i="12"/>
  <c r="G47" i="12" s="1"/>
  <c r="I47" i="12" s="1"/>
  <c r="K47" i="12" s="1"/>
  <c r="G41" i="12"/>
  <c r="I41" i="12" s="1"/>
  <c r="K41" i="12" s="1"/>
  <c r="E51" i="12"/>
  <c r="G51" i="12" s="1"/>
  <c r="I51" i="12" s="1"/>
  <c r="K51" i="12" s="1"/>
  <c r="G5" i="12"/>
  <c r="G4" i="12"/>
  <c r="G3" i="12"/>
  <c r="C3" i="12"/>
  <c r="G2" i="12"/>
  <c r="C2" i="12"/>
  <c r="M75" i="11"/>
  <c r="M74" i="11"/>
  <c r="P73" i="11"/>
  <c r="M73" i="11"/>
  <c r="M71" i="11"/>
  <c r="P70" i="11"/>
  <c r="M70" i="11"/>
  <c r="M69" i="11"/>
  <c r="O59" i="11" s="1"/>
  <c r="M68" i="11"/>
  <c r="P67" i="11"/>
  <c r="M66" i="11"/>
  <c r="M62" i="11"/>
  <c r="M61" i="11"/>
  <c r="Q60" i="11"/>
  <c r="M60" i="11"/>
  <c r="M59" i="11"/>
  <c r="M58" i="11"/>
  <c r="L52" i="11"/>
  <c r="L53" i="11" s="1"/>
  <c r="L54" i="11" s="1"/>
  <c r="G41" i="11"/>
  <c r="I41" i="11" s="1"/>
  <c r="K41" i="11" s="1"/>
  <c r="E30" i="11"/>
  <c r="G30" i="11" s="1"/>
  <c r="I30" i="11" s="1"/>
  <c r="K30" i="11" s="1"/>
  <c r="E28" i="11"/>
  <c r="G28" i="11" s="1"/>
  <c r="I28" i="11" s="1"/>
  <c r="K28" i="11" s="1"/>
  <c r="E22" i="11"/>
  <c r="G22" i="11" s="1"/>
  <c r="I22" i="11" s="1"/>
  <c r="K22" i="11" s="1"/>
  <c r="E19" i="11"/>
  <c r="G19" i="11" s="1"/>
  <c r="I19" i="11" s="1"/>
  <c r="K19" i="11" s="1"/>
  <c r="G5" i="11"/>
  <c r="G4" i="11"/>
  <c r="G3" i="11"/>
  <c r="C3" i="11"/>
  <c r="G2" i="11"/>
  <c r="C2" i="11"/>
  <c r="M75" i="10"/>
  <c r="M74" i="10"/>
  <c r="P73" i="10"/>
  <c r="M73" i="10"/>
  <c r="M71" i="10"/>
  <c r="P70" i="10"/>
  <c r="M70" i="10"/>
  <c r="M69" i="10"/>
  <c r="M68" i="10"/>
  <c r="Q63" i="10" s="1"/>
  <c r="P67" i="10"/>
  <c r="M66" i="10"/>
  <c r="M62" i="10"/>
  <c r="M61" i="10"/>
  <c r="Q60" i="10"/>
  <c r="M60" i="10"/>
  <c r="O59" i="10"/>
  <c r="M59" i="10"/>
  <c r="M58" i="10"/>
  <c r="L52" i="10"/>
  <c r="L53" i="10" s="1"/>
  <c r="L54" i="10" s="1"/>
  <c r="E50" i="10"/>
  <c r="G50" i="10" s="1"/>
  <c r="I50" i="10" s="1"/>
  <c r="K50" i="10" s="1"/>
  <c r="G41" i="10"/>
  <c r="I41" i="10" s="1"/>
  <c r="K41" i="10" s="1"/>
  <c r="G5" i="10"/>
  <c r="G4" i="10"/>
  <c r="G3" i="10"/>
  <c r="C3" i="10"/>
  <c r="G2" i="10"/>
  <c r="C2" i="10"/>
  <c r="M75" i="9"/>
  <c r="M74" i="9"/>
  <c r="P73" i="9"/>
  <c r="M73" i="9"/>
  <c r="M71" i="9"/>
  <c r="P70" i="9"/>
  <c r="M70" i="9"/>
  <c r="M69" i="9"/>
  <c r="O59" i="9" s="1"/>
  <c r="M68" i="9"/>
  <c r="P67" i="9"/>
  <c r="M66" i="9"/>
  <c r="M62" i="9"/>
  <c r="M61" i="9"/>
  <c r="Q60" i="9"/>
  <c r="M60" i="9"/>
  <c r="M59" i="9"/>
  <c r="M58" i="9"/>
  <c r="L52" i="9"/>
  <c r="L53" i="9" s="1"/>
  <c r="L54" i="9" s="1"/>
  <c r="G41" i="9"/>
  <c r="I41" i="9" s="1"/>
  <c r="K41" i="9" s="1"/>
  <c r="G5" i="9"/>
  <c r="G4" i="9"/>
  <c r="G3" i="9"/>
  <c r="C3" i="9"/>
  <c r="G2" i="9"/>
  <c r="C2" i="9"/>
  <c r="M75" i="8"/>
  <c r="M74" i="8"/>
  <c r="P73" i="8"/>
  <c r="M73" i="8"/>
  <c r="M71" i="8"/>
  <c r="P70" i="8"/>
  <c r="M70" i="8"/>
  <c r="M69" i="8"/>
  <c r="O59" i="8" s="1"/>
  <c r="M68" i="8"/>
  <c r="P67" i="8"/>
  <c r="M66" i="8"/>
  <c r="M62" i="8"/>
  <c r="M61" i="8"/>
  <c r="Q60" i="8"/>
  <c r="M60" i="8"/>
  <c r="M59" i="8"/>
  <c r="M58" i="8"/>
  <c r="L52" i="8"/>
  <c r="L53" i="8" s="1"/>
  <c r="L54" i="8" s="1"/>
  <c r="E50" i="8"/>
  <c r="G50" i="8" s="1"/>
  <c r="I50" i="8" s="1"/>
  <c r="K50" i="8" s="1"/>
  <c r="E49" i="8"/>
  <c r="G49" i="8" s="1"/>
  <c r="I49" i="8" s="1"/>
  <c r="K49" i="8" s="1"/>
  <c r="E48" i="8"/>
  <c r="G48" i="8" s="1"/>
  <c r="I48" i="8" s="1"/>
  <c r="K48" i="8" s="1"/>
  <c r="E43" i="8"/>
  <c r="G43" i="8" s="1"/>
  <c r="I43" i="8" s="1"/>
  <c r="K43" i="8" s="1"/>
  <c r="G41" i="8"/>
  <c r="I41" i="8" s="1"/>
  <c r="K41" i="8" s="1"/>
  <c r="E38" i="8"/>
  <c r="G38" i="8" s="1"/>
  <c r="I38" i="8" s="1"/>
  <c r="K38" i="8" s="1"/>
  <c r="E36" i="8"/>
  <c r="G36" i="8" s="1"/>
  <c r="I36" i="8" s="1"/>
  <c r="K36" i="8" s="1"/>
  <c r="E35" i="8"/>
  <c r="G35" i="8" s="1"/>
  <c r="I35" i="8" s="1"/>
  <c r="K35" i="8" s="1"/>
  <c r="E34" i="8"/>
  <c r="G34" i="8" s="1"/>
  <c r="I34" i="8" s="1"/>
  <c r="K34" i="8" s="1"/>
  <c r="E32" i="8"/>
  <c r="G32" i="8" s="1"/>
  <c r="I32" i="8" s="1"/>
  <c r="K32" i="8" s="1"/>
  <c r="E31" i="8"/>
  <c r="G31" i="8" s="1"/>
  <c r="I31" i="8" s="1"/>
  <c r="K31" i="8" s="1"/>
  <c r="E30" i="8"/>
  <c r="G30" i="8" s="1"/>
  <c r="I30" i="8" s="1"/>
  <c r="K30" i="8" s="1"/>
  <c r="E28" i="8"/>
  <c r="G28" i="8" s="1"/>
  <c r="I28" i="8" s="1"/>
  <c r="K28" i="8" s="1"/>
  <c r="E27" i="8"/>
  <c r="G27" i="8" s="1"/>
  <c r="I27" i="8" s="1"/>
  <c r="K27" i="8" s="1"/>
  <c r="E26" i="8"/>
  <c r="G26" i="8" s="1"/>
  <c r="I26" i="8" s="1"/>
  <c r="K26" i="8" s="1"/>
  <c r="E24" i="8"/>
  <c r="G24" i="8" s="1"/>
  <c r="I24" i="8" s="1"/>
  <c r="K24" i="8" s="1"/>
  <c r="E23" i="8"/>
  <c r="G23" i="8" s="1"/>
  <c r="I23" i="8" s="1"/>
  <c r="K23" i="8" s="1"/>
  <c r="E22" i="8"/>
  <c r="G22" i="8" s="1"/>
  <c r="I22" i="8" s="1"/>
  <c r="K22" i="8" s="1"/>
  <c r="E20" i="8"/>
  <c r="G20" i="8" s="1"/>
  <c r="I20" i="8" s="1"/>
  <c r="K20" i="8" s="1"/>
  <c r="E19" i="8"/>
  <c r="G19" i="8" s="1"/>
  <c r="I19" i="8" s="1"/>
  <c r="K19" i="8" s="1"/>
  <c r="E18" i="8"/>
  <c r="G18" i="8" s="1"/>
  <c r="I18" i="8" s="1"/>
  <c r="K18" i="8" s="1"/>
  <c r="E16" i="8"/>
  <c r="G16" i="8" s="1"/>
  <c r="I16" i="8" s="1"/>
  <c r="K16" i="8" s="1"/>
  <c r="E15" i="8"/>
  <c r="G15" i="8" s="1"/>
  <c r="I15" i="8" s="1"/>
  <c r="K15" i="8" s="1"/>
  <c r="E14" i="8"/>
  <c r="G14" i="8" s="1"/>
  <c r="I14" i="8" s="1"/>
  <c r="K14" i="8" s="1"/>
  <c r="E12" i="8"/>
  <c r="G12" i="8" s="1"/>
  <c r="I12" i="8" s="1"/>
  <c r="K12" i="8" s="1"/>
  <c r="E11" i="8"/>
  <c r="G11" i="8" s="1"/>
  <c r="I11" i="8" s="1"/>
  <c r="K11" i="8" s="1"/>
  <c r="E10" i="8"/>
  <c r="G10" i="8" s="1"/>
  <c r="I10" i="8" s="1"/>
  <c r="G5" i="8"/>
  <c r="G4" i="8"/>
  <c r="G3" i="8"/>
  <c r="C3" i="8"/>
  <c r="G2" i="8"/>
  <c r="C2" i="8"/>
  <c r="M75" i="7"/>
  <c r="M74" i="7"/>
  <c r="P73" i="7"/>
  <c r="M73" i="7"/>
  <c r="M71" i="7"/>
  <c r="P70" i="7"/>
  <c r="M70" i="7"/>
  <c r="M69" i="7"/>
  <c r="O59" i="7" s="1"/>
  <c r="M68" i="7"/>
  <c r="P67" i="7"/>
  <c r="M66" i="7"/>
  <c r="M62" i="7"/>
  <c r="M61" i="7"/>
  <c r="Q60" i="7"/>
  <c r="M60" i="7"/>
  <c r="M59" i="7"/>
  <c r="M58" i="7"/>
  <c r="L52" i="7"/>
  <c r="G41" i="7"/>
  <c r="I41" i="7" s="1"/>
  <c r="K41" i="7" s="1"/>
  <c r="G5" i="7"/>
  <c r="G4" i="7"/>
  <c r="G3" i="7"/>
  <c r="C3" i="7"/>
  <c r="G2" i="7"/>
  <c r="C2" i="7"/>
  <c r="M75" i="5"/>
  <c r="M74" i="5"/>
  <c r="P73" i="5"/>
  <c r="M73" i="5"/>
  <c r="M71" i="5"/>
  <c r="P70" i="5"/>
  <c r="M70" i="5"/>
  <c r="M69" i="5"/>
  <c r="O59" i="5" s="1"/>
  <c r="M68" i="5"/>
  <c r="P67" i="5"/>
  <c r="M66" i="5"/>
  <c r="M62" i="5"/>
  <c r="M61" i="5"/>
  <c r="Q60" i="5"/>
  <c r="M60" i="5"/>
  <c r="M59" i="5"/>
  <c r="M58" i="5"/>
  <c r="L52" i="5"/>
  <c r="L53" i="5" s="1"/>
  <c r="E51" i="5"/>
  <c r="G51" i="5" s="1"/>
  <c r="I51" i="5" s="1"/>
  <c r="K51" i="5" s="1"/>
  <c r="G41" i="5"/>
  <c r="I41" i="5" s="1"/>
  <c r="K41" i="5" s="1"/>
  <c r="E39" i="5"/>
  <c r="G39" i="5" s="1"/>
  <c r="I39" i="5" s="1"/>
  <c r="K39" i="5" s="1"/>
  <c r="E31" i="5"/>
  <c r="G31" i="5" s="1"/>
  <c r="I31" i="5" s="1"/>
  <c r="K31" i="5" s="1"/>
  <c r="E27" i="5"/>
  <c r="G27" i="5" s="1"/>
  <c r="I27" i="5" s="1"/>
  <c r="K27" i="5" s="1"/>
  <c r="E23" i="5"/>
  <c r="G23" i="5" s="1"/>
  <c r="I23" i="5" s="1"/>
  <c r="K23" i="5" s="1"/>
  <c r="E15" i="5"/>
  <c r="G15" i="5" s="1"/>
  <c r="I15" i="5" s="1"/>
  <c r="K15" i="5" s="1"/>
  <c r="E11" i="5"/>
  <c r="G11" i="5" s="1"/>
  <c r="I11" i="5" s="1"/>
  <c r="K11" i="5" s="1"/>
  <c r="G5" i="5"/>
  <c r="G4" i="5"/>
  <c r="G3" i="5"/>
  <c r="C3" i="5"/>
  <c r="G2" i="5"/>
  <c r="C2" i="5"/>
  <c r="Q60" i="4"/>
  <c r="M75" i="4"/>
  <c r="M74" i="4"/>
  <c r="P73" i="4"/>
  <c r="M73" i="4"/>
  <c r="M71" i="4"/>
  <c r="P70" i="4"/>
  <c r="M70" i="4"/>
  <c r="M69" i="4"/>
  <c r="O59" i="4" s="1"/>
  <c r="M68" i="4"/>
  <c r="P67" i="4"/>
  <c r="M66" i="4"/>
  <c r="M62" i="4"/>
  <c r="M61" i="4"/>
  <c r="M60" i="4"/>
  <c r="M59" i="4"/>
  <c r="M58" i="4"/>
  <c r="L52" i="4"/>
  <c r="E42" i="4"/>
  <c r="G42" i="4" s="1"/>
  <c r="I42" i="4" s="1"/>
  <c r="K42" i="4" s="1"/>
  <c r="G41" i="4"/>
  <c r="I41" i="4" s="1"/>
  <c r="K41" i="4" s="1"/>
  <c r="G5" i="4"/>
  <c r="G4" i="4"/>
  <c r="G3" i="4"/>
  <c r="C3" i="4"/>
  <c r="G2" i="4"/>
  <c r="C2" i="4"/>
  <c r="Q63" i="9" l="1"/>
  <c r="J47" i="2"/>
  <c r="Q63" i="14"/>
  <c r="J48" i="2"/>
  <c r="J50" i="2"/>
  <c r="E25" i="9"/>
  <c r="G25" i="9" s="1"/>
  <c r="I25" i="9" s="1"/>
  <c r="K25" i="9" s="1"/>
  <c r="E14" i="14"/>
  <c r="G14" i="14" s="1"/>
  <c r="I14" i="14" s="1"/>
  <c r="K14" i="14" s="1"/>
  <c r="E15" i="11"/>
  <c r="G15" i="11" s="1"/>
  <c r="I15" i="11" s="1"/>
  <c r="K15" i="11" s="1"/>
  <c r="E33" i="11"/>
  <c r="G33" i="11" s="1"/>
  <c r="I33" i="11" s="1"/>
  <c r="K33" i="11" s="1"/>
  <c r="E50" i="14"/>
  <c r="G50" i="14" s="1"/>
  <c r="I50" i="14" s="1"/>
  <c r="K50" i="14" s="1"/>
  <c r="E16" i="15"/>
  <c r="G16" i="15" s="1"/>
  <c r="I16" i="15" s="1"/>
  <c r="K16" i="15" s="1"/>
  <c r="E24" i="15"/>
  <c r="G24" i="15" s="1"/>
  <c r="I24" i="15" s="1"/>
  <c r="K24" i="15" s="1"/>
  <c r="E35" i="15"/>
  <c r="G35" i="15" s="1"/>
  <c r="I35" i="15" s="1"/>
  <c r="K35" i="15" s="1"/>
  <c r="E19" i="5"/>
  <c r="G19" i="5" s="1"/>
  <c r="I19" i="5" s="1"/>
  <c r="K19" i="5" s="1"/>
  <c r="E35" i="5"/>
  <c r="G35" i="5" s="1"/>
  <c r="I35" i="5" s="1"/>
  <c r="K35" i="5" s="1"/>
  <c r="E13" i="8"/>
  <c r="G13" i="8" s="1"/>
  <c r="I13" i="8" s="1"/>
  <c r="K13" i="8" s="1"/>
  <c r="E17" i="8"/>
  <c r="G17" i="8" s="1"/>
  <c r="I17" i="8" s="1"/>
  <c r="K17" i="8" s="1"/>
  <c r="E21" i="8"/>
  <c r="G21" i="8" s="1"/>
  <c r="I21" i="8" s="1"/>
  <c r="K21" i="8" s="1"/>
  <c r="E25" i="8"/>
  <c r="G25" i="8" s="1"/>
  <c r="I25" i="8" s="1"/>
  <c r="K25" i="8" s="1"/>
  <c r="E29" i="8"/>
  <c r="G29" i="8" s="1"/>
  <c r="I29" i="8" s="1"/>
  <c r="K29" i="8" s="1"/>
  <c r="E33" i="8"/>
  <c r="G33" i="8" s="1"/>
  <c r="I33" i="8" s="1"/>
  <c r="K33" i="8" s="1"/>
  <c r="E37" i="8"/>
  <c r="G37" i="8" s="1"/>
  <c r="I37" i="8" s="1"/>
  <c r="K37" i="8" s="1"/>
  <c r="E46" i="8"/>
  <c r="G46" i="8" s="1"/>
  <c r="I46" i="8" s="1"/>
  <c r="K46" i="8" s="1"/>
  <c r="E17" i="11"/>
  <c r="G17" i="11" s="1"/>
  <c r="I17" i="11" s="1"/>
  <c r="K17" i="11" s="1"/>
  <c r="E26" i="11"/>
  <c r="G26" i="11" s="1"/>
  <c r="I26" i="11" s="1"/>
  <c r="K26" i="11" s="1"/>
  <c r="E37" i="11"/>
  <c r="G37" i="11" s="1"/>
  <c r="I37" i="11" s="1"/>
  <c r="K37" i="11" s="1"/>
  <c r="E43" i="12"/>
  <c r="G43" i="12" s="1"/>
  <c r="I43" i="12" s="1"/>
  <c r="K43" i="12" s="1"/>
  <c r="E10" i="14"/>
  <c r="G10" i="14" s="1"/>
  <c r="I10" i="14" s="1"/>
  <c r="E11" i="15"/>
  <c r="G11" i="15" s="1"/>
  <c r="I11" i="15" s="1"/>
  <c r="K11" i="15" s="1"/>
  <c r="E19" i="15"/>
  <c r="G19" i="15" s="1"/>
  <c r="I19" i="15" s="1"/>
  <c r="K19" i="15" s="1"/>
  <c r="E27" i="15"/>
  <c r="G27" i="15" s="1"/>
  <c r="I27" i="15" s="1"/>
  <c r="K27" i="15" s="1"/>
  <c r="E26" i="14"/>
  <c r="G26" i="14" s="1"/>
  <c r="I26" i="14" s="1"/>
  <c r="K26" i="14" s="1"/>
  <c r="E48" i="14"/>
  <c r="G48" i="14" s="1"/>
  <c r="I48" i="14" s="1"/>
  <c r="K48" i="14" s="1"/>
  <c r="E24" i="11"/>
  <c r="G24" i="11" s="1"/>
  <c r="I24" i="11" s="1"/>
  <c r="K24" i="11" s="1"/>
  <c r="E30" i="14"/>
  <c r="G30" i="14" s="1"/>
  <c r="I30" i="14" s="1"/>
  <c r="K30" i="14" s="1"/>
  <c r="Q63" i="4"/>
  <c r="Q63" i="7"/>
  <c r="E13" i="9"/>
  <c r="G13" i="9" s="1"/>
  <c r="I13" i="9" s="1"/>
  <c r="K13" i="9" s="1"/>
  <c r="E29" i="9"/>
  <c r="G29" i="9" s="1"/>
  <c r="I29" i="9" s="1"/>
  <c r="K29" i="9" s="1"/>
  <c r="Q63" i="11"/>
  <c r="Q63" i="13"/>
  <c r="Q63" i="15"/>
  <c r="E46" i="4"/>
  <c r="G46" i="4" s="1"/>
  <c r="I46" i="4" s="1"/>
  <c r="K46" i="4" s="1"/>
  <c r="J45" i="2"/>
  <c r="Q63" i="8"/>
  <c r="E17" i="9"/>
  <c r="G17" i="9" s="1"/>
  <c r="I17" i="9" s="1"/>
  <c r="K17" i="9" s="1"/>
  <c r="E33" i="9"/>
  <c r="G33" i="9" s="1"/>
  <c r="I33" i="9" s="1"/>
  <c r="K33" i="9" s="1"/>
  <c r="E10" i="10"/>
  <c r="G10" i="10" s="1"/>
  <c r="I10" i="10" s="1"/>
  <c r="J49" i="2"/>
  <c r="L53" i="12"/>
  <c r="L54" i="12" s="1"/>
  <c r="J51" i="2"/>
  <c r="E18" i="14"/>
  <c r="G18" i="14" s="1"/>
  <c r="I18" i="14" s="1"/>
  <c r="K18" i="14" s="1"/>
  <c r="E34" i="14"/>
  <c r="G34" i="14" s="1"/>
  <c r="I34" i="14" s="1"/>
  <c r="K34" i="14" s="1"/>
  <c r="E44" i="14"/>
  <c r="G44" i="14" s="1"/>
  <c r="I44" i="14" s="1"/>
  <c r="K44" i="14" s="1"/>
  <c r="J46" i="2"/>
  <c r="E21" i="9"/>
  <c r="G21" i="9" s="1"/>
  <c r="I21" i="9" s="1"/>
  <c r="K21" i="9" s="1"/>
  <c r="E37" i="9"/>
  <c r="G37" i="9" s="1"/>
  <c r="I37" i="9" s="1"/>
  <c r="K37" i="9" s="1"/>
  <c r="Q63" i="12"/>
  <c r="E22" i="14"/>
  <c r="G22" i="14" s="1"/>
  <c r="I22" i="14" s="1"/>
  <c r="K22" i="14" s="1"/>
  <c r="E38" i="14"/>
  <c r="G38" i="14" s="1"/>
  <c r="I38" i="14" s="1"/>
  <c r="K38" i="14" s="1"/>
  <c r="E46" i="14"/>
  <c r="G46" i="14" s="1"/>
  <c r="I46" i="14" s="1"/>
  <c r="K46" i="14" s="1"/>
  <c r="E10" i="15"/>
  <c r="G10" i="15" s="1"/>
  <c r="I10" i="15" s="1"/>
  <c r="K10" i="15" s="1"/>
  <c r="E14" i="15"/>
  <c r="G14" i="15" s="1"/>
  <c r="I14" i="15" s="1"/>
  <c r="K14" i="15" s="1"/>
  <c r="E18" i="15"/>
  <c r="G18" i="15" s="1"/>
  <c r="I18" i="15" s="1"/>
  <c r="K18" i="15" s="1"/>
  <c r="E22" i="15"/>
  <c r="G22" i="15" s="1"/>
  <c r="I22" i="15" s="1"/>
  <c r="K22" i="15" s="1"/>
  <c r="E26" i="15"/>
  <c r="G26" i="15" s="1"/>
  <c r="I26" i="15" s="1"/>
  <c r="K26" i="15" s="1"/>
  <c r="E30" i="15"/>
  <c r="G30" i="15" s="1"/>
  <c r="I30" i="15" s="1"/>
  <c r="K30" i="15" s="1"/>
  <c r="E34" i="15"/>
  <c r="G34" i="15" s="1"/>
  <c r="I34" i="15" s="1"/>
  <c r="K34" i="15" s="1"/>
  <c r="E38" i="15"/>
  <c r="G38" i="15" s="1"/>
  <c r="I38" i="15" s="1"/>
  <c r="K38" i="15" s="1"/>
  <c r="E42" i="15"/>
  <c r="G42" i="15" s="1"/>
  <c r="I42" i="15" s="1"/>
  <c r="K42" i="15" s="1"/>
  <c r="E44" i="15"/>
  <c r="G44" i="15" s="1"/>
  <c r="I44" i="15" s="1"/>
  <c r="K44" i="15" s="1"/>
  <c r="E46" i="15"/>
  <c r="G46" i="15" s="1"/>
  <c r="I46" i="15" s="1"/>
  <c r="K46" i="15" s="1"/>
  <c r="E48" i="15"/>
  <c r="G48" i="15" s="1"/>
  <c r="I48" i="15" s="1"/>
  <c r="K48" i="15" s="1"/>
  <c r="E50" i="15"/>
  <c r="G50" i="15" s="1"/>
  <c r="I50" i="15" s="1"/>
  <c r="K50" i="15" s="1"/>
  <c r="E39" i="15"/>
  <c r="G39" i="15" s="1"/>
  <c r="I39" i="15" s="1"/>
  <c r="K39" i="15" s="1"/>
  <c r="E51" i="15"/>
  <c r="G51" i="15" s="1"/>
  <c r="I51" i="15" s="1"/>
  <c r="K51" i="15" s="1"/>
  <c r="E13" i="15"/>
  <c r="G13" i="15" s="1"/>
  <c r="I13" i="15" s="1"/>
  <c r="K13" i="15" s="1"/>
  <c r="E17" i="15"/>
  <c r="G17" i="15" s="1"/>
  <c r="I17" i="15" s="1"/>
  <c r="K17" i="15" s="1"/>
  <c r="E21" i="15"/>
  <c r="G21" i="15" s="1"/>
  <c r="I21" i="15" s="1"/>
  <c r="K21" i="15" s="1"/>
  <c r="E25" i="15"/>
  <c r="G25" i="15" s="1"/>
  <c r="I25" i="15" s="1"/>
  <c r="K25" i="15" s="1"/>
  <c r="E29" i="15"/>
  <c r="G29" i="15" s="1"/>
  <c r="I29" i="15" s="1"/>
  <c r="K29" i="15" s="1"/>
  <c r="E33" i="15"/>
  <c r="G33" i="15" s="1"/>
  <c r="I33" i="15" s="1"/>
  <c r="K33" i="15" s="1"/>
  <c r="E37" i="15"/>
  <c r="G37" i="15" s="1"/>
  <c r="I37" i="15" s="1"/>
  <c r="K37" i="15" s="1"/>
  <c r="E32" i="15"/>
  <c r="G32" i="15" s="1"/>
  <c r="I32" i="15" s="1"/>
  <c r="K32" i="15" s="1"/>
  <c r="E36" i="15"/>
  <c r="G36" i="15" s="1"/>
  <c r="I36" i="15" s="1"/>
  <c r="K36" i="15" s="1"/>
  <c r="E40" i="15"/>
  <c r="G40" i="15" s="1"/>
  <c r="I40" i="15" s="1"/>
  <c r="K40" i="15" s="1"/>
  <c r="E43" i="15"/>
  <c r="G43" i="15" s="1"/>
  <c r="I43" i="15" s="1"/>
  <c r="K43" i="15" s="1"/>
  <c r="E45" i="15"/>
  <c r="G45" i="15" s="1"/>
  <c r="I45" i="15" s="1"/>
  <c r="K45" i="15" s="1"/>
  <c r="E47" i="15"/>
  <c r="G47" i="15" s="1"/>
  <c r="I47" i="15" s="1"/>
  <c r="K47" i="15" s="1"/>
  <c r="E13" i="14"/>
  <c r="G13" i="14" s="1"/>
  <c r="I13" i="14" s="1"/>
  <c r="K13" i="14" s="1"/>
  <c r="E17" i="14"/>
  <c r="G17" i="14" s="1"/>
  <c r="I17" i="14" s="1"/>
  <c r="K17" i="14" s="1"/>
  <c r="E21" i="14"/>
  <c r="G21" i="14" s="1"/>
  <c r="I21" i="14" s="1"/>
  <c r="K21" i="14" s="1"/>
  <c r="E25" i="14"/>
  <c r="G25" i="14" s="1"/>
  <c r="I25" i="14" s="1"/>
  <c r="K25" i="14" s="1"/>
  <c r="E29" i="14"/>
  <c r="G29" i="14" s="1"/>
  <c r="I29" i="14" s="1"/>
  <c r="K29" i="14" s="1"/>
  <c r="E33" i="14"/>
  <c r="G33" i="14" s="1"/>
  <c r="I33" i="14" s="1"/>
  <c r="K33" i="14" s="1"/>
  <c r="E37" i="14"/>
  <c r="G37" i="14" s="1"/>
  <c r="I37" i="14" s="1"/>
  <c r="K37" i="14" s="1"/>
  <c r="E12" i="14"/>
  <c r="G12" i="14" s="1"/>
  <c r="I12" i="14" s="1"/>
  <c r="K12" i="14" s="1"/>
  <c r="E16" i="14"/>
  <c r="G16" i="14" s="1"/>
  <c r="I16" i="14" s="1"/>
  <c r="K16" i="14" s="1"/>
  <c r="E20" i="14"/>
  <c r="G20" i="14" s="1"/>
  <c r="I20" i="14" s="1"/>
  <c r="K20" i="14" s="1"/>
  <c r="E24" i="14"/>
  <c r="G24" i="14" s="1"/>
  <c r="I24" i="14" s="1"/>
  <c r="K24" i="14" s="1"/>
  <c r="E28" i="14"/>
  <c r="G28" i="14" s="1"/>
  <c r="I28" i="14" s="1"/>
  <c r="K28" i="14" s="1"/>
  <c r="E36" i="14"/>
  <c r="G36" i="14" s="1"/>
  <c r="I36" i="14" s="1"/>
  <c r="K36" i="14" s="1"/>
  <c r="E40" i="14"/>
  <c r="G40" i="14" s="1"/>
  <c r="I40" i="14" s="1"/>
  <c r="K40" i="14" s="1"/>
  <c r="E43" i="14"/>
  <c r="G43" i="14" s="1"/>
  <c r="I43" i="14" s="1"/>
  <c r="K43" i="14" s="1"/>
  <c r="E45" i="14"/>
  <c r="G45" i="14" s="1"/>
  <c r="I45" i="14" s="1"/>
  <c r="K45" i="14" s="1"/>
  <c r="E47" i="14"/>
  <c r="G47" i="14" s="1"/>
  <c r="I47" i="14" s="1"/>
  <c r="K47" i="14" s="1"/>
  <c r="E49" i="14"/>
  <c r="G49" i="14" s="1"/>
  <c r="I49" i="14" s="1"/>
  <c r="K49" i="14" s="1"/>
  <c r="E32" i="14"/>
  <c r="G32" i="14" s="1"/>
  <c r="I32" i="14" s="1"/>
  <c r="K32" i="14" s="1"/>
  <c r="E11" i="14"/>
  <c r="G11" i="14" s="1"/>
  <c r="I11" i="14" s="1"/>
  <c r="K11" i="14" s="1"/>
  <c r="E15" i="14"/>
  <c r="G15" i="14" s="1"/>
  <c r="I15" i="14" s="1"/>
  <c r="K15" i="14" s="1"/>
  <c r="E19" i="14"/>
  <c r="G19" i="14" s="1"/>
  <c r="I19" i="14" s="1"/>
  <c r="K19" i="14" s="1"/>
  <c r="E23" i="14"/>
  <c r="G23" i="14" s="1"/>
  <c r="I23" i="14" s="1"/>
  <c r="K23" i="14" s="1"/>
  <c r="E27" i="14"/>
  <c r="G27" i="14" s="1"/>
  <c r="I27" i="14" s="1"/>
  <c r="K27" i="14" s="1"/>
  <c r="E31" i="14"/>
  <c r="G31" i="14" s="1"/>
  <c r="I31" i="14" s="1"/>
  <c r="K31" i="14" s="1"/>
  <c r="E35" i="14"/>
  <c r="G35" i="14" s="1"/>
  <c r="I35" i="14" s="1"/>
  <c r="K35" i="14" s="1"/>
  <c r="E39" i="14"/>
  <c r="G39" i="14" s="1"/>
  <c r="I39" i="14" s="1"/>
  <c r="K39" i="14" s="1"/>
  <c r="E42" i="12"/>
  <c r="G42" i="12" s="1"/>
  <c r="I42" i="12" s="1"/>
  <c r="K42" i="12" s="1"/>
  <c r="E46" i="12"/>
  <c r="G46" i="12" s="1"/>
  <c r="I46" i="12" s="1"/>
  <c r="K46" i="12" s="1"/>
  <c r="E45" i="12"/>
  <c r="G45" i="12" s="1"/>
  <c r="I45" i="12" s="1"/>
  <c r="K45" i="12" s="1"/>
  <c r="E49" i="12"/>
  <c r="G49" i="12" s="1"/>
  <c r="I49" i="12" s="1"/>
  <c r="K49" i="12" s="1"/>
  <c r="E44" i="12"/>
  <c r="G44" i="12" s="1"/>
  <c r="I44" i="12" s="1"/>
  <c r="K44" i="12" s="1"/>
  <c r="E10" i="11"/>
  <c r="G10" i="11" s="1"/>
  <c r="I10" i="11" s="1"/>
  <c r="K10" i="11" s="1"/>
  <c r="E12" i="11"/>
  <c r="G12" i="11" s="1"/>
  <c r="I12" i="11" s="1"/>
  <c r="K12" i="11" s="1"/>
  <c r="E14" i="11"/>
  <c r="G14" i="11" s="1"/>
  <c r="I14" i="11" s="1"/>
  <c r="K14" i="11" s="1"/>
  <c r="E32" i="11"/>
  <c r="G32" i="11" s="1"/>
  <c r="I32" i="11" s="1"/>
  <c r="K32" i="11" s="1"/>
  <c r="E36" i="11"/>
  <c r="G36" i="11" s="1"/>
  <c r="I36" i="11" s="1"/>
  <c r="K36" i="11" s="1"/>
  <c r="E40" i="11"/>
  <c r="G40" i="11" s="1"/>
  <c r="I40" i="11" s="1"/>
  <c r="K40" i="11" s="1"/>
  <c r="E43" i="11"/>
  <c r="G43" i="11" s="1"/>
  <c r="I43" i="11" s="1"/>
  <c r="K43" i="11" s="1"/>
  <c r="E45" i="11"/>
  <c r="G45" i="11" s="1"/>
  <c r="I45" i="11" s="1"/>
  <c r="K45" i="11" s="1"/>
  <c r="E47" i="11"/>
  <c r="G47" i="11" s="1"/>
  <c r="I47" i="11" s="1"/>
  <c r="K47" i="11" s="1"/>
  <c r="E49" i="11"/>
  <c r="G49" i="11" s="1"/>
  <c r="I49" i="11" s="1"/>
  <c r="K49" i="11" s="1"/>
  <c r="E16" i="11"/>
  <c r="G16" i="11" s="1"/>
  <c r="I16" i="11" s="1"/>
  <c r="K16" i="11" s="1"/>
  <c r="E18" i="11"/>
  <c r="G18" i="11" s="1"/>
  <c r="I18" i="11" s="1"/>
  <c r="K18" i="11" s="1"/>
  <c r="E21" i="11"/>
  <c r="G21" i="11" s="1"/>
  <c r="I21" i="11" s="1"/>
  <c r="K21" i="11" s="1"/>
  <c r="E23" i="11"/>
  <c r="G23" i="11" s="1"/>
  <c r="I23" i="11" s="1"/>
  <c r="K23" i="11" s="1"/>
  <c r="E25" i="11"/>
  <c r="G25" i="11" s="1"/>
  <c r="I25" i="11" s="1"/>
  <c r="K25" i="11" s="1"/>
  <c r="E27" i="11"/>
  <c r="G27" i="11" s="1"/>
  <c r="I27" i="11" s="1"/>
  <c r="K27" i="11" s="1"/>
  <c r="E29" i="11"/>
  <c r="G29" i="11" s="1"/>
  <c r="I29" i="11" s="1"/>
  <c r="K29" i="11" s="1"/>
  <c r="E31" i="11"/>
  <c r="G31" i="11" s="1"/>
  <c r="I31" i="11" s="1"/>
  <c r="K31" i="11" s="1"/>
  <c r="E35" i="11"/>
  <c r="G35" i="11" s="1"/>
  <c r="I35" i="11" s="1"/>
  <c r="K35" i="11" s="1"/>
  <c r="E39" i="11"/>
  <c r="G39" i="11" s="1"/>
  <c r="I39" i="11" s="1"/>
  <c r="K39" i="11" s="1"/>
  <c r="E51" i="11"/>
  <c r="G51" i="11" s="1"/>
  <c r="I51" i="11" s="1"/>
  <c r="K51" i="11" s="1"/>
  <c r="E11" i="11"/>
  <c r="G11" i="11" s="1"/>
  <c r="I11" i="11" s="1"/>
  <c r="K11" i="11" s="1"/>
  <c r="E13" i="11"/>
  <c r="G13" i="11" s="1"/>
  <c r="I13" i="11" s="1"/>
  <c r="K13" i="11" s="1"/>
  <c r="E20" i="11"/>
  <c r="G20" i="11" s="1"/>
  <c r="I20" i="11" s="1"/>
  <c r="K20" i="11" s="1"/>
  <c r="E34" i="11"/>
  <c r="G34" i="11" s="1"/>
  <c r="I34" i="11" s="1"/>
  <c r="K34" i="11" s="1"/>
  <c r="E38" i="11"/>
  <c r="G38" i="11" s="1"/>
  <c r="I38" i="11" s="1"/>
  <c r="K38" i="11" s="1"/>
  <c r="E42" i="11"/>
  <c r="G42" i="11" s="1"/>
  <c r="I42" i="11" s="1"/>
  <c r="K42" i="11" s="1"/>
  <c r="E44" i="11"/>
  <c r="G44" i="11" s="1"/>
  <c r="I44" i="11" s="1"/>
  <c r="K44" i="11" s="1"/>
  <c r="E46" i="11"/>
  <c r="G46" i="11" s="1"/>
  <c r="I46" i="11" s="1"/>
  <c r="K46" i="11" s="1"/>
  <c r="E48" i="11"/>
  <c r="G48" i="11" s="1"/>
  <c r="I48" i="11" s="1"/>
  <c r="K48" i="11" s="1"/>
  <c r="E49" i="10"/>
  <c r="G49" i="10" s="1"/>
  <c r="I49" i="10" s="1"/>
  <c r="K49" i="10" s="1"/>
  <c r="E12" i="10"/>
  <c r="G12" i="10" s="1"/>
  <c r="I12" i="10" s="1"/>
  <c r="K12" i="10" s="1"/>
  <c r="E14" i="10"/>
  <c r="G14" i="10" s="1"/>
  <c r="I14" i="10" s="1"/>
  <c r="K14" i="10" s="1"/>
  <c r="E16" i="10"/>
  <c r="G16" i="10" s="1"/>
  <c r="I16" i="10" s="1"/>
  <c r="K16" i="10" s="1"/>
  <c r="E18" i="10"/>
  <c r="G18" i="10" s="1"/>
  <c r="I18" i="10" s="1"/>
  <c r="K18" i="10" s="1"/>
  <c r="E20" i="10"/>
  <c r="G20" i="10" s="1"/>
  <c r="I20" i="10" s="1"/>
  <c r="K20" i="10" s="1"/>
  <c r="E22" i="10"/>
  <c r="G22" i="10" s="1"/>
  <c r="I22" i="10" s="1"/>
  <c r="K22" i="10" s="1"/>
  <c r="E24" i="10"/>
  <c r="G24" i="10" s="1"/>
  <c r="I24" i="10" s="1"/>
  <c r="K24" i="10" s="1"/>
  <c r="E26" i="10"/>
  <c r="G26" i="10" s="1"/>
  <c r="I26" i="10" s="1"/>
  <c r="K26" i="10" s="1"/>
  <c r="E28" i="10"/>
  <c r="G28" i="10" s="1"/>
  <c r="I28" i="10" s="1"/>
  <c r="K28" i="10" s="1"/>
  <c r="E30" i="10"/>
  <c r="G30" i="10" s="1"/>
  <c r="I30" i="10" s="1"/>
  <c r="K30" i="10" s="1"/>
  <c r="E32" i="10"/>
  <c r="G32" i="10" s="1"/>
  <c r="I32" i="10" s="1"/>
  <c r="K32" i="10" s="1"/>
  <c r="E34" i="10"/>
  <c r="G34" i="10" s="1"/>
  <c r="I34" i="10" s="1"/>
  <c r="K34" i="10" s="1"/>
  <c r="E36" i="10"/>
  <c r="G36" i="10" s="1"/>
  <c r="I36" i="10" s="1"/>
  <c r="K36" i="10" s="1"/>
  <c r="E38" i="10"/>
  <c r="G38" i="10" s="1"/>
  <c r="I38" i="10" s="1"/>
  <c r="K38" i="10" s="1"/>
  <c r="E11" i="10"/>
  <c r="G11" i="10" s="1"/>
  <c r="I11" i="10" s="1"/>
  <c r="K11" i="10" s="1"/>
  <c r="E40" i="10"/>
  <c r="G40" i="10" s="1"/>
  <c r="I40" i="10" s="1"/>
  <c r="K40" i="10" s="1"/>
  <c r="E13" i="10"/>
  <c r="G13" i="10" s="1"/>
  <c r="I13" i="10" s="1"/>
  <c r="K13" i="10" s="1"/>
  <c r="E15" i="10"/>
  <c r="G15" i="10" s="1"/>
  <c r="I15" i="10" s="1"/>
  <c r="K15" i="10" s="1"/>
  <c r="E17" i="10"/>
  <c r="G17" i="10" s="1"/>
  <c r="I17" i="10" s="1"/>
  <c r="K17" i="10" s="1"/>
  <c r="E19" i="10"/>
  <c r="G19" i="10" s="1"/>
  <c r="I19" i="10" s="1"/>
  <c r="K19" i="10" s="1"/>
  <c r="E21" i="10"/>
  <c r="G21" i="10" s="1"/>
  <c r="I21" i="10" s="1"/>
  <c r="K21" i="10" s="1"/>
  <c r="E23" i="10"/>
  <c r="G23" i="10" s="1"/>
  <c r="I23" i="10" s="1"/>
  <c r="K23" i="10" s="1"/>
  <c r="E25" i="10"/>
  <c r="G25" i="10" s="1"/>
  <c r="I25" i="10" s="1"/>
  <c r="K25" i="10" s="1"/>
  <c r="E27" i="10"/>
  <c r="G27" i="10" s="1"/>
  <c r="I27" i="10" s="1"/>
  <c r="K27" i="10" s="1"/>
  <c r="E29" i="10"/>
  <c r="G29" i="10" s="1"/>
  <c r="I29" i="10" s="1"/>
  <c r="K29" i="10" s="1"/>
  <c r="E31" i="10"/>
  <c r="G31" i="10" s="1"/>
  <c r="I31" i="10" s="1"/>
  <c r="K31" i="10" s="1"/>
  <c r="E33" i="10"/>
  <c r="G33" i="10" s="1"/>
  <c r="I33" i="10" s="1"/>
  <c r="K33" i="10" s="1"/>
  <c r="E35" i="10"/>
  <c r="G35" i="10" s="1"/>
  <c r="I35" i="10" s="1"/>
  <c r="K35" i="10" s="1"/>
  <c r="E37" i="10"/>
  <c r="G37" i="10" s="1"/>
  <c r="I37" i="10" s="1"/>
  <c r="K37" i="10" s="1"/>
  <c r="E39" i="10"/>
  <c r="G39" i="10" s="1"/>
  <c r="I39" i="10" s="1"/>
  <c r="K39" i="10" s="1"/>
  <c r="E12" i="9"/>
  <c r="G12" i="9" s="1"/>
  <c r="I12" i="9" s="1"/>
  <c r="K12" i="9" s="1"/>
  <c r="E16" i="9"/>
  <c r="G16" i="9" s="1"/>
  <c r="I16" i="9" s="1"/>
  <c r="K16" i="9" s="1"/>
  <c r="E20" i="9"/>
  <c r="G20" i="9" s="1"/>
  <c r="I20" i="9" s="1"/>
  <c r="K20" i="9" s="1"/>
  <c r="E24" i="9"/>
  <c r="G24" i="9" s="1"/>
  <c r="I24" i="9" s="1"/>
  <c r="K24" i="9" s="1"/>
  <c r="E28" i="9"/>
  <c r="G28" i="9" s="1"/>
  <c r="I28" i="9" s="1"/>
  <c r="K28" i="9" s="1"/>
  <c r="E32" i="9"/>
  <c r="G32" i="9" s="1"/>
  <c r="I32" i="9" s="1"/>
  <c r="K32" i="9" s="1"/>
  <c r="E36" i="9"/>
  <c r="G36" i="9" s="1"/>
  <c r="I36" i="9" s="1"/>
  <c r="K36" i="9" s="1"/>
  <c r="E40" i="9"/>
  <c r="G40" i="9" s="1"/>
  <c r="I40" i="9" s="1"/>
  <c r="K40" i="9" s="1"/>
  <c r="E43" i="9"/>
  <c r="G43" i="9" s="1"/>
  <c r="I43" i="9" s="1"/>
  <c r="K43" i="9" s="1"/>
  <c r="E45" i="9"/>
  <c r="G45" i="9" s="1"/>
  <c r="I45" i="9" s="1"/>
  <c r="K45" i="9" s="1"/>
  <c r="E47" i="9"/>
  <c r="G47" i="9" s="1"/>
  <c r="I47" i="9" s="1"/>
  <c r="K47" i="9" s="1"/>
  <c r="E49" i="9"/>
  <c r="G49" i="9" s="1"/>
  <c r="I49" i="9" s="1"/>
  <c r="K49" i="9" s="1"/>
  <c r="E11" i="9"/>
  <c r="G11" i="9" s="1"/>
  <c r="I11" i="9" s="1"/>
  <c r="K11" i="9" s="1"/>
  <c r="E15" i="9"/>
  <c r="G15" i="9" s="1"/>
  <c r="I15" i="9" s="1"/>
  <c r="K15" i="9" s="1"/>
  <c r="E19" i="9"/>
  <c r="G19" i="9" s="1"/>
  <c r="I19" i="9" s="1"/>
  <c r="K19" i="9" s="1"/>
  <c r="E23" i="9"/>
  <c r="G23" i="9" s="1"/>
  <c r="I23" i="9" s="1"/>
  <c r="K23" i="9" s="1"/>
  <c r="E27" i="9"/>
  <c r="G27" i="9" s="1"/>
  <c r="I27" i="9" s="1"/>
  <c r="K27" i="9" s="1"/>
  <c r="E31" i="9"/>
  <c r="G31" i="9" s="1"/>
  <c r="I31" i="9" s="1"/>
  <c r="K31" i="9" s="1"/>
  <c r="E35" i="9"/>
  <c r="G35" i="9" s="1"/>
  <c r="I35" i="9" s="1"/>
  <c r="K35" i="9" s="1"/>
  <c r="E39" i="9"/>
  <c r="G39" i="9" s="1"/>
  <c r="I39" i="9" s="1"/>
  <c r="K39" i="9" s="1"/>
  <c r="E51" i="9"/>
  <c r="G51" i="9" s="1"/>
  <c r="I51" i="9" s="1"/>
  <c r="K51" i="9" s="1"/>
  <c r="E10" i="9"/>
  <c r="G10" i="9" s="1"/>
  <c r="I10" i="9" s="1"/>
  <c r="E14" i="9"/>
  <c r="G14" i="9" s="1"/>
  <c r="I14" i="9" s="1"/>
  <c r="K14" i="9" s="1"/>
  <c r="E18" i="9"/>
  <c r="G18" i="9" s="1"/>
  <c r="I18" i="9" s="1"/>
  <c r="K18" i="9" s="1"/>
  <c r="E22" i="9"/>
  <c r="G22" i="9" s="1"/>
  <c r="I22" i="9" s="1"/>
  <c r="K22" i="9" s="1"/>
  <c r="E26" i="9"/>
  <c r="G26" i="9" s="1"/>
  <c r="I26" i="9" s="1"/>
  <c r="K26" i="9" s="1"/>
  <c r="E30" i="9"/>
  <c r="G30" i="9" s="1"/>
  <c r="I30" i="9" s="1"/>
  <c r="K30" i="9" s="1"/>
  <c r="E34" i="9"/>
  <c r="G34" i="9" s="1"/>
  <c r="I34" i="9" s="1"/>
  <c r="K34" i="9" s="1"/>
  <c r="E38" i="9"/>
  <c r="G38" i="9" s="1"/>
  <c r="I38" i="9" s="1"/>
  <c r="K38" i="9" s="1"/>
  <c r="E42" i="9"/>
  <c r="G42" i="9" s="1"/>
  <c r="I42" i="9" s="1"/>
  <c r="K42" i="9" s="1"/>
  <c r="E44" i="9"/>
  <c r="G44" i="9" s="1"/>
  <c r="I44" i="9" s="1"/>
  <c r="K44" i="9" s="1"/>
  <c r="E46" i="9"/>
  <c r="G46" i="9" s="1"/>
  <c r="I46" i="9" s="1"/>
  <c r="K46" i="9" s="1"/>
  <c r="E48" i="9"/>
  <c r="G48" i="9" s="1"/>
  <c r="I48" i="9" s="1"/>
  <c r="K48" i="9" s="1"/>
  <c r="E44" i="8"/>
  <c r="G44" i="8" s="1"/>
  <c r="I44" i="8" s="1"/>
  <c r="K44" i="8" s="1"/>
  <c r="E40" i="8"/>
  <c r="G40" i="8" s="1"/>
  <c r="I40" i="8" s="1"/>
  <c r="K40" i="8" s="1"/>
  <c r="E45" i="8"/>
  <c r="G45" i="8" s="1"/>
  <c r="I45" i="8" s="1"/>
  <c r="K45" i="8" s="1"/>
  <c r="E47" i="8"/>
  <c r="G47" i="8" s="1"/>
  <c r="I47" i="8" s="1"/>
  <c r="K47" i="8" s="1"/>
  <c r="E39" i="8"/>
  <c r="G39" i="8" s="1"/>
  <c r="I39" i="8" s="1"/>
  <c r="K39" i="8" s="1"/>
  <c r="E42" i="8"/>
  <c r="G42" i="8" s="1"/>
  <c r="I42" i="8" s="1"/>
  <c r="K42" i="8" s="1"/>
  <c r="E45" i="4"/>
  <c r="G45" i="4" s="1"/>
  <c r="I45" i="4" s="1"/>
  <c r="K45" i="4" s="1"/>
  <c r="E49" i="4"/>
  <c r="G49" i="4" s="1"/>
  <c r="I49" i="4" s="1"/>
  <c r="K49" i="4" s="1"/>
  <c r="E51" i="4"/>
  <c r="G51" i="4" s="1"/>
  <c r="I51" i="4" s="1"/>
  <c r="K51" i="4" s="1"/>
  <c r="E44" i="4"/>
  <c r="G44" i="4" s="1"/>
  <c r="I44" i="4" s="1"/>
  <c r="K44" i="4" s="1"/>
  <c r="E48" i="4"/>
  <c r="G48" i="4" s="1"/>
  <c r="I48" i="4" s="1"/>
  <c r="K48" i="4" s="1"/>
  <c r="E43" i="4"/>
  <c r="G43" i="4" s="1"/>
  <c r="I43" i="4" s="1"/>
  <c r="K43" i="4" s="1"/>
  <c r="E18" i="5"/>
  <c r="G18" i="5" s="1"/>
  <c r="I18" i="5" s="1"/>
  <c r="K18" i="5" s="1"/>
  <c r="E22" i="5"/>
  <c r="G22" i="5" s="1"/>
  <c r="I22" i="5" s="1"/>
  <c r="K22" i="5" s="1"/>
  <c r="E30" i="5"/>
  <c r="G30" i="5" s="1"/>
  <c r="I30" i="5" s="1"/>
  <c r="K30" i="5" s="1"/>
  <c r="E34" i="5"/>
  <c r="G34" i="5" s="1"/>
  <c r="I34" i="5" s="1"/>
  <c r="K34" i="5" s="1"/>
  <c r="E38" i="5"/>
  <c r="G38" i="5" s="1"/>
  <c r="I38" i="5" s="1"/>
  <c r="K38" i="5" s="1"/>
  <c r="E42" i="5"/>
  <c r="G42" i="5" s="1"/>
  <c r="I42" i="5" s="1"/>
  <c r="K42" i="5" s="1"/>
  <c r="E44" i="5"/>
  <c r="G44" i="5" s="1"/>
  <c r="I44" i="5" s="1"/>
  <c r="K44" i="5" s="1"/>
  <c r="E46" i="5"/>
  <c r="G46" i="5" s="1"/>
  <c r="I46" i="5" s="1"/>
  <c r="K46" i="5" s="1"/>
  <c r="E48" i="5"/>
  <c r="G48" i="5" s="1"/>
  <c r="I48" i="5" s="1"/>
  <c r="K48" i="5" s="1"/>
  <c r="E50" i="5"/>
  <c r="G50" i="5" s="1"/>
  <c r="I50" i="5" s="1"/>
  <c r="K50" i="5" s="1"/>
  <c r="E10" i="5"/>
  <c r="G10" i="5" s="1"/>
  <c r="I10" i="5" s="1"/>
  <c r="K10" i="5" s="1"/>
  <c r="E14" i="5"/>
  <c r="G14" i="5" s="1"/>
  <c r="I14" i="5" s="1"/>
  <c r="K14" i="5" s="1"/>
  <c r="E26" i="5"/>
  <c r="G26" i="5" s="1"/>
  <c r="I26" i="5" s="1"/>
  <c r="K26" i="5" s="1"/>
  <c r="E13" i="5"/>
  <c r="G13" i="5" s="1"/>
  <c r="I13" i="5" s="1"/>
  <c r="K13" i="5" s="1"/>
  <c r="E17" i="5"/>
  <c r="G17" i="5" s="1"/>
  <c r="I17" i="5" s="1"/>
  <c r="K17" i="5" s="1"/>
  <c r="E21" i="5"/>
  <c r="G21" i="5" s="1"/>
  <c r="I21" i="5" s="1"/>
  <c r="K21" i="5" s="1"/>
  <c r="E25" i="5"/>
  <c r="G25" i="5" s="1"/>
  <c r="I25" i="5" s="1"/>
  <c r="K25" i="5" s="1"/>
  <c r="E29" i="5"/>
  <c r="G29" i="5" s="1"/>
  <c r="I29" i="5" s="1"/>
  <c r="K29" i="5" s="1"/>
  <c r="E33" i="5"/>
  <c r="G33" i="5" s="1"/>
  <c r="I33" i="5" s="1"/>
  <c r="K33" i="5" s="1"/>
  <c r="E37" i="5"/>
  <c r="G37" i="5" s="1"/>
  <c r="I37" i="5" s="1"/>
  <c r="K37" i="5" s="1"/>
  <c r="E12" i="5"/>
  <c r="G12" i="5" s="1"/>
  <c r="I12" i="5" s="1"/>
  <c r="K12" i="5" s="1"/>
  <c r="E16" i="5"/>
  <c r="G16" i="5" s="1"/>
  <c r="I16" i="5" s="1"/>
  <c r="K16" i="5" s="1"/>
  <c r="E20" i="5"/>
  <c r="G20" i="5" s="1"/>
  <c r="I20" i="5" s="1"/>
  <c r="K20" i="5" s="1"/>
  <c r="E24" i="5"/>
  <c r="G24" i="5" s="1"/>
  <c r="I24" i="5" s="1"/>
  <c r="K24" i="5" s="1"/>
  <c r="E28" i="5"/>
  <c r="G28" i="5" s="1"/>
  <c r="I28" i="5" s="1"/>
  <c r="K28" i="5" s="1"/>
  <c r="E32" i="5"/>
  <c r="G32" i="5" s="1"/>
  <c r="I32" i="5" s="1"/>
  <c r="K32" i="5" s="1"/>
  <c r="E36" i="5"/>
  <c r="G36" i="5" s="1"/>
  <c r="I36" i="5" s="1"/>
  <c r="K36" i="5" s="1"/>
  <c r="E40" i="5"/>
  <c r="G40" i="5" s="1"/>
  <c r="I40" i="5" s="1"/>
  <c r="K40" i="5" s="1"/>
  <c r="E43" i="5"/>
  <c r="G43" i="5" s="1"/>
  <c r="I43" i="5" s="1"/>
  <c r="K43" i="5" s="1"/>
  <c r="E45" i="5"/>
  <c r="G45" i="5" s="1"/>
  <c r="I45" i="5" s="1"/>
  <c r="K45" i="5" s="1"/>
  <c r="E47" i="5"/>
  <c r="G47" i="5" s="1"/>
  <c r="I47" i="5" s="1"/>
  <c r="K47" i="5" s="1"/>
  <c r="J53" i="2"/>
  <c r="K10" i="14"/>
  <c r="E10" i="13"/>
  <c r="G10" i="13" s="1"/>
  <c r="I10" i="13" s="1"/>
  <c r="E11" i="13"/>
  <c r="G11" i="13" s="1"/>
  <c r="I11" i="13" s="1"/>
  <c r="K11" i="13" s="1"/>
  <c r="E12" i="13"/>
  <c r="G12" i="13" s="1"/>
  <c r="I12" i="13" s="1"/>
  <c r="K12" i="13" s="1"/>
  <c r="E13" i="13"/>
  <c r="G13" i="13" s="1"/>
  <c r="I13" i="13" s="1"/>
  <c r="K13" i="13" s="1"/>
  <c r="E14" i="13"/>
  <c r="G14" i="13" s="1"/>
  <c r="I14" i="13" s="1"/>
  <c r="K14" i="13" s="1"/>
  <c r="E15" i="13"/>
  <c r="G15" i="13" s="1"/>
  <c r="I15" i="13" s="1"/>
  <c r="K15" i="13" s="1"/>
  <c r="E16" i="13"/>
  <c r="G16" i="13" s="1"/>
  <c r="I16" i="13" s="1"/>
  <c r="K16" i="13" s="1"/>
  <c r="E17" i="13"/>
  <c r="G17" i="13" s="1"/>
  <c r="I17" i="13" s="1"/>
  <c r="K17" i="13" s="1"/>
  <c r="E18" i="13"/>
  <c r="G18" i="13" s="1"/>
  <c r="I18" i="13" s="1"/>
  <c r="K18" i="13" s="1"/>
  <c r="E19" i="13"/>
  <c r="G19" i="13" s="1"/>
  <c r="I19" i="13" s="1"/>
  <c r="K19" i="13" s="1"/>
  <c r="E20" i="13"/>
  <c r="G20" i="13" s="1"/>
  <c r="I20" i="13" s="1"/>
  <c r="K20" i="13" s="1"/>
  <c r="E21" i="13"/>
  <c r="G21" i="13" s="1"/>
  <c r="I21" i="13" s="1"/>
  <c r="K21" i="13" s="1"/>
  <c r="E22" i="13"/>
  <c r="G22" i="13" s="1"/>
  <c r="I22" i="13" s="1"/>
  <c r="K22" i="13" s="1"/>
  <c r="E23" i="13"/>
  <c r="G23" i="13" s="1"/>
  <c r="I23" i="13" s="1"/>
  <c r="K23" i="13" s="1"/>
  <c r="E24" i="13"/>
  <c r="G24" i="13" s="1"/>
  <c r="I24" i="13" s="1"/>
  <c r="K24" i="13" s="1"/>
  <c r="E25" i="13"/>
  <c r="G25" i="13" s="1"/>
  <c r="I25" i="13" s="1"/>
  <c r="K25" i="13" s="1"/>
  <c r="E26" i="13"/>
  <c r="G26" i="13" s="1"/>
  <c r="I26" i="13" s="1"/>
  <c r="K26" i="13" s="1"/>
  <c r="E27" i="13"/>
  <c r="G27" i="13" s="1"/>
  <c r="I27" i="13" s="1"/>
  <c r="K27" i="13" s="1"/>
  <c r="E28" i="13"/>
  <c r="G28" i="13" s="1"/>
  <c r="I28" i="13" s="1"/>
  <c r="K28" i="13" s="1"/>
  <c r="E29" i="13"/>
  <c r="G29" i="13" s="1"/>
  <c r="I29" i="13" s="1"/>
  <c r="K29" i="13" s="1"/>
  <c r="E30" i="13"/>
  <c r="G30" i="13" s="1"/>
  <c r="I30" i="13" s="1"/>
  <c r="K30" i="13" s="1"/>
  <c r="E31" i="13"/>
  <c r="G31" i="13" s="1"/>
  <c r="I31" i="13" s="1"/>
  <c r="K31" i="13" s="1"/>
  <c r="E32" i="13"/>
  <c r="G32" i="13" s="1"/>
  <c r="I32" i="13" s="1"/>
  <c r="K32" i="13" s="1"/>
  <c r="E33" i="13"/>
  <c r="G33" i="13" s="1"/>
  <c r="I33" i="13" s="1"/>
  <c r="K33" i="13" s="1"/>
  <c r="E34" i="13"/>
  <c r="G34" i="13" s="1"/>
  <c r="I34" i="13" s="1"/>
  <c r="K34" i="13" s="1"/>
  <c r="E35" i="13"/>
  <c r="G35" i="13" s="1"/>
  <c r="I35" i="13" s="1"/>
  <c r="K35" i="13" s="1"/>
  <c r="E36" i="13"/>
  <c r="G36" i="13" s="1"/>
  <c r="I36" i="13" s="1"/>
  <c r="K36" i="13" s="1"/>
  <c r="E37" i="13"/>
  <c r="G37" i="13" s="1"/>
  <c r="I37" i="13" s="1"/>
  <c r="K37" i="13" s="1"/>
  <c r="E38" i="13"/>
  <c r="G38" i="13" s="1"/>
  <c r="I38" i="13" s="1"/>
  <c r="K38" i="13" s="1"/>
  <c r="E39" i="13"/>
  <c r="G39" i="13" s="1"/>
  <c r="I39" i="13" s="1"/>
  <c r="K39" i="13" s="1"/>
  <c r="E40" i="13"/>
  <c r="G40" i="13" s="1"/>
  <c r="I40" i="13" s="1"/>
  <c r="K40" i="13" s="1"/>
  <c r="E50" i="13"/>
  <c r="G50" i="13" s="1"/>
  <c r="I50" i="13" s="1"/>
  <c r="K50" i="13" s="1"/>
  <c r="E51" i="13"/>
  <c r="G51" i="13" s="1"/>
  <c r="I51" i="13" s="1"/>
  <c r="K51" i="13" s="1"/>
  <c r="E42" i="13"/>
  <c r="G42" i="13" s="1"/>
  <c r="I42" i="13" s="1"/>
  <c r="K42" i="13" s="1"/>
  <c r="E43" i="13"/>
  <c r="G43" i="13" s="1"/>
  <c r="I43" i="13" s="1"/>
  <c r="K43" i="13" s="1"/>
  <c r="E44" i="13"/>
  <c r="G44" i="13" s="1"/>
  <c r="I44" i="13" s="1"/>
  <c r="K44" i="13" s="1"/>
  <c r="E45" i="13"/>
  <c r="G45" i="13" s="1"/>
  <c r="I45" i="13" s="1"/>
  <c r="K45" i="13" s="1"/>
  <c r="E46" i="13"/>
  <c r="G46" i="13" s="1"/>
  <c r="I46" i="13" s="1"/>
  <c r="K46" i="13" s="1"/>
  <c r="E47" i="13"/>
  <c r="G47" i="13" s="1"/>
  <c r="I47" i="13" s="1"/>
  <c r="K47" i="13" s="1"/>
  <c r="E48" i="13"/>
  <c r="G48" i="13" s="1"/>
  <c r="I48" i="13" s="1"/>
  <c r="K48" i="13" s="1"/>
  <c r="E10" i="12"/>
  <c r="G10" i="12" s="1"/>
  <c r="I10" i="12" s="1"/>
  <c r="E11" i="12"/>
  <c r="G11" i="12" s="1"/>
  <c r="I11" i="12" s="1"/>
  <c r="K11" i="12" s="1"/>
  <c r="E12" i="12"/>
  <c r="G12" i="12" s="1"/>
  <c r="I12" i="12" s="1"/>
  <c r="K12" i="12" s="1"/>
  <c r="E13" i="12"/>
  <c r="G13" i="12" s="1"/>
  <c r="I13" i="12" s="1"/>
  <c r="K13" i="12" s="1"/>
  <c r="E14" i="12"/>
  <c r="G14" i="12" s="1"/>
  <c r="I14" i="12" s="1"/>
  <c r="K14" i="12" s="1"/>
  <c r="E15" i="12"/>
  <c r="G15" i="12" s="1"/>
  <c r="I15" i="12" s="1"/>
  <c r="K15" i="12" s="1"/>
  <c r="E16" i="12"/>
  <c r="G16" i="12" s="1"/>
  <c r="I16" i="12" s="1"/>
  <c r="K16" i="12" s="1"/>
  <c r="E17" i="12"/>
  <c r="G17" i="12" s="1"/>
  <c r="I17" i="12" s="1"/>
  <c r="K17" i="12" s="1"/>
  <c r="E18" i="12"/>
  <c r="G18" i="12" s="1"/>
  <c r="I18" i="12" s="1"/>
  <c r="K18" i="12" s="1"/>
  <c r="E19" i="12"/>
  <c r="G19" i="12" s="1"/>
  <c r="I19" i="12" s="1"/>
  <c r="K19" i="12" s="1"/>
  <c r="E20" i="12"/>
  <c r="G20" i="12" s="1"/>
  <c r="I20" i="12" s="1"/>
  <c r="K20" i="12" s="1"/>
  <c r="E21" i="12"/>
  <c r="G21" i="12" s="1"/>
  <c r="I21" i="12" s="1"/>
  <c r="K21" i="12" s="1"/>
  <c r="E22" i="12"/>
  <c r="G22" i="12" s="1"/>
  <c r="I22" i="12" s="1"/>
  <c r="K22" i="12" s="1"/>
  <c r="E23" i="12"/>
  <c r="G23" i="12" s="1"/>
  <c r="I23" i="12" s="1"/>
  <c r="K23" i="12" s="1"/>
  <c r="E24" i="12"/>
  <c r="G24" i="12" s="1"/>
  <c r="I24" i="12" s="1"/>
  <c r="K24" i="12" s="1"/>
  <c r="E25" i="12"/>
  <c r="G25" i="12" s="1"/>
  <c r="I25" i="12" s="1"/>
  <c r="K25" i="12" s="1"/>
  <c r="E26" i="12"/>
  <c r="G26" i="12" s="1"/>
  <c r="I26" i="12" s="1"/>
  <c r="K26" i="12" s="1"/>
  <c r="E27" i="12"/>
  <c r="G27" i="12" s="1"/>
  <c r="I27" i="12" s="1"/>
  <c r="K27" i="12" s="1"/>
  <c r="E28" i="12"/>
  <c r="G28" i="12" s="1"/>
  <c r="I28" i="12" s="1"/>
  <c r="K28" i="12" s="1"/>
  <c r="E29" i="12"/>
  <c r="G29" i="12" s="1"/>
  <c r="I29" i="12" s="1"/>
  <c r="K29" i="12" s="1"/>
  <c r="E30" i="12"/>
  <c r="G30" i="12" s="1"/>
  <c r="I30" i="12" s="1"/>
  <c r="K30" i="12" s="1"/>
  <c r="E31" i="12"/>
  <c r="G31" i="12" s="1"/>
  <c r="I31" i="12" s="1"/>
  <c r="K31" i="12" s="1"/>
  <c r="E32" i="12"/>
  <c r="G32" i="12" s="1"/>
  <c r="I32" i="12" s="1"/>
  <c r="K32" i="12" s="1"/>
  <c r="E33" i="12"/>
  <c r="G33" i="12" s="1"/>
  <c r="I33" i="12" s="1"/>
  <c r="K33" i="12" s="1"/>
  <c r="E34" i="12"/>
  <c r="G34" i="12" s="1"/>
  <c r="I34" i="12" s="1"/>
  <c r="K34" i="12" s="1"/>
  <c r="E35" i="12"/>
  <c r="G35" i="12" s="1"/>
  <c r="I35" i="12" s="1"/>
  <c r="K35" i="12" s="1"/>
  <c r="E36" i="12"/>
  <c r="G36" i="12" s="1"/>
  <c r="I36" i="12" s="1"/>
  <c r="K36" i="12" s="1"/>
  <c r="E37" i="12"/>
  <c r="G37" i="12" s="1"/>
  <c r="I37" i="12" s="1"/>
  <c r="K37" i="12" s="1"/>
  <c r="E38" i="12"/>
  <c r="G38" i="12" s="1"/>
  <c r="I38" i="12" s="1"/>
  <c r="K38" i="12" s="1"/>
  <c r="E39" i="12"/>
  <c r="G39" i="12" s="1"/>
  <c r="I39" i="12" s="1"/>
  <c r="K39" i="12" s="1"/>
  <c r="E40" i="12"/>
  <c r="G40" i="12" s="1"/>
  <c r="I40" i="12" s="1"/>
  <c r="K40" i="12" s="1"/>
  <c r="E50" i="12"/>
  <c r="G50" i="12" s="1"/>
  <c r="I50" i="12" s="1"/>
  <c r="K50" i="12" s="1"/>
  <c r="K10" i="10"/>
  <c r="E42" i="10"/>
  <c r="G42" i="10" s="1"/>
  <c r="I42" i="10" s="1"/>
  <c r="K42" i="10" s="1"/>
  <c r="E43" i="10"/>
  <c r="G43" i="10" s="1"/>
  <c r="I43" i="10" s="1"/>
  <c r="K43" i="10" s="1"/>
  <c r="E44" i="10"/>
  <c r="G44" i="10" s="1"/>
  <c r="I44" i="10" s="1"/>
  <c r="K44" i="10" s="1"/>
  <c r="E45" i="10"/>
  <c r="G45" i="10" s="1"/>
  <c r="I45" i="10" s="1"/>
  <c r="K45" i="10" s="1"/>
  <c r="E46" i="10"/>
  <c r="G46" i="10" s="1"/>
  <c r="I46" i="10" s="1"/>
  <c r="K46" i="10" s="1"/>
  <c r="E47" i="10"/>
  <c r="G47" i="10" s="1"/>
  <c r="I47" i="10" s="1"/>
  <c r="K47" i="10" s="1"/>
  <c r="E48" i="10"/>
  <c r="G48" i="10" s="1"/>
  <c r="I48" i="10" s="1"/>
  <c r="K48" i="10" s="1"/>
  <c r="K10" i="9"/>
  <c r="K10" i="8"/>
  <c r="L53" i="7"/>
  <c r="L54" i="7" s="1"/>
  <c r="E10" i="7"/>
  <c r="G10" i="7" s="1"/>
  <c r="I10" i="7" s="1"/>
  <c r="E11" i="7"/>
  <c r="G11" i="7" s="1"/>
  <c r="I11" i="7" s="1"/>
  <c r="K11" i="7" s="1"/>
  <c r="E12" i="7"/>
  <c r="G12" i="7" s="1"/>
  <c r="I12" i="7" s="1"/>
  <c r="K12" i="7" s="1"/>
  <c r="E13" i="7"/>
  <c r="G13" i="7" s="1"/>
  <c r="I13" i="7" s="1"/>
  <c r="K13" i="7" s="1"/>
  <c r="E14" i="7"/>
  <c r="G14" i="7" s="1"/>
  <c r="I14" i="7" s="1"/>
  <c r="K14" i="7" s="1"/>
  <c r="E15" i="7"/>
  <c r="G15" i="7" s="1"/>
  <c r="I15" i="7" s="1"/>
  <c r="K15" i="7" s="1"/>
  <c r="E16" i="7"/>
  <c r="G16" i="7" s="1"/>
  <c r="I16" i="7" s="1"/>
  <c r="K16" i="7" s="1"/>
  <c r="E17" i="7"/>
  <c r="G17" i="7" s="1"/>
  <c r="I17" i="7" s="1"/>
  <c r="K17" i="7" s="1"/>
  <c r="E18" i="7"/>
  <c r="G18" i="7" s="1"/>
  <c r="I18" i="7" s="1"/>
  <c r="K18" i="7" s="1"/>
  <c r="E19" i="7"/>
  <c r="G19" i="7" s="1"/>
  <c r="I19" i="7" s="1"/>
  <c r="K19" i="7" s="1"/>
  <c r="E20" i="7"/>
  <c r="G20" i="7" s="1"/>
  <c r="I20" i="7" s="1"/>
  <c r="K20" i="7" s="1"/>
  <c r="E21" i="7"/>
  <c r="G21" i="7" s="1"/>
  <c r="I21" i="7" s="1"/>
  <c r="K21" i="7" s="1"/>
  <c r="E22" i="7"/>
  <c r="G22" i="7" s="1"/>
  <c r="I22" i="7" s="1"/>
  <c r="K22" i="7" s="1"/>
  <c r="E23" i="7"/>
  <c r="G23" i="7" s="1"/>
  <c r="I23" i="7" s="1"/>
  <c r="K23" i="7" s="1"/>
  <c r="E24" i="7"/>
  <c r="G24" i="7" s="1"/>
  <c r="I24" i="7" s="1"/>
  <c r="K24" i="7" s="1"/>
  <c r="E25" i="7"/>
  <c r="G25" i="7" s="1"/>
  <c r="I25" i="7" s="1"/>
  <c r="K25" i="7" s="1"/>
  <c r="E26" i="7"/>
  <c r="G26" i="7" s="1"/>
  <c r="I26" i="7" s="1"/>
  <c r="K26" i="7" s="1"/>
  <c r="E27" i="7"/>
  <c r="G27" i="7" s="1"/>
  <c r="I27" i="7" s="1"/>
  <c r="K27" i="7" s="1"/>
  <c r="E28" i="7"/>
  <c r="G28" i="7" s="1"/>
  <c r="I28" i="7" s="1"/>
  <c r="K28" i="7" s="1"/>
  <c r="E29" i="7"/>
  <c r="G29" i="7" s="1"/>
  <c r="I29" i="7" s="1"/>
  <c r="K29" i="7" s="1"/>
  <c r="E30" i="7"/>
  <c r="G30" i="7" s="1"/>
  <c r="I30" i="7" s="1"/>
  <c r="K30" i="7" s="1"/>
  <c r="E31" i="7"/>
  <c r="G31" i="7" s="1"/>
  <c r="I31" i="7" s="1"/>
  <c r="K31" i="7" s="1"/>
  <c r="E32" i="7"/>
  <c r="G32" i="7" s="1"/>
  <c r="I32" i="7" s="1"/>
  <c r="K32" i="7" s="1"/>
  <c r="E33" i="7"/>
  <c r="G33" i="7" s="1"/>
  <c r="I33" i="7" s="1"/>
  <c r="K33" i="7" s="1"/>
  <c r="E34" i="7"/>
  <c r="G34" i="7" s="1"/>
  <c r="I34" i="7" s="1"/>
  <c r="K34" i="7" s="1"/>
  <c r="E35" i="7"/>
  <c r="G35" i="7" s="1"/>
  <c r="I35" i="7" s="1"/>
  <c r="K35" i="7" s="1"/>
  <c r="E36" i="7"/>
  <c r="G36" i="7" s="1"/>
  <c r="I36" i="7" s="1"/>
  <c r="K36" i="7" s="1"/>
  <c r="E37" i="7"/>
  <c r="G37" i="7" s="1"/>
  <c r="I37" i="7" s="1"/>
  <c r="K37" i="7" s="1"/>
  <c r="E38" i="7"/>
  <c r="G38" i="7" s="1"/>
  <c r="I38" i="7" s="1"/>
  <c r="K38" i="7" s="1"/>
  <c r="E39" i="7"/>
  <c r="G39" i="7" s="1"/>
  <c r="I39" i="7" s="1"/>
  <c r="K39" i="7" s="1"/>
  <c r="E40" i="7"/>
  <c r="G40" i="7" s="1"/>
  <c r="I40" i="7" s="1"/>
  <c r="K40" i="7" s="1"/>
  <c r="E50" i="7"/>
  <c r="G50" i="7" s="1"/>
  <c r="I50" i="7" s="1"/>
  <c r="K50" i="7" s="1"/>
  <c r="E51" i="7"/>
  <c r="G51" i="7" s="1"/>
  <c r="I51" i="7" s="1"/>
  <c r="K51" i="7" s="1"/>
  <c r="E42" i="7"/>
  <c r="G42" i="7" s="1"/>
  <c r="I42" i="7" s="1"/>
  <c r="K42" i="7" s="1"/>
  <c r="E43" i="7"/>
  <c r="G43" i="7" s="1"/>
  <c r="I43" i="7" s="1"/>
  <c r="K43" i="7" s="1"/>
  <c r="E44" i="7"/>
  <c r="G44" i="7" s="1"/>
  <c r="I44" i="7" s="1"/>
  <c r="K44" i="7" s="1"/>
  <c r="E45" i="7"/>
  <c r="G45" i="7" s="1"/>
  <c r="I45" i="7" s="1"/>
  <c r="K45" i="7" s="1"/>
  <c r="E46" i="7"/>
  <c r="G46" i="7" s="1"/>
  <c r="I46" i="7" s="1"/>
  <c r="K46" i="7" s="1"/>
  <c r="E47" i="7"/>
  <c r="G47" i="7" s="1"/>
  <c r="I47" i="7" s="1"/>
  <c r="K47" i="7" s="1"/>
  <c r="E48" i="7"/>
  <c r="G48" i="7" s="1"/>
  <c r="I48" i="7" s="1"/>
  <c r="K48" i="7" s="1"/>
  <c r="L54" i="5"/>
  <c r="J44" i="2"/>
  <c r="Q63" i="5"/>
  <c r="J43" i="2"/>
  <c r="L53" i="4"/>
  <c r="L54" i="4" s="1"/>
  <c r="E10" i="4"/>
  <c r="G10" i="4" s="1"/>
  <c r="I10" i="4" s="1"/>
  <c r="E11" i="4"/>
  <c r="G11" i="4" s="1"/>
  <c r="I11" i="4" s="1"/>
  <c r="K11" i="4" s="1"/>
  <c r="E12" i="4"/>
  <c r="G12" i="4" s="1"/>
  <c r="I12" i="4" s="1"/>
  <c r="K12" i="4" s="1"/>
  <c r="E13" i="4"/>
  <c r="G13" i="4" s="1"/>
  <c r="I13" i="4" s="1"/>
  <c r="K13" i="4" s="1"/>
  <c r="E14" i="4"/>
  <c r="G14" i="4" s="1"/>
  <c r="I14" i="4" s="1"/>
  <c r="K14" i="4" s="1"/>
  <c r="E15" i="4"/>
  <c r="G15" i="4" s="1"/>
  <c r="I15" i="4" s="1"/>
  <c r="K15" i="4" s="1"/>
  <c r="E16" i="4"/>
  <c r="G16" i="4" s="1"/>
  <c r="I16" i="4" s="1"/>
  <c r="K16" i="4" s="1"/>
  <c r="E17" i="4"/>
  <c r="G17" i="4" s="1"/>
  <c r="I17" i="4" s="1"/>
  <c r="K17" i="4" s="1"/>
  <c r="E18" i="4"/>
  <c r="G18" i="4" s="1"/>
  <c r="I18" i="4" s="1"/>
  <c r="K18" i="4" s="1"/>
  <c r="E19" i="4"/>
  <c r="G19" i="4" s="1"/>
  <c r="I19" i="4" s="1"/>
  <c r="K19" i="4" s="1"/>
  <c r="E20" i="4"/>
  <c r="G20" i="4" s="1"/>
  <c r="I20" i="4" s="1"/>
  <c r="K20" i="4" s="1"/>
  <c r="E21" i="4"/>
  <c r="G21" i="4" s="1"/>
  <c r="I21" i="4" s="1"/>
  <c r="K21" i="4" s="1"/>
  <c r="E22" i="4"/>
  <c r="G22" i="4" s="1"/>
  <c r="I22" i="4" s="1"/>
  <c r="K22" i="4" s="1"/>
  <c r="E23" i="4"/>
  <c r="G23" i="4" s="1"/>
  <c r="I23" i="4" s="1"/>
  <c r="K23" i="4" s="1"/>
  <c r="E24" i="4"/>
  <c r="G24" i="4" s="1"/>
  <c r="I24" i="4" s="1"/>
  <c r="K24" i="4" s="1"/>
  <c r="E25" i="4"/>
  <c r="G25" i="4" s="1"/>
  <c r="I25" i="4" s="1"/>
  <c r="K25" i="4" s="1"/>
  <c r="E26" i="4"/>
  <c r="G26" i="4" s="1"/>
  <c r="I26" i="4" s="1"/>
  <c r="K26" i="4" s="1"/>
  <c r="E27" i="4"/>
  <c r="G27" i="4" s="1"/>
  <c r="I27" i="4" s="1"/>
  <c r="K27" i="4" s="1"/>
  <c r="E28" i="4"/>
  <c r="G28" i="4" s="1"/>
  <c r="I28" i="4" s="1"/>
  <c r="K28" i="4" s="1"/>
  <c r="E29" i="4"/>
  <c r="G29" i="4" s="1"/>
  <c r="I29" i="4" s="1"/>
  <c r="K29" i="4" s="1"/>
  <c r="E30" i="4"/>
  <c r="G30" i="4" s="1"/>
  <c r="I30" i="4" s="1"/>
  <c r="K30" i="4" s="1"/>
  <c r="E31" i="4"/>
  <c r="G31" i="4" s="1"/>
  <c r="I31" i="4" s="1"/>
  <c r="K31" i="4" s="1"/>
  <c r="E32" i="4"/>
  <c r="G32" i="4" s="1"/>
  <c r="I32" i="4" s="1"/>
  <c r="K32" i="4" s="1"/>
  <c r="E33" i="4"/>
  <c r="G33" i="4" s="1"/>
  <c r="I33" i="4" s="1"/>
  <c r="K33" i="4" s="1"/>
  <c r="E34" i="4"/>
  <c r="G34" i="4" s="1"/>
  <c r="I34" i="4" s="1"/>
  <c r="K34" i="4" s="1"/>
  <c r="E35" i="4"/>
  <c r="G35" i="4" s="1"/>
  <c r="I35" i="4" s="1"/>
  <c r="K35" i="4" s="1"/>
  <c r="E36" i="4"/>
  <c r="G36" i="4" s="1"/>
  <c r="I36" i="4" s="1"/>
  <c r="K36" i="4" s="1"/>
  <c r="E37" i="4"/>
  <c r="G37" i="4" s="1"/>
  <c r="I37" i="4" s="1"/>
  <c r="K37" i="4" s="1"/>
  <c r="E38" i="4"/>
  <c r="G38" i="4" s="1"/>
  <c r="I38" i="4" s="1"/>
  <c r="K38" i="4" s="1"/>
  <c r="E39" i="4"/>
  <c r="G39" i="4" s="1"/>
  <c r="I39" i="4" s="1"/>
  <c r="K39" i="4" s="1"/>
  <c r="E40" i="4"/>
  <c r="G40" i="4" s="1"/>
  <c r="I40" i="4" s="1"/>
  <c r="K40" i="4" s="1"/>
  <c r="E50" i="4"/>
  <c r="G50" i="4" s="1"/>
  <c r="I50" i="4" s="1"/>
  <c r="K50" i="4" s="1"/>
  <c r="K52" i="5" l="1"/>
  <c r="I52" i="8"/>
  <c r="M49" i="8" s="1"/>
  <c r="M52" i="8" s="1"/>
  <c r="I52" i="14"/>
  <c r="M49" i="14" s="1"/>
  <c r="M52" i="14" s="1"/>
  <c r="M53" i="14" s="1"/>
  <c r="M54" i="14" s="1"/>
  <c r="O58" i="14" s="1"/>
  <c r="K52" i="15"/>
  <c r="K53" i="15" s="1"/>
  <c r="K54" i="15" s="1"/>
  <c r="I52" i="15"/>
  <c r="M49" i="15" s="1"/>
  <c r="M52" i="15" s="1"/>
  <c r="M53" i="15" s="1"/>
  <c r="M54" i="15" s="1"/>
  <c r="O58" i="15" s="1"/>
  <c r="K52" i="14"/>
  <c r="K53" i="14" s="1"/>
  <c r="K52" i="11"/>
  <c r="K53" i="11" s="1"/>
  <c r="K54" i="11" s="1"/>
  <c r="I52" i="11"/>
  <c r="M49" i="11" s="1"/>
  <c r="M52" i="11" s="1"/>
  <c r="M53" i="11" s="1"/>
  <c r="M54" i="11" s="1"/>
  <c r="O58" i="11" s="1"/>
  <c r="K52" i="9"/>
  <c r="K53" i="9" s="1"/>
  <c r="I52" i="9"/>
  <c r="M49" i="9" s="1"/>
  <c r="M52" i="9" s="1"/>
  <c r="K52" i="8"/>
  <c r="K53" i="8" s="1"/>
  <c r="I52" i="5"/>
  <c r="M49" i="5" s="1"/>
  <c r="M52" i="5" s="1"/>
  <c r="M53" i="5" s="1"/>
  <c r="M54" i="5" s="1"/>
  <c r="O58" i="5" s="1"/>
  <c r="K10" i="13"/>
  <c r="K52" i="13" s="1"/>
  <c r="I52" i="13"/>
  <c r="M49" i="13" s="1"/>
  <c r="M52" i="13" s="1"/>
  <c r="K10" i="12"/>
  <c r="K52" i="12" s="1"/>
  <c r="I52" i="12"/>
  <c r="M49" i="12" s="1"/>
  <c r="M52" i="12" s="1"/>
  <c r="I52" i="10"/>
  <c r="M49" i="10" s="1"/>
  <c r="M52" i="10" s="1"/>
  <c r="K52" i="10"/>
  <c r="M53" i="9"/>
  <c r="M54" i="9" s="1"/>
  <c r="O58" i="9" s="1"/>
  <c r="M53" i="8"/>
  <c r="M54" i="8" s="1"/>
  <c r="O58" i="8" s="1"/>
  <c r="K10" i="7"/>
  <c r="K52" i="7" s="1"/>
  <c r="I52" i="7"/>
  <c r="M49" i="7" s="1"/>
  <c r="M52" i="7" s="1"/>
  <c r="K53" i="5"/>
  <c r="K54" i="5" s="1"/>
  <c r="I52" i="4"/>
  <c r="K10" i="4"/>
  <c r="K52" i="4" s="1"/>
  <c r="K54" i="14" l="1"/>
  <c r="K54" i="9"/>
  <c r="L55" i="9" s="1"/>
  <c r="M57" i="9" s="1"/>
  <c r="O63" i="9" s="1"/>
  <c r="K54" i="8"/>
  <c r="L55" i="8" s="1"/>
  <c r="M57" i="8" s="1"/>
  <c r="O63" i="8" s="1"/>
  <c r="L55" i="15"/>
  <c r="M57" i="15" s="1"/>
  <c r="O63" i="15" s="1"/>
  <c r="E53" i="2"/>
  <c r="O57" i="15"/>
  <c r="O57" i="14"/>
  <c r="E52" i="2"/>
  <c r="L55" i="14"/>
  <c r="M57" i="14" s="1"/>
  <c r="O63" i="14" s="1"/>
  <c r="M53" i="13"/>
  <c r="M54" i="13" s="1"/>
  <c r="O58" i="13" s="1"/>
  <c r="K53" i="13"/>
  <c r="K54" i="13" s="1"/>
  <c r="K53" i="12"/>
  <c r="K54" i="12" s="1"/>
  <c r="M53" i="12"/>
  <c r="M54" i="12" s="1"/>
  <c r="O58" i="12" s="1"/>
  <c r="O57" i="11"/>
  <c r="E49" i="2"/>
  <c r="L55" i="11"/>
  <c r="M57" i="11" s="1"/>
  <c r="O63" i="11" s="1"/>
  <c r="K53" i="10"/>
  <c r="K54" i="10" s="1"/>
  <c r="M53" i="10"/>
  <c r="M54" i="10" s="1"/>
  <c r="O58" i="10" s="1"/>
  <c r="O57" i="9"/>
  <c r="E47" i="2"/>
  <c r="E46" i="2"/>
  <c r="O57" i="8"/>
  <c r="K53" i="7"/>
  <c r="K54" i="7" s="1"/>
  <c r="M53" i="7"/>
  <c r="M54" i="7" s="1"/>
  <c r="O58" i="7" s="1"/>
  <c r="O57" i="7" s="1"/>
  <c r="E44" i="2"/>
  <c r="O57" i="5"/>
  <c r="L55" i="5"/>
  <c r="M57" i="5" s="1"/>
  <c r="O63" i="5" s="1"/>
  <c r="M49" i="4"/>
  <c r="M52" i="4" s="1"/>
  <c r="M53" i="4" s="1"/>
  <c r="M54" i="4" s="1"/>
  <c r="O58" i="4" s="1"/>
  <c r="O57" i="4" s="1"/>
  <c r="K53" i="4"/>
  <c r="K54" i="4" s="1"/>
  <c r="L55" i="10" l="1"/>
  <c r="M57" i="10" s="1"/>
  <c r="O63" i="10" s="1"/>
  <c r="L55" i="7"/>
  <c r="M57" i="7" s="1"/>
  <c r="O63" i="7" s="1"/>
  <c r="E45" i="2"/>
  <c r="E51" i="2"/>
  <c r="O57" i="13"/>
  <c r="L55" i="13"/>
  <c r="M57" i="13" s="1"/>
  <c r="O63" i="13" s="1"/>
  <c r="O57" i="12"/>
  <c r="E50" i="2"/>
  <c r="L55" i="12"/>
  <c r="M57" i="12" s="1"/>
  <c r="O63" i="12" s="1"/>
  <c r="O57" i="10"/>
  <c r="E48" i="2"/>
  <c r="L55" i="4"/>
  <c r="M57" i="4" s="1"/>
  <c r="O63" i="4" s="1"/>
  <c r="E43" i="2"/>
  <c r="M60" i="3" l="1"/>
  <c r="F41" i="2"/>
  <c r="L52" i="3"/>
  <c r="L53" i="3" s="1"/>
  <c r="N17" i="19"/>
  <c r="M11" i="19"/>
  <c r="B46" i="16"/>
  <c r="M73" i="3"/>
  <c r="K11" i="18"/>
  <c r="M13" i="19" l="1"/>
  <c r="M21" i="19" s="1"/>
  <c r="N21" i="19" s="1"/>
  <c r="N9" i="19"/>
  <c r="N20" i="19"/>
  <c r="L54" i="3"/>
  <c r="P70" i="3"/>
  <c r="P73" i="3"/>
  <c r="I30" i="2" l="1"/>
  <c r="P67" i="3"/>
  <c r="B38" i="16"/>
  <c r="M62" i="3"/>
  <c r="N15" i="19"/>
  <c r="N19" i="19"/>
  <c r="N13" i="19"/>
  <c r="N11" i="19"/>
  <c r="N10" i="19"/>
  <c r="N16" i="19"/>
  <c r="I45" i="16"/>
  <c r="K45" i="16" s="1"/>
  <c r="I35" i="2"/>
  <c r="I34" i="2"/>
  <c r="I33" i="2"/>
  <c r="I32" i="2"/>
  <c r="I31" i="2"/>
  <c r="I29" i="2"/>
  <c r="I28" i="2"/>
  <c r="I27" i="2"/>
  <c r="I26" i="2"/>
  <c r="M61" i="3"/>
  <c r="D7" i="19" l="1"/>
  <c r="D9" i="19" s="1"/>
  <c r="E9" i="19" s="1"/>
  <c r="E7" i="19"/>
  <c r="E13" i="19" s="1"/>
  <c r="I25" i="2"/>
  <c r="C16" i="1" l="1"/>
  <c r="O25" i="18"/>
  <c r="F39" i="16"/>
  <c r="D25" i="18" l="1"/>
  <c r="C25" i="19"/>
  <c r="C26" i="19"/>
  <c r="V25" i="18" l="1"/>
  <c r="U25" i="18"/>
  <c r="H39" i="19" s="1"/>
  <c r="F56" i="16"/>
  <c r="B25" i="1"/>
  <c r="F25" i="1"/>
  <c r="N36" i="22" l="1"/>
  <c r="N63" i="22"/>
  <c r="N88" i="22"/>
  <c r="K54" i="22"/>
  <c r="N102" i="22"/>
  <c r="N103" i="22"/>
  <c r="N104" i="22"/>
  <c r="N98" i="22"/>
  <c r="N99" i="22"/>
  <c r="N90" i="22"/>
  <c r="N91" i="22"/>
  <c r="N92" i="22"/>
  <c r="N93" i="22"/>
  <c r="N94" i="22"/>
  <c r="N70" i="22"/>
  <c r="N71" i="22"/>
  <c r="N72" i="22"/>
  <c r="N68" i="22"/>
  <c r="N62" i="22"/>
  <c r="N64" i="22"/>
  <c r="N65" i="22"/>
  <c r="N66" i="22"/>
  <c r="N61" i="22"/>
  <c r="N55" i="22"/>
  <c r="N56" i="22"/>
  <c r="N57" i="22"/>
  <c r="N58" i="22"/>
  <c r="N59" i="22"/>
  <c r="N54" i="22"/>
  <c r="N49" i="22"/>
  <c r="N50" i="22"/>
  <c r="N51" i="22"/>
  <c r="N52" i="22"/>
  <c r="N42" i="22"/>
  <c r="N43" i="22"/>
  <c r="N44" i="22"/>
  <c r="N45" i="22"/>
  <c r="N46" i="22"/>
  <c r="N41" i="22"/>
  <c r="N37" i="22"/>
  <c r="N38" i="22"/>
  <c r="N39" i="22"/>
  <c r="N32" i="22"/>
  <c r="N33" i="22"/>
  <c r="N34" i="22"/>
  <c r="N31" i="22"/>
  <c r="N21" i="22"/>
  <c r="N22" i="22"/>
  <c r="N23" i="22"/>
  <c r="N28" i="22"/>
  <c r="N27" i="22"/>
  <c r="N29" i="22"/>
  <c r="G111" i="22"/>
  <c r="N111" i="22" s="1"/>
  <c r="F115" i="22"/>
  <c r="E115" i="22"/>
  <c r="K111" i="22"/>
  <c r="H111" i="22"/>
  <c r="K110" i="22"/>
  <c r="H110" i="22"/>
  <c r="G110" i="22"/>
  <c r="K109" i="22"/>
  <c r="H109" i="22"/>
  <c r="G109" i="22"/>
  <c r="N109" i="22" s="1"/>
  <c r="K104" i="22"/>
  <c r="H104" i="22"/>
  <c r="G104" i="22"/>
  <c r="K103" i="22"/>
  <c r="H103" i="22"/>
  <c r="G103" i="22"/>
  <c r="K102" i="22"/>
  <c r="H102" i="22"/>
  <c r="G102" i="22"/>
  <c r="K101" i="22"/>
  <c r="H101" i="22"/>
  <c r="K99" i="22"/>
  <c r="H99" i="22"/>
  <c r="G99" i="22"/>
  <c r="K98" i="22"/>
  <c r="H98" i="22"/>
  <c r="G98" i="22"/>
  <c r="K97" i="22"/>
  <c r="H97" i="22"/>
  <c r="K95" i="22"/>
  <c r="H95" i="22"/>
  <c r="G95" i="22"/>
  <c r="K94" i="22"/>
  <c r="H94" i="22"/>
  <c r="G94" i="22"/>
  <c r="K93" i="22"/>
  <c r="H93" i="22"/>
  <c r="G93" i="22"/>
  <c r="K92" i="22"/>
  <c r="H92" i="22"/>
  <c r="G92" i="22"/>
  <c r="K91" i="22"/>
  <c r="H91" i="22"/>
  <c r="G91" i="22"/>
  <c r="K90" i="22"/>
  <c r="H90" i="22"/>
  <c r="G90" i="22"/>
  <c r="K88" i="22"/>
  <c r="G88" i="22"/>
  <c r="K87" i="22"/>
  <c r="H87" i="22"/>
  <c r="G87" i="22"/>
  <c r="N87" i="22" s="1"/>
  <c r="K86" i="22"/>
  <c r="H86" i="22"/>
  <c r="G86" i="22"/>
  <c r="K84" i="22"/>
  <c r="H84" i="22"/>
  <c r="G84" i="22"/>
  <c r="N84" i="22" s="1"/>
  <c r="K83" i="22"/>
  <c r="H83" i="22"/>
  <c r="G83" i="22"/>
  <c r="N83" i="22" s="1"/>
  <c r="K82" i="22"/>
  <c r="H82" i="22"/>
  <c r="G82" i="22"/>
  <c r="N82" i="22" s="1"/>
  <c r="K81" i="22"/>
  <c r="H81" i="22"/>
  <c r="G81" i="22"/>
  <c r="N81" i="22" s="1"/>
  <c r="K80" i="22"/>
  <c r="H80" i="22"/>
  <c r="G80" i="22"/>
  <c r="N80" i="22" s="1"/>
  <c r="K79" i="22"/>
  <c r="H79" i="22"/>
  <c r="G79" i="22"/>
  <c r="N79" i="22" s="1"/>
  <c r="K78" i="22"/>
  <c r="H78" i="22"/>
  <c r="G78" i="22"/>
  <c r="N78" i="22" s="1"/>
  <c r="K77" i="22"/>
  <c r="H77" i="22"/>
  <c r="G77" i="22"/>
  <c r="K75" i="22"/>
  <c r="H75" i="22"/>
  <c r="G75" i="22"/>
  <c r="N75" i="22" s="1"/>
  <c r="K74" i="22"/>
  <c r="H74" i="22"/>
  <c r="G74" i="22"/>
  <c r="K72" i="22"/>
  <c r="H72" i="22"/>
  <c r="G72" i="22"/>
  <c r="K71" i="22"/>
  <c r="H71" i="22"/>
  <c r="G71" i="22"/>
  <c r="K70" i="22"/>
  <c r="H70" i="22"/>
  <c r="G70" i="22"/>
  <c r="K68" i="22"/>
  <c r="H68" i="22"/>
  <c r="G68" i="22"/>
  <c r="K66" i="22"/>
  <c r="H66" i="22"/>
  <c r="G66" i="22"/>
  <c r="K64" i="22"/>
  <c r="H64" i="22"/>
  <c r="G64" i="22"/>
  <c r="K63" i="22"/>
  <c r="H63" i="22"/>
  <c r="G63" i="22"/>
  <c r="K62" i="22"/>
  <c r="H62" i="22"/>
  <c r="G62" i="22"/>
  <c r="K61" i="22"/>
  <c r="H61" i="22"/>
  <c r="G61" i="22"/>
  <c r="K59" i="22"/>
  <c r="H59" i="22"/>
  <c r="G59" i="22"/>
  <c r="K58" i="22"/>
  <c r="H58" i="22"/>
  <c r="G58" i="22"/>
  <c r="K57" i="22"/>
  <c r="H57" i="22"/>
  <c r="G57" i="22"/>
  <c r="K56" i="22"/>
  <c r="H56" i="22"/>
  <c r="G56" i="22"/>
  <c r="K55" i="22"/>
  <c r="H55" i="22"/>
  <c r="G55" i="22"/>
  <c r="H54" i="22"/>
  <c r="G54" i="22"/>
  <c r="H52" i="22"/>
  <c r="G52" i="22"/>
  <c r="H51" i="22"/>
  <c r="G51" i="22"/>
  <c r="H50" i="22"/>
  <c r="G50" i="22"/>
  <c r="H49" i="22"/>
  <c r="G49" i="22"/>
  <c r="H48" i="22"/>
  <c r="H46" i="22"/>
  <c r="G46" i="22"/>
  <c r="H45" i="22"/>
  <c r="G45" i="22"/>
  <c r="K44" i="22"/>
  <c r="H44" i="22"/>
  <c r="G44" i="22"/>
  <c r="H43" i="22"/>
  <c r="G43" i="22"/>
  <c r="H42" i="22"/>
  <c r="G42" i="22"/>
  <c r="H39" i="22"/>
  <c r="G39" i="22"/>
  <c r="K38" i="22"/>
  <c r="H38" i="22"/>
  <c r="G38" i="22"/>
  <c r="H37" i="22"/>
  <c r="G37" i="22"/>
  <c r="G36" i="22"/>
  <c r="G34" i="22"/>
  <c r="K33" i="22"/>
  <c r="G33" i="22"/>
  <c r="G32" i="22"/>
  <c r="G31" i="22"/>
  <c r="G28" i="22"/>
  <c r="G27" i="22"/>
  <c r="G25" i="22"/>
  <c r="G23" i="22"/>
  <c r="G22" i="22"/>
  <c r="G21" i="22"/>
  <c r="G19" i="22"/>
  <c r="N19" i="22" s="1"/>
  <c r="H17" i="22"/>
  <c r="G17" i="22"/>
  <c r="H16" i="22"/>
  <c r="G16" i="22"/>
  <c r="N16" i="22" s="1"/>
  <c r="H15" i="22"/>
  <c r="G15" i="22"/>
  <c r="N15" i="22" s="1"/>
  <c r="K14" i="22"/>
  <c r="H14" i="22"/>
  <c r="G14" i="22"/>
  <c r="N14" i="22" s="1"/>
  <c r="K13" i="22"/>
  <c r="H13" i="22"/>
  <c r="G13" i="22"/>
  <c r="H12" i="22"/>
  <c r="G12" i="22"/>
  <c r="H11" i="22"/>
  <c r="G11" i="22"/>
  <c r="N11" i="22" s="1"/>
  <c r="H10" i="22"/>
  <c r="G10" i="22"/>
  <c r="N12" i="22" l="1"/>
  <c r="F117" i="22"/>
  <c r="N13" i="22"/>
  <c r="N74" i="22"/>
  <c r="N77" i="22"/>
  <c r="N86" i="22"/>
  <c r="B29" i="19" l="1"/>
  <c r="B26" i="19"/>
  <c r="I57" i="2"/>
  <c r="N39" i="2"/>
  <c r="J35" i="2" l="1"/>
  <c r="J34" i="2"/>
  <c r="J27" i="2"/>
  <c r="H35" i="2"/>
  <c r="H34" i="2"/>
  <c r="H33" i="2"/>
  <c r="H32" i="2"/>
  <c r="H31" i="2"/>
  <c r="H30" i="2"/>
  <c r="H29" i="2"/>
  <c r="H28" i="2"/>
  <c r="H27" i="2"/>
  <c r="H26" i="2"/>
  <c r="J33" i="2"/>
  <c r="J32" i="2"/>
  <c r="J31" i="2"/>
  <c r="J30" i="2"/>
  <c r="J29" i="2"/>
  <c r="J28" i="2"/>
  <c r="J26" i="2"/>
  <c r="J25" i="2"/>
  <c r="H25" i="2"/>
  <c r="M74" i="3"/>
  <c r="M75" i="3"/>
  <c r="M70" i="3"/>
  <c r="M69" i="3"/>
  <c r="O59" i="3" s="1"/>
  <c r="J42" i="2" s="1"/>
  <c r="J54" i="2" s="1"/>
  <c r="M68" i="3"/>
  <c r="M66" i="3"/>
  <c r="E6" i="3"/>
  <c r="E12" i="3" s="1"/>
  <c r="M59" i="3"/>
  <c r="M58" i="3"/>
  <c r="D50" i="20"/>
  <c r="G50" i="20"/>
  <c r="J35" i="20"/>
  <c r="J39" i="20"/>
  <c r="J40" i="20"/>
  <c r="J41" i="20"/>
  <c r="J43" i="20"/>
  <c r="J44" i="20"/>
  <c r="J45" i="20"/>
  <c r="J46" i="20"/>
  <c r="J47" i="20"/>
  <c r="J48" i="20"/>
  <c r="J49" i="20"/>
  <c r="J51" i="20"/>
  <c r="C37" i="20"/>
  <c r="J37" i="20" s="1"/>
  <c r="C42" i="20"/>
  <c r="J42" i="20" s="1"/>
  <c r="C38" i="20"/>
  <c r="J38" i="20" s="1"/>
  <c r="C36" i="20"/>
  <c r="H36" i="20"/>
  <c r="C34" i="20"/>
  <c r="J34" i="20" s="1"/>
  <c r="J33" i="20"/>
  <c r="C29" i="20"/>
  <c r="C28" i="20"/>
  <c r="J22" i="20"/>
  <c r="J23" i="20"/>
  <c r="J24" i="20"/>
  <c r="C21" i="20"/>
  <c r="F21" i="20"/>
  <c r="H21" i="20"/>
  <c r="F16" i="20"/>
  <c r="J16" i="20" s="1"/>
  <c r="F12" i="20"/>
  <c r="J12" i="20" s="1"/>
  <c r="J15" i="20"/>
  <c r="H13" i="20"/>
  <c r="H25" i="20"/>
  <c r="J25" i="20" s="1"/>
  <c r="H11" i="20"/>
  <c r="J11" i="20" s="1"/>
  <c r="F7" i="20"/>
  <c r="J7" i="20" s="1"/>
  <c r="J6" i="20"/>
  <c r="J8" i="20"/>
  <c r="J9" i="20"/>
  <c r="J10" i="20"/>
  <c r="J13" i="20"/>
  <c r="J14" i="20"/>
  <c r="J26" i="20"/>
  <c r="J18" i="20"/>
  <c r="J27" i="20"/>
  <c r="J28" i="20"/>
  <c r="J29" i="20"/>
  <c r="J30" i="20"/>
  <c r="J31" i="20"/>
  <c r="J32" i="20"/>
  <c r="J5" i="20"/>
  <c r="D7" i="18"/>
  <c r="V7" i="18" s="1"/>
  <c r="F15" i="18"/>
  <c r="M16" i="18"/>
  <c r="M17" i="18"/>
  <c r="M18" i="18"/>
  <c r="H32" i="19" s="1"/>
  <c r="M19" i="18"/>
  <c r="D14" i="18"/>
  <c r="V16" i="18"/>
  <c r="W16" i="18"/>
  <c r="V17" i="18"/>
  <c r="W17" i="18"/>
  <c r="V18" i="18"/>
  <c r="W18" i="18"/>
  <c r="V19" i="18"/>
  <c r="W19" i="18"/>
  <c r="X19" i="18"/>
  <c r="Y19" i="18"/>
  <c r="Z19" i="18"/>
  <c r="AB19" i="18"/>
  <c r="C28" i="19"/>
  <c r="C26" i="22" s="1"/>
  <c r="G26" i="22" s="1"/>
  <c r="C29" i="19"/>
  <c r="C30" i="19"/>
  <c r="C31" i="19"/>
  <c r="C32" i="19"/>
  <c r="C33" i="19"/>
  <c r="B28" i="19"/>
  <c r="B30" i="19"/>
  <c r="B31" i="19"/>
  <c r="B32" i="19"/>
  <c r="B33" i="19"/>
  <c r="J36" i="20" l="1"/>
  <c r="C50" i="20"/>
  <c r="X18" i="18"/>
  <c r="Y18" i="18" s="1"/>
  <c r="Z18" i="18" s="1"/>
  <c r="X16" i="18"/>
  <c r="Y16" i="18" s="1"/>
  <c r="Z16" i="18" s="1"/>
  <c r="C52" i="20"/>
  <c r="X17" i="18"/>
  <c r="Y17" i="18" s="1"/>
  <c r="Z17" i="18" s="1"/>
  <c r="F50" i="20"/>
  <c r="J21" i="20"/>
  <c r="H31" i="19"/>
  <c r="H50" i="20"/>
  <c r="H30" i="19"/>
  <c r="I24" i="2"/>
  <c r="F7" i="18"/>
  <c r="G7" i="18"/>
  <c r="H14" i="18"/>
  <c r="F14" i="18"/>
  <c r="G14" i="18"/>
  <c r="H15" i="18"/>
  <c r="G15" i="18"/>
  <c r="E50" i="3"/>
  <c r="E46" i="3"/>
  <c r="E42" i="3"/>
  <c r="E38" i="3"/>
  <c r="E34" i="3"/>
  <c r="E30" i="3"/>
  <c r="E26" i="3"/>
  <c r="E22" i="3"/>
  <c r="E18" i="3"/>
  <c r="E13" i="3"/>
  <c r="G13" i="3" s="1"/>
  <c r="I13" i="3" s="1"/>
  <c r="K13" i="3" s="1"/>
  <c r="E51" i="3"/>
  <c r="E47" i="3"/>
  <c r="E43" i="3"/>
  <c r="E39" i="3"/>
  <c r="E35" i="3"/>
  <c r="E31" i="3"/>
  <c r="E27" i="3"/>
  <c r="E23" i="3"/>
  <c r="E19" i="3"/>
  <c r="E14" i="3"/>
  <c r="E10" i="3"/>
  <c r="E11" i="3"/>
  <c r="E48" i="3"/>
  <c r="E44" i="3"/>
  <c r="E40" i="3"/>
  <c r="E36" i="3"/>
  <c r="E32" i="3"/>
  <c r="E28" i="3"/>
  <c r="E24" i="3"/>
  <c r="E20" i="3"/>
  <c r="E16" i="3"/>
  <c r="E15" i="3"/>
  <c r="E49" i="3"/>
  <c r="E45" i="3"/>
  <c r="E37" i="3"/>
  <c r="G37" i="3" s="1"/>
  <c r="E33" i="3"/>
  <c r="E29" i="3"/>
  <c r="E25" i="3"/>
  <c r="E21" i="3"/>
  <c r="E17" i="3"/>
  <c r="J19" i="20"/>
  <c r="W15" i="18"/>
  <c r="V14" i="18"/>
  <c r="W14" i="18"/>
  <c r="I14" i="18"/>
  <c r="I15" i="18"/>
  <c r="V15" i="18"/>
  <c r="J15" i="18"/>
  <c r="J14" i="18"/>
  <c r="AA18" i="18" l="1"/>
  <c r="AA16" i="18"/>
  <c r="D30" i="19" s="1"/>
  <c r="AB18" i="18"/>
  <c r="D32" i="19"/>
  <c r="J50" i="20"/>
  <c r="AA17" i="18"/>
  <c r="D31" i="19" s="1"/>
  <c r="AB16" i="18"/>
  <c r="M15" i="18"/>
  <c r="H29" i="19" s="1"/>
  <c r="X14" i="18"/>
  <c r="G19" i="3"/>
  <c r="I19" i="3" s="1"/>
  <c r="K19" i="3" s="1"/>
  <c r="G18" i="3"/>
  <c r="I18" i="3" s="1"/>
  <c r="K18" i="3" s="1"/>
  <c r="G28" i="3"/>
  <c r="I28" i="3" s="1"/>
  <c r="K28" i="3" s="1"/>
  <c r="M14" i="18"/>
  <c r="X15" i="18"/>
  <c r="AB17" i="18" l="1"/>
  <c r="E32" i="19"/>
  <c r="G32" i="19" s="1"/>
  <c r="E31" i="19"/>
  <c r="G31" i="19" s="1"/>
  <c r="H28" i="19"/>
  <c r="Y14" i="18"/>
  <c r="AA14" i="18" s="1"/>
  <c r="D28" i="19" s="1"/>
  <c r="E30" i="19"/>
  <c r="G30" i="19" s="1"/>
  <c r="Y15" i="18"/>
  <c r="M25" i="22" l="1"/>
  <c r="N25" i="22" s="1"/>
  <c r="Z14" i="18"/>
  <c r="AA15" i="18"/>
  <c r="D29" i="19" s="1"/>
  <c r="AB14" i="18"/>
  <c r="M26" i="22"/>
  <c r="N26" i="22" s="1"/>
  <c r="Z15" i="18"/>
  <c r="G14" i="1"/>
  <c r="D13" i="18"/>
  <c r="F13" i="18" s="1"/>
  <c r="E29" i="19" l="1"/>
  <c r="AB15" i="18"/>
  <c r="G13" i="18"/>
  <c r="C27" i="19"/>
  <c r="C69" i="22" s="1"/>
  <c r="G69" i="22" s="1"/>
  <c r="H13" i="18"/>
  <c r="I13" i="18"/>
  <c r="V13" i="18"/>
  <c r="W13" i="18"/>
  <c r="C101" i="22"/>
  <c r="G101" i="22" s="1"/>
  <c r="C11" i="1"/>
  <c r="F32" i="1"/>
  <c r="E3" i="17"/>
  <c r="E2" i="17"/>
  <c r="B3" i="17"/>
  <c r="B2" i="17"/>
  <c r="J4" i="16"/>
  <c r="J3" i="16"/>
  <c r="B4" i="16"/>
  <c r="B3" i="16"/>
  <c r="F45" i="16"/>
  <c r="G26" i="1"/>
  <c r="G27" i="1"/>
  <c r="G28" i="1"/>
  <c r="G29" i="1"/>
  <c r="G30" i="1"/>
  <c r="G31" i="1"/>
  <c r="G32" i="1"/>
  <c r="G33" i="1"/>
  <c r="G34" i="1"/>
  <c r="F26" i="1"/>
  <c r="F27" i="1"/>
  <c r="F28" i="1"/>
  <c r="F29" i="1"/>
  <c r="F30" i="1"/>
  <c r="F31" i="1"/>
  <c r="F33" i="1"/>
  <c r="F34" i="1"/>
  <c r="B33" i="1"/>
  <c r="G6" i="3"/>
  <c r="C25" i="2"/>
  <c r="D9" i="16"/>
  <c r="A10" i="16"/>
  <c r="A11" i="16"/>
  <c r="A12" i="16"/>
  <c r="A13" i="16"/>
  <c r="A14" i="16"/>
  <c r="A15" i="16"/>
  <c r="A16" i="16"/>
  <c r="A17" i="16"/>
  <c r="A18" i="16"/>
  <c r="A19" i="16"/>
  <c r="A20" i="16"/>
  <c r="A9" i="16"/>
  <c r="C24" i="2"/>
  <c r="C26" i="2"/>
  <c r="C27" i="2"/>
  <c r="C28" i="2"/>
  <c r="D20" i="16"/>
  <c r="D10" i="16"/>
  <c r="D11" i="16"/>
  <c r="D12" i="16"/>
  <c r="D13" i="16"/>
  <c r="D14" i="16"/>
  <c r="D15" i="16"/>
  <c r="D16" i="16"/>
  <c r="D17" i="16"/>
  <c r="D18" i="16"/>
  <c r="D19" i="16"/>
  <c r="B10" i="16"/>
  <c r="B11" i="16"/>
  <c r="B12" i="16"/>
  <c r="B13" i="16"/>
  <c r="B14" i="16"/>
  <c r="B15" i="16"/>
  <c r="B16" i="16"/>
  <c r="B17" i="16"/>
  <c r="B18" i="16"/>
  <c r="B19" i="16"/>
  <c r="B20" i="16"/>
  <c r="B9" i="16"/>
  <c r="I22" i="16"/>
  <c r="K22" i="16" s="1"/>
  <c r="I23" i="16"/>
  <c r="K23" i="16" s="1"/>
  <c r="I24" i="16"/>
  <c r="K24" i="16" s="1"/>
  <c r="I25" i="16"/>
  <c r="K25" i="16" s="1"/>
  <c r="I26" i="16"/>
  <c r="K26" i="16" s="1"/>
  <c r="I27" i="16"/>
  <c r="I28" i="16"/>
  <c r="K28" i="16" s="1"/>
  <c r="I29" i="16"/>
  <c r="K29" i="16" s="1"/>
  <c r="I30" i="16"/>
  <c r="K30" i="16" s="1"/>
  <c r="I31" i="16"/>
  <c r="K31" i="16" s="1"/>
  <c r="K27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40" i="16"/>
  <c r="C29" i="2"/>
  <c r="C30" i="2"/>
  <c r="C31" i="2"/>
  <c r="C32" i="2"/>
  <c r="C33" i="2"/>
  <c r="C34" i="2"/>
  <c r="C35" i="2"/>
  <c r="B25" i="2"/>
  <c r="B26" i="2"/>
  <c r="B27" i="2"/>
  <c r="B28" i="2"/>
  <c r="B29" i="2"/>
  <c r="B30" i="2"/>
  <c r="B31" i="2"/>
  <c r="B32" i="2"/>
  <c r="B33" i="2"/>
  <c r="B34" i="2"/>
  <c r="B35" i="2"/>
  <c r="B23" i="2"/>
  <c r="B24" i="2"/>
  <c r="X13" i="18" l="1"/>
  <c r="Y13" i="18" s="1"/>
  <c r="Z13" i="18" s="1"/>
  <c r="J13" i="18"/>
  <c r="J24" i="2"/>
  <c r="J36" i="2" s="1"/>
  <c r="H24" i="2"/>
  <c r="H36" i="2" s="1"/>
  <c r="C20" i="22"/>
  <c r="G20" i="22" s="1"/>
  <c r="C38" i="19"/>
  <c r="D36" i="22" s="1"/>
  <c r="H36" i="22" s="1"/>
  <c r="C39" i="19"/>
  <c r="D108" i="22" s="1"/>
  <c r="H108" i="22" s="1"/>
  <c r="C37" i="19"/>
  <c r="B21" i="19"/>
  <c r="B22" i="19"/>
  <c r="B23" i="19"/>
  <c r="B24" i="19"/>
  <c r="B25" i="19"/>
  <c r="B27" i="19"/>
  <c r="B34" i="19"/>
  <c r="B35" i="19"/>
  <c r="B37" i="19"/>
  <c r="B38" i="19"/>
  <c r="B39" i="19"/>
  <c r="B20" i="19"/>
  <c r="C20" i="19"/>
  <c r="C108" i="22" s="1"/>
  <c r="G108" i="22" s="1"/>
  <c r="C76" i="22"/>
  <c r="G76" i="22" s="1"/>
  <c r="C97" i="22"/>
  <c r="G97" i="22" s="1"/>
  <c r="C23" i="19"/>
  <c r="C89" i="22" s="1"/>
  <c r="G89" i="22" s="1"/>
  <c r="C24" i="19"/>
  <c r="C48" i="22" s="1"/>
  <c r="G48" i="22" s="1"/>
  <c r="G47" i="19"/>
  <c r="G45" i="19"/>
  <c r="G44" i="19"/>
  <c r="G43" i="19"/>
  <c r="G42" i="19"/>
  <c r="G40" i="19"/>
  <c r="G36" i="19"/>
  <c r="C36" i="19"/>
  <c r="C34" i="19"/>
  <c r="N22" i="19"/>
  <c r="N18" i="19"/>
  <c r="N7" i="19"/>
  <c r="O24" i="18"/>
  <c r="D24" i="18" s="1"/>
  <c r="D12" i="18"/>
  <c r="F12" i="18" s="1"/>
  <c r="D11" i="18"/>
  <c r="F11" i="18" s="1"/>
  <c r="D10" i="18"/>
  <c r="D9" i="18"/>
  <c r="F9" i="18" s="1"/>
  <c r="D8" i="18"/>
  <c r="F8" i="18" s="1"/>
  <c r="D6" i="18"/>
  <c r="W6" i="18" s="1"/>
  <c r="W24" i="18" l="1"/>
  <c r="K24" i="18"/>
  <c r="F10" i="18"/>
  <c r="W10" i="18"/>
  <c r="V10" i="18"/>
  <c r="V24" i="18"/>
  <c r="G6" i="18"/>
  <c r="F6" i="18"/>
  <c r="J6" i="18"/>
  <c r="G11" i="18"/>
  <c r="C41" i="22"/>
  <c r="G41" i="22" s="1"/>
  <c r="G115" i="22" s="1"/>
  <c r="D89" i="22"/>
  <c r="H89" i="22" s="1"/>
  <c r="D41" i="22"/>
  <c r="H41" i="22" s="1"/>
  <c r="D76" i="22"/>
  <c r="H76" i="22" s="1"/>
  <c r="D69" i="22"/>
  <c r="H69" i="22" s="1"/>
  <c r="D88" i="22"/>
  <c r="H88" i="22" s="1"/>
  <c r="U26" i="18"/>
  <c r="S26" i="18"/>
  <c r="G12" i="18"/>
  <c r="G9" i="18"/>
  <c r="G10" i="18"/>
  <c r="G8" i="18"/>
  <c r="M13" i="18"/>
  <c r="H27" i="19" s="1"/>
  <c r="K39" i="16"/>
  <c r="J39" i="16" s="1"/>
  <c r="K40" i="16"/>
  <c r="J40" i="16" s="1"/>
  <c r="I36" i="2"/>
  <c r="H6" i="18"/>
  <c r="V6" i="18"/>
  <c r="H7" i="18"/>
  <c r="J7" i="18"/>
  <c r="H8" i="18"/>
  <c r="J8" i="18"/>
  <c r="V8" i="18"/>
  <c r="H9" i="18"/>
  <c r="J9" i="18"/>
  <c r="V9" i="18"/>
  <c r="H10" i="18"/>
  <c r="J10" i="18"/>
  <c r="H11" i="18"/>
  <c r="J11" i="18"/>
  <c r="V11" i="18"/>
  <c r="H12" i="18"/>
  <c r="J12" i="18"/>
  <c r="V12" i="18"/>
  <c r="W25" i="18"/>
  <c r="X25" i="18" s="1"/>
  <c r="Y25" i="18" s="1"/>
  <c r="T26" i="18"/>
  <c r="V26" i="18"/>
  <c r="I6" i="18"/>
  <c r="I7" i="18"/>
  <c r="W7" i="18"/>
  <c r="I8" i="18"/>
  <c r="W8" i="18"/>
  <c r="I9" i="18"/>
  <c r="W9" i="18"/>
  <c r="I10" i="18"/>
  <c r="I11" i="18"/>
  <c r="W11" i="18"/>
  <c r="I12" i="18"/>
  <c r="W12" i="18"/>
  <c r="W26" i="18"/>
  <c r="W20" i="18" l="1"/>
  <c r="V20" i="18"/>
  <c r="X6" i="18"/>
  <c r="X26" i="18"/>
  <c r="Y26" i="18" s="1"/>
  <c r="Z26" i="18" s="1"/>
  <c r="M6" i="18"/>
  <c r="AA13" i="18"/>
  <c r="F24" i="18"/>
  <c r="U24" i="18" s="1"/>
  <c r="U27" i="18" s="1"/>
  <c r="X24" i="18"/>
  <c r="Y24" i="18" s="1"/>
  <c r="Z24" i="18" s="1"/>
  <c r="Z25" i="18"/>
  <c r="AA25" i="18" s="1"/>
  <c r="X11" i="18"/>
  <c r="Y11" i="18" s="1"/>
  <c r="X10" i="18"/>
  <c r="Y10" i="18" s="1"/>
  <c r="Z10" i="18" s="1"/>
  <c r="X9" i="18"/>
  <c r="Y9" i="18" s="1"/>
  <c r="Z9" i="18" s="1"/>
  <c r="H115" i="22"/>
  <c r="H117" i="22" s="1"/>
  <c r="M12" i="18"/>
  <c r="H26" i="19" s="1"/>
  <c r="X12" i="18"/>
  <c r="X8" i="18"/>
  <c r="Y8" i="18" s="1"/>
  <c r="X7" i="18"/>
  <c r="Y7" i="18" s="1"/>
  <c r="Z7" i="18" s="1"/>
  <c r="M9" i="18"/>
  <c r="H23" i="19" s="1"/>
  <c r="M7" i="18"/>
  <c r="H21" i="19" s="1"/>
  <c r="F11" i="2"/>
  <c r="F46" i="2" s="1"/>
  <c r="M11" i="18"/>
  <c r="M10" i="18"/>
  <c r="M8" i="18"/>
  <c r="H22" i="19" s="1"/>
  <c r="R26" i="18"/>
  <c r="N20" i="18" l="1"/>
  <c r="M20" i="18"/>
  <c r="H38" i="19"/>
  <c r="H20" i="19"/>
  <c r="H25" i="19"/>
  <c r="AA11" i="18"/>
  <c r="X20" i="18"/>
  <c r="H24" i="19"/>
  <c r="AA10" i="18"/>
  <c r="D24" i="19" s="1"/>
  <c r="E24" i="19" s="1"/>
  <c r="D27" i="19"/>
  <c r="M69" i="22" s="1"/>
  <c r="N69" i="22" s="1"/>
  <c r="AA24" i="18"/>
  <c r="Y6" i="18"/>
  <c r="AB13" i="18"/>
  <c r="D39" i="19"/>
  <c r="Y12" i="18"/>
  <c r="AA12" i="18" s="1"/>
  <c r="D26" i="19" s="1"/>
  <c r="AA9" i="18"/>
  <c r="D23" i="19" s="1"/>
  <c r="Z8" i="18"/>
  <c r="AA8" i="18"/>
  <c r="AA7" i="18"/>
  <c r="F18" i="2"/>
  <c r="F53" i="2" s="1"/>
  <c r="F17" i="2"/>
  <c r="F52" i="2" s="1"/>
  <c r="F16" i="2"/>
  <c r="F51" i="2" s="1"/>
  <c r="F15" i="2"/>
  <c r="F50" i="2" s="1"/>
  <c r="F14" i="2"/>
  <c r="F49" i="2" s="1"/>
  <c r="F13" i="2"/>
  <c r="F48" i="2" s="1"/>
  <c r="F12" i="2"/>
  <c r="F47" i="2" s="1"/>
  <c r="F10" i="2"/>
  <c r="F45" i="2" s="1"/>
  <c r="F9" i="2"/>
  <c r="F44" i="2" s="1"/>
  <c r="H35" i="19" l="1"/>
  <c r="I34" i="19"/>
  <c r="Y20" i="18"/>
  <c r="AA20" i="18" s="1"/>
  <c r="M48" i="22"/>
  <c r="N48" i="22" s="1"/>
  <c r="Z6" i="18"/>
  <c r="D38" i="19"/>
  <c r="E38" i="19" s="1"/>
  <c r="AB24" i="18"/>
  <c r="AB25" i="18"/>
  <c r="Z11" i="18"/>
  <c r="D25" i="19"/>
  <c r="AA6" i="18"/>
  <c r="AB6" i="18" s="1"/>
  <c r="AB10" i="18"/>
  <c r="AB12" i="18"/>
  <c r="M89" i="22"/>
  <c r="N89" i="22" s="1"/>
  <c r="J108" i="22"/>
  <c r="K108" i="22" s="1"/>
  <c r="G18" i="2"/>
  <c r="G13" i="2"/>
  <c r="J89" i="22"/>
  <c r="K89" i="22" s="1"/>
  <c r="J41" i="22"/>
  <c r="K41" i="22" s="1"/>
  <c r="J69" i="22"/>
  <c r="K69" i="22" s="1"/>
  <c r="J76" i="22"/>
  <c r="K76" i="22" s="1"/>
  <c r="D21" i="19"/>
  <c r="Z12" i="18"/>
  <c r="AB9" i="18"/>
  <c r="D22" i="19"/>
  <c r="AB8" i="18"/>
  <c r="AB7" i="18"/>
  <c r="Z20" i="18" l="1"/>
  <c r="G55" i="2"/>
  <c r="Q67" i="11"/>
  <c r="O67" i="11" s="1"/>
  <c r="M64" i="11" s="1"/>
  <c r="Q67" i="12"/>
  <c r="O67" i="12" s="1"/>
  <c r="M64" i="12" s="1"/>
  <c r="Q67" i="10"/>
  <c r="O67" i="10" s="1"/>
  <c r="M64" i="10" s="1"/>
  <c r="Q67" i="15"/>
  <c r="O67" i="15" s="1"/>
  <c r="M64" i="15" s="1"/>
  <c r="Q67" i="13"/>
  <c r="O67" i="13" s="1"/>
  <c r="M64" i="13" s="1"/>
  <c r="Q67" i="9"/>
  <c r="O67" i="9" s="1"/>
  <c r="M64" i="9" s="1"/>
  <c r="Q67" i="14"/>
  <c r="O67" i="14" s="1"/>
  <c r="M64" i="14" s="1"/>
  <c r="Q67" i="4"/>
  <c r="O67" i="4" s="1"/>
  <c r="M64" i="4" s="1"/>
  <c r="Q67" i="5"/>
  <c r="O67" i="5" s="1"/>
  <c r="M64" i="5" s="1"/>
  <c r="Q67" i="8"/>
  <c r="O67" i="8" s="1"/>
  <c r="M64" i="8" s="1"/>
  <c r="Q67" i="7"/>
  <c r="O67" i="7" s="1"/>
  <c r="M64" i="7" s="1"/>
  <c r="Q73" i="15"/>
  <c r="O73" i="15" s="1"/>
  <c r="M72" i="15" s="1"/>
  <c r="Q73" i="14"/>
  <c r="O73" i="14" s="1"/>
  <c r="M72" i="14" s="1"/>
  <c r="Q73" i="12"/>
  <c r="O73" i="12" s="1"/>
  <c r="M72" i="12" s="1"/>
  <c r="Q73" i="13"/>
  <c r="O73" i="13" s="1"/>
  <c r="M72" i="13" s="1"/>
  <c r="Q73" i="8"/>
  <c r="O73" i="8" s="1"/>
  <c r="M72" i="8" s="1"/>
  <c r="Q73" i="4"/>
  <c r="O73" i="4" s="1"/>
  <c r="M72" i="4" s="1"/>
  <c r="Q73" i="10"/>
  <c r="O73" i="10" s="1"/>
  <c r="M72" i="10" s="1"/>
  <c r="Q73" i="9"/>
  <c r="O73" i="9" s="1"/>
  <c r="M72" i="9" s="1"/>
  <c r="Q73" i="11"/>
  <c r="O73" i="11" s="1"/>
  <c r="M72" i="11" s="1"/>
  <c r="Q73" i="7"/>
  <c r="O73" i="7" s="1"/>
  <c r="M72" i="7" s="1"/>
  <c r="Q73" i="5"/>
  <c r="O73" i="5" s="1"/>
  <c r="M72" i="5" s="1"/>
  <c r="K55" i="2"/>
  <c r="D41" i="19"/>
  <c r="Q73" i="3"/>
  <c r="J36" i="22"/>
  <c r="K36" i="22" s="1"/>
  <c r="K115" i="22" s="1"/>
  <c r="E38" i="16"/>
  <c r="G10" i="2"/>
  <c r="AB11" i="18"/>
  <c r="AB20" i="18" s="1"/>
  <c r="M97" i="22"/>
  <c r="N97" i="22" s="1"/>
  <c r="M101" i="22"/>
  <c r="N101" i="22" s="1"/>
  <c r="G14" i="2"/>
  <c r="G11" i="2"/>
  <c r="G17" i="2"/>
  <c r="G16" i="2"/>
  <c r="G12" i="2"/>
  <c r="G15" i="2"/>
  <c r="M20" i="22"/>
  <c r="N20" i="22" s="1"/>
  <c r="Q67" i="3"/>
  <c r="M76" i="22"/>
  <c r="N76" i="22" s="1"/>
  <c r="D20" i="19"/>
  <c r="E36" i="16"/>
  <c r="D35" i="19" l="1"/>
  <c r="E35" i="19" s="1"/>
  <c r="G35" i="19" s="1"/>
  <c r="Q70" i="3"/>
  <c r="J17" i="2"/>
  <c r="K47" i="2"/>
  <c r="J13" i="2"/>
  <c r="K51" i="2"/>
  <c r="K53" i="2"/>
  <c r="J11" i="2"/>
  <c r="E20" i="19"/>
  <c r="G20" i="19" s="1"/>
  <c r="G9" i="2"/>
  <c r="K48" i="2"/>
  <c r="J15" i="2"/>
  <c r="K50" i="2"/>
  <c r="K49" i="2"/>
  <c r="J14" i="2"/>
  <c r="K44" i="2"/>
  <c r="K52" i="2"/>
  <c r="K46" i="2"/>
  <c r="G51" i="2"/>
  <c r="H16" i="2"/>
  <c r="G46" i="2"/>
  <c r="H11" i="2"/>
  <c r="G47" i="2"/>
  <c r="H12" i="2"/>
  <c r="G48" i="2"/>
  <c r="H13" i="2"/>
  <c r="G44" i="2"/>
  <c r="H9" i="2"/>
  <c r="G50" i="2"/>
  <c r="H15" i="2"/>
  <c r="G45" i="2"/>
  <c r="H10" i="2"/>
  <c r="G43" i="2"/>
  <c r="H8" i="2"/>
  <c r="G49" i="2"/>
  <c r="H14" i="2"/>
  <c r="M108" i="22"/>
  <c r="N108" i="22" s="1"/>
  <c r="N115" i="22" s="1"/>
  <c r="N117" i="22" s="1"/>
  <c r="G52" i="2"/>
  <c r="H17" i="2"/>
  <c r="O67" i="3"/>
  <c r="G53" i="2"/>
  <c r="H18" i="2"/>
  <c r="J18" i="2"/>
  <c r="J9" i="2"/>
  <c r="K45" i="2"/>
  <c r="J10" i="2"/>
  <c r="J12" i="2"/>
  <c r="J8" i="2"/>
  <c r="K43" i="2"/>
  <c r="J16" i="2"/>
  <c r="O73" i="3"/>
  <c r="K42" i="2" s="1"/>
  <c r="C53" i="17"/>
  <c r="C44" i="17"/>
  <c r="E44" i="17" s="1"/>
  <c r="B44" i="17"/>
  <c r="B45" i="17"/>
  <c r="B46" i="17"/>
  <c r="B47" i="17"/>
  <c r="C38" i="17"/>
  <c r="E38" i="17" s="1"/>
  <c r="C39" i="17"/>
  <c r="E39" i="17" s="1"/>
  <c r="B38" i="17"/>
  <c r="B39" i="17"/>
  <c r="A51" i="17"/>
  <c r="D42" i="17"/>
  <c r="D40" i="17"/>
  <c r="D32" i="17"/>
  <c r="B44" i="16"/>
  <c r="B43" i="17" s="1"/>
  <c r="B37" i="17"/>
  <c r="B37" i="16"/>
  <c r="B36" i="17" s="1"/>
  <c r="B36" i="16"/>
  <c r="B35" i="17" s="1"/>
  <c r="B9" i="17"/>
  <c r="B10" i="17"/>
  <c r="B11" i="17"/>
  <c r="B12" i="17"/>
  <c r="B13" i="17"/>
  <c r="B14" i="17"/>
  <c r="B15" i="17"/>
  <c r="B16" i="17"/>
  <c r="B17" i="17"/>
  <c r="B18" i="17"/>
  <c r="B19" i="17"/>
  <c r="B8" i="17"/>
  <c r="A9" i="17"/>
  <c r="A10" i="17"/>
  <c r="A11" i="17"/>
  <c r="A12" i="17"/>
  <c r="A13" i="17"/>
  <c r="A14" i="17"/>
  <c r="A15" i="17"/>
  <c r="A16" i="17"/>
  <c r="A17" i="17"/>
  <c r="A18" i="17"/>
  <c r="A19" i="17"/>
  <c r="A8" i="17"/>
  <c r="K54" i="16"/>
  <c r="I48" i="16"/>
  <c r="K48" i="16" s="1"/>
  <c r="F48" i="16"/>
  <c r="C47" i="17" s="1"/>
  <c r="E47" i="17" s="1"/>
  <c r="I47" i="16"/>
  <c r="K47" i="16" s="1"/>
  <c r="F47" i="16"/>
  <c r="C46" i="17" s="1"/>
  <c r="E46" i="17" s="1"/>
  <c r="B32" i="1"/>
  <c r="M71" i="3"/>
  <c r="Q63" i="3" s="1"/>
  <c r="G10" i="1"/>
  <c r="G16" i="1"/>
  <c r="C12" i="1"/>
  <c r="C3" i="3"/>
  <c r="G11" i="1"/>
  <c r="G36" i="1"/>
  <c r="G35" i="1"/>
  <c r="G25" i="1"/>
  <c r="B31" i="1"/>
  <c r="B30" i="1"/>
  <c r="B29" i="1"/>
  <c r="B28" i="1"/>
  <c r="B27" i="1"/>
  <c r="B26" i="1"/>
  <c r="A32" i="1"/>
  <c r="A31" i="1"/>
  <c r="A30" i="1"/>
  <c r="A29" i="1"/>
  <c r="A28" i="1"/>
  <c r="A27" i="1"/>
  <c r="A26" i="1"/>
  <c r="A25" i="1"/>
  <c r="C10" i="1"/>
  <c r="G4" i="3"/>
  <c r="G5" i="3"/>
  <c r="G3" i="3"/>
  <c r="G2" i="3"/>
  <c r="C6" i="3"/>
  <c r="C5" i="3"/>
  <c r="C2" i="3"/>
  <c r="G34" i="3"/>
  <c r="I34" i="3" s="1"/>
  <c r="K34" i="3" s="1"/>
  <c r="G43" i="3"/>
  <c r="I43" i="3" s="1"/>
  <c r="K43" i="3" s="1"/>
  <c r="H55" i="2" l="1"/>
  <c r="H52" i="2" s="1"/>
  <c r="Q70" i="14"/>
  <c r="Q70" i="5"/>
  <c r="Q70" i="13"/>
  <c r="Q70" i="12"/>
  <c r="Q70" i="11"/>
  <c r="Q70" i="10"/>
  <c r="Q70" i="7"/>
  <c r="Q70" i="15"/>
  <c r="Q70" i="9"/>
  <c r="Q70" i="8"/>
  <c r="Q70" i="4"/>
  <c r="L55" i="2"/>
  <c r="K54" i="2"/>
  <c r="G42" i="2"/>
  <c r="G54" i="2" s="1"/>
  <c r="H7" i="2"/>
  <c r="H19" i="2" s="1"/>
  <c r="J7" i="2"/>
  <c r="J19" i="2" s="1"/>
  <c r="M72" i="3"/>
  <c r="G23" i="3"/>
  <c r="I23" i="3" s="1"/>
  <c r="K23" i="3" s="1"/>
  <c r="G17" i="3"/>
  <c r="I17" i="3" s="1"/>
  <c r="K17" i="3" s="1"/>
  <c r="G31" i="3"/>
  <c r="I31" i="3" s="1"/>
  <c r="K31" i="3" s="1"/>
  <c r="M64" i="3"/>
  <c r="L42" i="2"/>
  <c r="E37" i="16"/>
  <c r="G16" i="3"/>
  <c r="I16" i="3" s="1"/>
  <c r="K16" i="3" s="1"/>
  <c r="G51" i="3"/>
  <c r="I51" i="3" s="1"/>
  <c r="K51" i="3" s="1"/>
  <c r="G47" i="3"/>
  <c r="I47" i="3" s="1"/>
  <c r="K47" i="3" s="1"/>
  <c r="D50" i="17"/>
  <c r="D51" i="17" s="1"/>
  <c r="D52" i="17" s="1"/>
  <c r="G49" i="3"/>
  <c r="I49" i="3" s="1"/>
  <c r="K49" i="3" s="1"/>
  <c r="D53" i="17"/>
  <c r="K55" i="16"/>
  <c r="K56" i="16" s="1"/>
  <c r="G39" i="3"/>
  <c r="I39" i="3" s="1"/>
  <c r="K39" i="3" s="1"/>
  <c r="G36" i="3"/>
  <c r="I36" i="3" s="1"/>
  <c r="K36" i="3" s="1"/>
  <c r="G12" i="3"/>
  <c r="I12" i="3" s="1"/>
  <c r="K12" i="3" s="1"/>
  <c r="G46" i="3"/>
  <c r="I46" i="3" s="1"/>
  <c r="K46" i="3" s="1"/>
  <c r="H58" i="2" l="1"/>
  <c r="G56" i="2"/>
  <c r="D44" i="2"/>
  <c r="I47" i="2"/>
  <c r="H48" i="2"/>
  <c r="D51" i="2"/>
  <c r="H47" i="2"/>
  <c r="I53" i="2"/>
  <c r="D48" i="2"/>
  <c r="H43" i="2"/>
  <c r="O70" i="9"/>
  <c r="M63" i="9" s="1"/>
  <c r="L47" i="2"/>
  <c r="O70" i="11"/>
  <c r="M63" i="11" s="1"/>
  <c r="L49" i="2"/>
  <c r="O70" i="14"/>
  <c r="M63" i="14" s="1"/>
  <c r="L52" i="2"/>
  <c r="I52" i="2"/>
  <c r="D46" i="2"/>
  <c r="I49" i="2"/>
  <c r="H53" i="2"/>
  <c r="H44" i="2"/>
  <c r="H46" i="2"/>
  <c r="L50" i="2"/>
  <c r="O70" i="12"/>
  <c r="M63" i="12" s="1"/>
  <c r="O70" i="8"/>
  <c r="M63" i="8" s="1"/>
  <c r="L46" i="2"/>
  <c r="L48" i="2"/>
  <c r="O70" i="10"/>
  <c r="M63" i="10" s="1"/>
  <c r="L44" i="2"/>
  <c r="O70" i="5"/>
  <c r="M63" i="5" s="1"/>
  <c r="D52" i="2"/>
  <c r="I46" i="2"/>
  <c r="I50" i="2"/>
  <c r="I44" i="2"/>
  <c r="D50" i="2"/>
  <c r="H49" i="2"/>
  <c r="H42" i="2"/>
  <c r="H51" i="2"/>
  <c r="O70" i="15"/>
  <c r="M63" i="15" s="1"/>
  <c r="L53" i="2"/>
  <c r="L43" i="2"/>
  <c r="O70" i="4"/>
  <c r="M63" i="4" s="1"/>
  <c r="L45" i="2"/>
  <c r="O70" i="7"/>
  <c r="M63" i="7" s="1"/>
  <c r="L51" i="2"/>
  <c r="O70" i="13"/>
  <c r="M63" i="13" s="1"/>
  <c r="I43" i="2"/>
  <c r="I51" i="2"/>
  <c r="D47" i="2"/>
  <c r="I42" i="2"/>
  <c r="D53" i="2"/>
  <c r="D49" i="2"/>
  <c r="I45" i="2"/>
  <c r="I48" i="2"/>
  <c r="D45" i="2"/>
  <c r="H45" i="2"/>
  <c r="H50" i="2"/>
  <c r="D36" i="16"/>
  <c r="K56" i="2"/>
  <c r="D38" i="16" s="1"/>
  <c r="F38" i="16" s="1"/>
  <c r="C37" i="17" s="1"/>
  <c r="E37" i="17" s="1"/>
  <c r="J58" i="2"/>
  <c r="O70" i="3"/>
  <c r="I7" i="2" s="1"/>
  <c r="G48" i="3"/>
  <c r="I48" i="3" s="1"/>
  <c r="K48" i="3" s="1"/>
  <c r="G25" i="3"/>
  <c r="I25" i="3" s="1"/>
  <c r="K25" i="3" s="1"/>
  <c r="G21" i="3"/>
  <c r="I21" i="3" s="1"/>
  <c r="K21" i="3" s="1"/>
  <c r="G22" i="3"/>
  <c r="I22" i="3" s="1"/>
  <c r="K22" i="3" s="1"/>
  <c r="G24" i="3"/>
  <c r="I24" i="3" s="1"/>
  <c r="K24" i="3" s="1"/>
  <c r="G27" i="3"/>
  <c r="I27" i="3" s="1"/>
  <c r="K27" i="3" s="1"/>
  <c r="G26" i="3"/>
  <c r="I26" i="3" s="1"/>
  <c r="K26" i="3" s="1"/>
  <c r="G29" i="3"/>
  <c r="I29" i="3" s="1"/>
  <c r="K29" i="3" s="1"/>
  <c r="G32" i="3"/>
  <c r="I32" i="3" s="1"/>
  <c r="K32" i="3" s="1"/>
  <c r="G14" i="3"/>
  <c r="I14" i="3" s="1"/>
  <c r="K14" i="3" s="1"/>
  <c r="G11" i="3"/>
  <c r="I11" i="3" s="1"/>
  <c r="K11" i="3" s="1"/>
  <c r="L7" i="2"/>
  <c r="G38" i="3"/>
  <c r="I38" i="3" s="1"/>
  <c r="K38" i="3" s="1"/>
  <c r="I37" i="3"/>
  <c r="K37" i="3" s="1"/>
  <c r="G45" i="3"/>
  <c r="I45" i="3" s="1"/>
  <c r="K45" i="3" s="1"/>
  <c r="G44" i="3"/>
  <c r="I44" i="3" s="1"/>
  <c r="K44" i="3" s="1"/>
  <c r="G10" i="3"/>
  <c r="I10" i="3" s="1"/>
  <c r="G50" i="3"/>
  <c r="I50" i="3" s="1"/>
  <c r="K50" i="3" s="1"/>
  <c r="G15" i="3"/>
  <c r="I15" i="3" s="1"/>
  <c r="K15" i="3" s="1"/>
  <c r="G35" i="3"/>
  <c r="I35" i="3" s="1"/>
  <c r="K35" i="3" s="1"/>
  <c r="D54" i="17"/>
  <c r="D55" i="17" s="1"/>
  <c r="E53" i="17"/>
  <c r="G40" i="3"/>
  <c r="I40" i="3" s="1"/>
  <c r="K40" i="3" s="1"/>
  <c r="G41" i="3"/>
  <c r="I41" i="3" s="1"/>
  <c r="K41" i="3" s="1"/>
  <c r="G42" i="3"/>
  <c r="I42" i="3" s="1"/>
  <c r="K42" i="3" s="1"/>
  <c r="F36" i="16" l="1"/>
  <c r="C35" i="17" s="1"/>
  <c r="E35" i="17" s="1"/>
  <c r="K36" i="16"/>
  <c r="M44" i="2"/>
  <c r="N44" i="2" s="1"/>
  <c r="I14" i="2"/>
  <c r="I10" i="2"/>
  <c r="H54" i="2"/>
  <c r="I58" i="2" s="1"/>
  <c r="M53" i="2"/>
  <c r="N53" i="2" s="1"/>
  <c r="M52" i="2"/>
  <c r="N52" i="2" s="1"/>
  <c r="M50" i="2"/>
  <c r="N50" i="2" s="1"/>
  <c r="M49" i="2"/>
  <c r="N49" i="2" s="1"/>
  <c r="I18" i="2"/>
  <c r="M48" i="2"/>
  <c r="N48" i="2" s="1"/>
  <c r="M45" i="2"/>
  <c r="N45" i="2" s="1"/>
  <c r="M47" i="2"/>
  <c r="N47" i="2" s="1"/>
  <c r="L54" i="2"/>
  <c r="L56" i="2" s="1"/>
  <c r="M51" i="2"/>
  <c r="N51" i="2" s="1"/>
  <c r="I15" i="2"/>
  <c r="M46" i="2"/>
  <c r="N46" i="2" s="1"/>
  <c r="I17" i="2"/>
  <c r="I12" i="2"/>
  <c r="I16" i="2"/>
  <c r="I8" i="2"/>
  <c r="L16" i="2"/>
  <c r="L18" i="2"/>
  <c r="L12" i="2"/>
  <c r="L11" i="2"/>
  <c r="L17" i="2"/>
  <c r="L13" i="2"/>
  <c r="L14" i="2"/>
  <c r="L8" i="2"/>
  <c r="L9" i="2"/>
  <c r="L10" i="2"/>
  <c r="L15" i="2"/>
  <c r="I9" i="2"/>
  <c r="I11" i="2"/>
  <c r="I13" i="2"/>
  <c r="M63" i="3"/>
  <c r="K14" i="2"/>
  <c r="K11" i="2"/>
  <c r="K10" i="2"/>
  <c r="K13" i="2"/>
  <c r="K16" i="2"/>
  <c r="K18" i="2"/>
  <c r="K9" i="2"/>
  <c r="K15" i="2"/>
  <c r="K17" i="2"/>
  <c r="K12" i="2"/>
  <c r="K10" i="3"/>
  <c r="G20" i="3"/>
  <c r="I20" i="3" s="1"/>
  <c r="K20" i="3" s="1"/>
  <c r="G33" i="3"/>
  <c r="I33" i="3" s="1"/>
  <c r="K33" i="3" s="1"/>
  <c r="G30" i="3"/>
  <c r="I30" i="3" s="1"/>
  <c r="K30" i="3" s="1"/>
  <c r="M16" i="2" l="1"/>
  <c r="L19" i="2"/>
  <c r="I54" i="2"/>
  <c r="M13" i="2"/>
  <c r="M11" i="2"/>
  <c r="M10" i="2"/>
  <c r="M14" i="2"/>
  <c r="M18" i="2"/>
  <c r="M12" i="2"/>
  <c r="M9" i="2"/>
  <c r="M17" i="2"/>
  <c r="M15" i="2"/>
  <c r="K52" i="3"/>
  <c r="K53" i="3" s="1"/>
  <c r="K54" i="3" s="1"/>
  <c r="I52" i="3"/>
  <c r="M49" i="3" s="1"/>
  <c r="I19" i="2"/>
  <c r="E11" i="16"/>
  <c r="I11" i="16" s="1"/>
  <c r="E12" i="16"/>
  <c r="I12" i="16" s="1"/>
  <c r="F7" i="2" l="1"/>
  <c r="F42" i="2" s="1"/>
  <c r="E46" i="16"/>
  <c r="I46" i="16" s="1"/>
  <c r="K46" i="16" s="1"/>
  <c r="M52" i="3"/>
  <c r="M53" i="3" s="1"/>
  <c r="M54" i="3" s="1"/>
  <c r="O58" i="3" s="1"/>
  <c r="K11" i="16"/>
  <c r="F11" i="16"/>
  <c r="K12" i="16"/>
  <c r="F12" i="16"/>
  <c r="C11" i="17" s="1"/>
  <c r="E11" i="17" s="1"/>
  <c r="E16" i="16"/>
  <c r="I16" i="16" s="1"/>
  <c r="E19" i="16"/>
  <c r="I19" i="16" s="1"/>
  <c r="K19" i="16" s="1"/>
  <c r="E20" i="16"/>
  <c r="I20" i="16" s="1"/>
  <c r="E18" i="16"/>
  <c r="I18" i="16" s="1"/>
  <c r="E42" i="2" l="1"/>
  <c r="O57" i="3"/>
  <c r="F46" i="16"/>
  <c r="C45" i="17" s="1"/>
  <c r="E45" i="17" s="1"/>
  <c r="L55" i="3"/>
  <c r="C10" i="17"/>
  <c r="E10" i="17" s="1"/>
  <c r="K18" i="16"/>
  <c r="F18" i="16"/>
  <c r="C17" i="17" s="1"/>
  <c r="E17" i="17" s="1"/>
  <c r="F19" i="16"/>
  <c r="C18" i="17" s="1"/>
  <c r="E18" i="17" s="1"/>
  <c r="K16" i="16"/>
  <c r="F16" i="16"/>
  <c r="C15" i="17" s="1"/>
  <c r="E15" i="17" s="1"/>
  <c r="K20" i="16"/>
  <c r="F20" i="16"/>
  <c r="C19" i="17" s="1"/>
  <c r="E19" i="17" s="1"/>
  <c r="E14" i="16"/>
  <c r="I14" i="16" s="1"/>
  <c r="E13" i="16"/>
  <c r="I13" i="16" s="1"/>
  <c r="E15" i="16"/>
  <c r="I15" i="16" s="1"/>
  <c r="M57" i="3" l="1"/>
  <c r="O63" i="3" s="1"/>
  <c r="D42" i="2" s="1"/>
  <c r="M42" i="2" s="1"/>
  <c r="G7" i="2"/>
  <c r="E17" i="16"/>
  <c r="K15" i="16"/>
  <c r="F15" i="16"/>
  <c r="C14" i="17" s="1"/>
  <c r="E14" i="17" s="1"/>
  <c r="K14" i="16"/>
  <c r="F14" i="16"/>
  <c r="C13" i="17" s="1"/>
  <c r="E13" i="17" s="1"/>
  <c r="K13" i="16"/>
  <c r="F13" i="16"/>
  <c r="K7" i="2" l="1"/>
  <c r="M7" i="2" s="1"/>
  <c r="E9" i="16"/>
  <c r="I9" i="16" s="1"/>
  <c r="K9" i="16" s="1"/>
  <c r="I17" i="16"/>
  <c r="K17" i="16" s="1"/>
  <c r="F17" i="16"/>
  <c r="C16" i="17" s="1"/>
  <c r="E16" i="17" s="1"/>
  <c r="C12" i="17"/>
  <c r="E12" i="17" s="1"/>
  <c r="F9" i="16" l="1"/>
  <c r="C8" i="17" s="1"/>
  <c r="E8" i="17" s="1"/>
  <c r="N42" i="2"/>
  <c r="M23" i="19" l="1"/>
  <c r="N23" i="19" s="1"/>
  <c r="G29" i="19" l="1"/>
  <c r="E21" i="19"/>
  <c r="E41" i="19"/>
  <c r="E26" i="19"/>
  <c r="E23" i="19"/>
  <c r="K38" i="16" l="1"/>
  <c r="G41" i="19"/>
  <c r="E39" i="19"/>
  <c r="G39" i="19" s="1"/>
  <c r="E37" i="19"/>
  <c r="G21" i="19"/>
  <c r="E28" i="19"/>
  <c r="G28" i="19" s="1"/>
  <c r="E22" i="19"/>
  <c r="G22" i="19" s="1"/>
  <c r="E25" i="19"/>
  <c r="G25" i="19" s="1"/>
  <c r="G24" i="19"/>
  <c r="G23" i="19"/>
  <c r="G26" i="19"/>
  <c r="E27" i="19"/>
  <c r="G27" i="19" s="1"/>
  <c r="G38" i="19" l="1"/>
  <c r="G37" i="19"/>
  <c r="F8" i="2" l="1"/>
  <c r="F43" i="2" s="1"/>
  <c r="F19" i="2" l="1"/>
  <c r="F54" i="2"/>
  <c r="G8" i="2" l="1"/>
  <c r="E54" i="2" l="1"/>
  <c r="G19" i="2"/>
  <c r="E10" i="16"/>
  <c r="I10" i="16" s="1"/>
  <c r="K10" i="16" s="1"/>
  <c r="K33" i="16" s="1"/>
  <c r="K8" i="2" l="1"/>
  <c r="M8" i="2" s="1"/>
  <c r="M19" i="2" s="1"/>
  <c r="D43" i="2"/>
  <c r="F10" i="16"/>
  <c r="D54" i="2" l="1"/>
  <c r="E44" i="16" s="1"/>
  <c r="I44" i="16" s="1"/>
  <c r="K44" i="16" s="1"/>
  <c r="K49" i="16" s="1"/>
  <c r="M43" i="2"/>
  <c r="M54" i="2" s="1"/>
  <c r="K19" i="2"/>
  <c r="C9" i="17"/>
  <c r="C32" i="17" s="1"/>
  <c r="F33" i="16"/>
  <c r="F44" i="16" l="1"/>
  <c r="F49" i="16" s="1"/>
  <c r="E9" i="17"/>
  <c r="E32" i="17"/>
  <c r="C43" i="17" l="1"/>
  <c r="C48" i="17" s="1"/>
  <c r="E48" i="17" s="1"/>
  <c r="E43" i="17" l="1"/>
  <c r="H56" i="2"/>
  <c r="D37" i="16" s="1"/>
  <c r="N43" i="2" l="1"/>
  <c r="N54" i="2" s="1"/>
  <c r="K37" i="16" l="1"/>
  <c r="K41" i="16" s="1"/>
  <c r="K50" i="16" s="1"/>
  <c r="F37" i="16"/>
  <c r="C36" i="17" l="1"/>
  <c r="F41" i="16"/>
  <c r="F51" i="16" s="1"/>
  <c r="M52" i="16" s="1"/>
  <c r="K58" i="16"/>
  <c r="K52" i="16"/>
  <c r="C40" i="17" l="1"/>
  <c r="E36" i="17"/>
  <c r="F53" i="16"/>
  <c r="I35" i="1" l="1"/>
  <c r="O52" i="2" s="1"/>
  <c r="D29" i="23" s="1"/>
  <c r="F29" i="23" s="1"/>
  <c r="H29" i="23" s="1"/>
  <c r="I36" i="1"/>
  <c r="O53" i="2" s="1"/>
  <c r="D30" i="23" s="1"/>
  <c r="F30" i="23" s="1"/>
  <c r="H30" i="23" s="1"/>
  <c r="E40" i="17"/>
  <c r="C50" i="17"/>
  <c r="F55" i="16"/>
  <c r="F57" i="16"/>
  <c r="F58" i="16" s="1"/>
  <c r="I29" i="1"/>
  <c r="O46" i="2" s="1"/>
  <c r="I31" i="1"/>
  <c r="O48" i="2" s="1"/>
  <c r="I34" i="1"/>
  <c r="O51" i="2" s="1"/>
  <c r="I27" i="1"/>
  <c r="O44" i="2" s="1"/>
  <c r="I30" i="1"/>
  <c r="O47" i="2" s="1"/>
  <c r="I32" i="1"/>
  <c r="O49" i="2" s="1"/>
  <c r="I25" i="1"/>
  <c r="I28" i="1"/>
  <c r="O45" i="2" s="1"/>
  <c r="I26" i="1"/>
  <c r="O43" i="2" s="1"/>
  <c r="I33" i="1"/>
  <c r="O50" i="2" s="1"/>
  <c r="P53" i="2" l="1"/>
  <c r="P52" i="2"/>
  <c r="P47" i="2"/>
  <c r="D24" i="23"/>
  <c r="F24" i="23" s="1"/>
  <c r="H24" i="23" s="1"/>
  <c r="P45" i="2"/>
  <c r="D22" i="23"/>
  <c r="F22" i="23" s="1"/>
  <c r="H22" i="23" s="1"/>
  <c r="P44" i="2"/>
  <c r="D21" i="23"/>
  <c r="F21" i="23" s="1"/>
  <c r="H21" i="23" s="1"/>
  <c r="P46" i="2"/>
  <c r="D23" i="23"/>
  <c r="F23" i="23" s="1"/>
  <c r="H23" i="23" s="1"/>
  <c r="P50" i="2"/>
  <c r="D27" i="23"/>
  <c r="F27" i="23" s="1"/>
  <c r="H27" i="23" s="1"/>
  <c r="P48" i="2"/>
  <c r="D25" i="23"/>
  <c r="F25" i="23" s="1"/>
  <c r="H25" i="23" s="1"/>
  <c r="I37" i="1"/>
  <c r="P43" i="2"/>
  <c r="D20" i="23"/>
  <c r="F20" i="23" s="1"/>
  <c r="H20" i="23" s="1"/>
  <c r="P49" i="2"/>
  <c r="D26" i="23"/>
  <c r="F26" i="23" s="1"/>
  <c r="H26" i="23" s="1"/>
  <c r="P51" i="2"/>
  <c r="D28" i="23"/>
  <c r="F28" i="23" s="1"/>
  <c r="H28" i="23" s="1"/>
  <c r="E50" i="17"/>
  <c r="C51" i="17"/>
  <c r="E51" i="17" s="1"/>
  <c r="O42" i="2"/>
  <c r="P42" i="2" l="1"/>
  <c r="P54" i="2" s="1"/>
  <c r="D19" i="23"/>
  <c r="O54" i="2"/>
  <c r="D31" i="23" s="1"/>
  <c r="F31" i="23" s="1"/>
  <c r="H31" i="23" s="1"/>
  <c r="C52" i="17"/>
  <c r="F19" i="23" l="1"/>
  <c r="D35" i="23"/>
  <c r="C54" i="17"/>
  <c r="E52" i="17"/>
  <c r="H19" i="23" l="1"/>
  <c r="H35" i="23" s="1"/>
  <c r="H46" i="23" s="1"/>
  <c r="F35" i="23"/>
  <c r="E54" i="17"/>
  <c r="C55" i="17"/>
  <c r="F46" i="23" l="1"/>
  <c r="E35" i="23"/>
  <c r="H48" i="23"/>
  <c r="H47" i="23"/>
  <c r="AB26" i="18"/>
  <c r="AA26" i="18"/>
  <c r="AA27" i="18" s="1"/>
  <c r="E26" i="18"/>
  <c r="Q26" i="18" s="1"/>
  <c r="H49" i="23" l="1"/>
  <c r="H50" i="23" s="1"/>
  <c r="H52" i="23" s="1"/>
  <c r="F47" i="23"/>
  <c r="F48" i="23"/>
  <c r="F49" i="23" l="1"/>
  <c r="F50" i="23" s="1"/>
  <c r="F52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Sylvie</author>
  </authors>
  <commentList>
    <comment ref="J3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Sylvie:</t>
        </r>
        <r>
          <rPr>
            <sz val="9"/>
            <color indexed="81"/>
            <rFont val="Tahoma"/>
            <family val="2"/>
          </rPr>
          <t xml:space="preserve">
ce montant incluse le temps de transport (soit 8h x 90,99 + 3h x 68 total 931,92/8h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Sylvie</author>
  </authors>
  <commentList>
    <comment ref="F5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Sylvie:</t>
        </r>
        <r>
          <rPr>
            <sz val="9"/>
            <color indexed="81"/>
            <rFont val="Tahoma"/>
            <family val="2"/>
          </rPr>
          <t xml:space="preserve">
ok le 29 janv 2020
</t>
        </r>
      </text>
    </comment>
    <comment ref="J5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Sylvie:</t>
        </r>
        <r>
          <rPr>
            <sz val="9"/>
            <color indexed="81"/>
            <rFont val="Tahoma"/>
            <family val="2"/>
          </rPr>
          <t xml:space="preserve">
MAJ 29janv2019
+ 2% pour payer la mutuelle ACQ</t>
        </r>
      </text>
    </comment>
    <comment ref="W5" authorId="0" shapeId="0" xr:uid="{00000000-0006-0000-1000-000003000000}">
      <text>
        <r>
          <rPr>
            <b/>
            <sz val="9"/>
            <color indexed="81"/>
            <rFont val="Tahoma"/>
            <family val="2"/>
          </rPr>
          <t>Sylvie:</t>
        </r>
        <r>
          <rPr>
            <sz val="9"/>
            <color indexed="81"/>
            <rFont val="Tahoma"/>
            <family val="2"/>
          </rPr>
          <t xml:space="preserve">
Acomba est à 20%
</t>
        </r>
      </text>
    </comment>
    <comment ref="O6" authorId="0" shapeId="0" xr:uid="{00000000-0006-0000-1000-000004000000}">
      <text>
        <r>
          <rPr>
            <b/>
            <sz val="9"/>
            <color indexed="81"/>
            <rFont val="Tahoma"/>
            <family val="2"/>
          </rPr>
          <t>Sylvie:</t>
        </r>
        <r>
          <rPr>
            <sz val="9"/>
            <color indexed="81"/>
            <rFont val="Tahoma"/>
            <family val="2"/>
          </rPr>
          <t xml:space="preserve">
nouvelle norme 2019
</t>
        </r>
      </text>
    </comment>
    <comment ref="K8" authorId="0" shapeId="0" xr:uid="{00000000-0006-0000-1000-000005000000}">
      <text>
        <r>
          <rPr>
            <b/>
            <sz val="9"/>
            <color indexed="81"/>
            <rFont val="Tahoma"/>
            <family val="2"/>
          </rPr>
          <t>Sylvie:</t>
        </r>
        <r>
          <rPr>
            <sz val="9"/>
            <color indexed="81"/>
            <rFont val="Tahoma"/>
            <family val="2"/>
          </rPr>
          <t xml:space="preserve">
en rouge c'est pour prévoir l'augmentation des couts au 11 juillet</t>
        </r>
      </text>
    </comment>
    <comment ref="L10" authorId="0" shapeId="0" xr:uid="{00000000-0006-0000-1000-000006000000}">
      <text>
        <r>
          <rPr>
            <b/>
            <sz val="9"/>
            <color indexed="81"/>
            <rFont val="Tahoma"/>
            <family val="2"/>
          </rPr>
          <t>Sylvie:</t>
        </r>
        <r>
          <rPr>
            <sz val="9"/>
            <color indexed="81"/>
            <rFont val="Tahoma"/>
            <family val="2"/>
          </rPr>
          <t xml:space="preserve">
avantage auto  144 km/jrx 4 jr/sem x 48 semaines
27 648 km / an</t>
        </r>
      </text>
    </comment>
    <comment ref="K21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Sylvie:</t>
        </r>
        <r>
          <rPr>
            <sz val="9"/>
            <color indexed="81"/>
            <rFont val="Tahoma"/>
            <family val="2"/>
          </rPr>
          <t xml:space="preserve">
J'ai ajouté 2% pour payer la mutuel ACQ</t>
        </r>
      </text>
    </comment>
    <comment ref="W22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Sylvie:</t>
        </r>
        <r>
          <rPr>
            <sz val="9"/>
            <color indexed="81"/>
            <rFont val="Tahoma"/>
            <family val="2"/>
          </rPr>
          <t xml:space="preserve">
Clause monétaire normatives
</t>
        </r>
      </text>
    </comment>
  </commentList>
</comments>
</file>

<file path=xl/sharedStrings.xml><?xml version="1.0" encoding="utf-8"?>
<sst xmlns="http://schemas.openxmlformats.org/spreadsheetml/2006/main" count="1462" uniqueCount="437">
  <si>
    <t>Fabrication, soudure et installation de pièces métalliques</t>
  </si>
  <si>
    <t>Proposition de prix</t>
  </si>
  <si>
    <t>RBQ: 8304-0253-54</t>
  </si>
  <si>
    <t>Nom:</t>
  </si>
  <si>
    <t>Cie:</t>
  </si>
  <si>
    <t>Courriel:</t>
  </si>
  <si>
    <t>Adresse:</t>
  </si>
  <si>
    <t>Téléphone:</t>
  </si>
  <si>
    <t>Télécopieur:</t>
  </si>
  <si>
    <t>Date:</t>
  </si>
  <si>
    <t>Page:</t>
  </si>
  <si>
    <t>Sujet:</t>
  </si>
  <si>
    <t>Pascal Desrochers</t>
  </si>
  <si>
    <t>Item</t>
  </si>
  <si>
    <t>Réf. Client:</t>
  </si>
  <si>
    <t>taxes en sus</t>
  </si>
  <si>
    <t>Montant,</t>
  </si>
  <si>
    <t>Description</t>
  </si>
  <si>
    <t>*</t>
  </si>
  <si>
    <t>ESCOMPTE, 2% D'INTÉRÊT PAR MOIS, 24% PAR ANNÉE</t>
  </si>
  <si>
    <t xml:space="preserve">LE PRIX COMPREND UNIQUEMENT LES ITEMS CI-HAUT MENTIONNÉS.  TOUT MATÉRIEL OU OUVRAGE SUPPLÉMENTAIRE AJOUTÉ À CETTE OFFRE DE </t>
  </si>
  <si>
    <t xml:space="preserve">SERVICES SERA FACTURÉ EN EXTRA, ET SERA PAYABLE SELON LES MÊMES TERMES ET MODALITÉS.  TOUTE MODIFICATION AUX PLANS ORIGINAUX </t>
  </si>
  <si>
    <t xml:space="preserve">APPROUVÉS ENTRAINERA UNE MODIFICATION DES PRIX CI-INCLUS. TOUT CHANGEMENT POURRA ENTRAÎNER DES DÉLAIS DE LIVRAISON.  LES PRIX </t>
  </si>
  <si>
    <t>MENTIONNÉS PLUS HAUT SONT VALIDE PENDANT LES 30 JOURS QUI SUIVENT LA DATE DE CETTE SOUMISSION.</t>
  </si>
  <si>
    <t>Détail</t>
  </si>
  <si>
    <t>Plan</t>
  </si>
  <si>
    <t>Pascal Desrochers, chef estimateur</t>
  </si>
  <si>
    <t>de nos sentiments les meilleurs.</t>
  </si>
  <si>
    <t>Client:</t>
  </si>
  <si>
    <t>Qté:</t>
  </si>
  <si>
    <t>Coût total</t>
  </si>
  <si>
    <t xml:space="preserve">TABLEAU D'ESTIMATION DETAILLE PAR ITEM </t>
  </si>
  <si>
    <t xml:space="preserve">Addenda : </t>
  </si>
  <si>
    <t xml:space="preserve">Description </t>
  </si>
  <si>
    <t>Poids / pi.lin</t>
  </si>
  <si>
    <t>Total Lb</t>
  </si>
  <si>
    <t>$ unité</t>
  </si>
  <si>
    <t xml:space="preserve">Total </t>
  </si>
  <si>
    <t>Total</t>
  </si>
  <si>
    <t>Heures Dessins</t>
  </si>
  <si>
    <t>Heures Fabrication</t>
  </si>
  <si>
    <t>Heures Installation</t>
  </si>
  <si>
    <t>Projet:</t>
  </si>
  <si>
    <t>N° plan :</t>
  </si>
  <si>
    <t>Item No.</t>
  </si>
  <si>
    <t>No.</t>
  </si>
  <si>
    <t xml:space="preserve">N° / réf. client: </t>
  </si>
  <si>
    <t>No. Soumission:</t>
  </si>
  <si>
    <t>Estimateur</t>
  </si>
  <si>
    <r>
      <t>Long pi.lin/pi</t>
    </r>
    <r>
      <rPr>
        <b/>
        <vertAlign val="superscript"/>
        <sz val="10"/>
        <color indexed="8"/>
        <rFont val="Arial"/>
        <family val="2"/>
      </rPr>
      <t>2</t>
    </r>
  </si>
  <si>
    <t>Coût       pièces</t>
  </si>
  <si>
    <t>Client</t>
  </si>
  <si>
    <t>Att.:</t>
  </si>
  <si>
    <t>Ref. Client</t>
  </si>
  <si>
    <t>Par:</t>
  </si>
  <si>
    <t>.</t>
  </si>
  <si>
    <t>Tél.:</t>
  </si>
  <si>
    <t>Chef Estimateur :</t>
  </si>
  <si>
    <t>Estimateur adj.:</t>
  </si>
  <si>
    <r>
      <rPr>
        <u/>
        <sz val="8"/>
        <color indexed="8"/>
        <rFont val="Calibri"/>
        <family val="2"/>
      </rPr>
      <t xml:space="preserve">TERMES ET MODALITÉ: </t>
    </r>
    <r>
      <rPr>
        <sz val="8"/>
        <color indexed="8"/>
        <rFont val="Calibri"/>
        <family val="2"/>
      </rPr>
      <t>FACTURATION SELON L'AVANCEMENT DES TRAVAUX. PAIEMMENT NET 30 JOURS DE LA LIVRAISON OU DE L'INSTALLATION, SANS</t>
    </r>
  </si>
  <si>
    <t>Grand total</t>
  </si>
  <si>
    <t>Sous-total</t>
  </si>
  <si>
    <t>Fabrication</t>
  </si>
  <si>
    <t>Qté  Unitaire</t>
  </si>
  <si>
    <t>Descrip.</t>
  </si>
  <si>
    <t>Qté Total</t>
  </si>
  <si>
    <t>Total:</t>
  </si>
  <si>
    <t>F= fabrication, I= installation, FI= fabrication et installation</t>
  </si>
  <si>
    <t>Notre prix total:</t>
  </si>
  <si>
    <t>FEUILLE DE SOUMISSION SOMMAIRE</t>
  </si>
  <si>
    <t>Job:</t>
  </si>
  <si>
    <t>Job No.:</t>
  </si>
  <si>
    <t>ESTIMATION DES COÛTS</t>
  </si>
  <si>
    <t>PRIX DE QUOTATION</t>
  </si>
  <si>
    <t>COÛT DE MATÉRIEL</t>
  </si>
  <si>
    <t>% Mark-up</t>
  </si>
  <si>
    <t xml:space="preserve">                                               Description</t>
  </si>
  <si>
    <t>Unité</t>
  </si>
  <si>
    <t>Quantité</t>
  </si>
  <si>
    <t>Coût Unitaire</t>
  </si>
  <si>
    <t>Coût Total</t>
  </si>
  <si>
    <t>Désiré</t>
  </si>
  <si>
    <t>Prix Unitaire</t>
  </si>
  <si>
    <t>Prix Total</t>
  </si>
  <si>
    <t>TOTAL MATÉRIEL @ COÛT</t>
  </si>
  <si>
    <t>TOTAL MATÉRIEL @ PRIX DE VENTE</t>
  </si>
  <si>
    <t>COÛT DE LA MAIN D'OEUVRE</t>
  </si>
  <si>
    <t>COÛT DE MAIN D'OEUVRE</t>
  </si>
  <si>
    <t>Item #</t>
  </si>
  <si>
    <t>heure</t>
  </si>
  <si>
    <t>TOTAL MAIN D'OEUVRE @ COÛT</t>
  </si>
  <si>
    <t>TOTAL MAIN D'OEUVRE @ PRIX DE VENTE</t>
  </si>
  <si>
    <t>AUTRES COÛTS DIRECTS</t>
  </si>
  <si>
    <t>Total Price</t>
  </si>
  <si>
    <t>1</t>
  </si>
  <si>
    <t>imprevu</t>
  </si>
  <si>
    <t>TOTAL AUTRES COÛTS DIRECTS @ COÛT</t>
  </si>
  <si>
    <t>TOTAL AUTRES COÛTS DIRECTS @ PRIX DE VENTE</t>
  </si>
  <si>
    <t>Total Direct Price</t>
  </si>
  <si>
    <t>TOTAL COÛTS DIRECTS</t>
  </si>
  <si>
    <t>% Mark Up</t>
  </si>
  <si>
    <t>FRAIS D'EXPLOITATION EN % DU TOTAL DES FRAIS DIRECTS</t>
  </si>
  <si>
    <t>Prix Total avec Mark Up</t>
  </si>
  <si>
    <t>COÛT BREAKEVEN  = TOTAL COÛTS DIRECTS + FRAIS D'EXPLOITATION</t>
  </si>
  <si>
    <t>Prix actuel de soumission sans taxes</t>
  </si>
  <si>
    <t>% PROFIT DÉSIRÉ</t>
  </si>
  <si>
    <t>TPS @</t>
  </si>
  <si>
    <t>PRIX DE CONTRAT DÉSIRÉ (SANS TAXES) = COÛT BREAKEVEN/(100% - % PROFIT DÉSIRÉ)</t>
  </si>
  <si>
    <t>TVQ @</t>
  </si>
  <si>
    <t>PRIX ACTUEL SOUMIS (SANS TAXES)</t>
  </si>
  <si>
    <t>Prix Total avec Taxes</t>
  </si>
  <si>
    <t>PROFIT NET ACTUEL</t>
  </si>
  <si>
    <t>% PROFIT NET ACTUEL</t>
  </si>
  <si>
    <t>RAPPORT DE VARIANCE</t>
  </si>
  <si>
    <t>COÛTS ESTIMÉS</t>
  </si>
  <si>
    <t>COÛTS ACTUELS</t>
  </si>
  <si>
    <t>Total Coûts Estimés</t>
  </si>
  <si>
    <t>Total Coûts Actuels</t>
  </si>
  <si>
    <t>Variance</t>
  </si>
  <si>
    <t>Matériel</t>
  </si>
  <si>
    <t>Total Matériel</t>
  </si>
  <si>
    <t>Main d'oeuvre Directe</t>
  </si>
  <si>
    <t>Total Main d'oeuvre</t>
  </si>
  <si>
    <t>Autres Coûts Directs</t>
  </si>
  <si>
    <t>Total Autres Coûts</t>
  </si>
  <si>
    <t>ABSORPTION DES FRAIS D'EXPLOITATION</t>
  </si>
  <si>
    <t>COÛT BREAKEVEN</t>
  </si>
  <si>
    <t>PRIX DE CONTRAT (SANS TAXES)</t>
  </si>
  <si>
    <t>PROFIT NET $</t>
  </si>
  <si>
    <t>PROFIT NET %</t>
  </si>
  <si>
    <t>Nom de l'employé</t>
  </si>
  <si>
    <t>Taux Horaire</t>
  </si>
  <si>
    <t>Salaire annuel Standard</t>
  </si>
  <si>
    <t>aecq</t>
  </si>
  <si>
    <t>RRQ</t>
  </si>
  <si>
    <t>AE</t>
  </si>
  <si>
    <t>RQAP</t>
  </si>
  <si>
    <t>FSS</t>
  </si>
  <si>
    <t>CSST</t>
  </si>
  <si>
    <t>Assurance de Groupe</t>
  </si>
  <si>
    <t>Autres Bénéfices</t>
  </si>
  <si>
    <t>Coût Annuel Total</t>
  </si>
  <si>
    <t>Vacances Payées</t>
  </si>
  <si>
    <t>Congés Payés</t>
  </si>
  <si>
    <t>Pauses en heures</t>
  </si>
  <si>
    <t>Temps mort en heures</t>
  </si>
  <si>
    <t>Total Heures non Productives</t>
  </si>
  <si>
    <t>Total Heures Productives</t>
  </si>
  <si>
    <t>Taux Avec Fardeau</t>
  </si>
  <si>
    <t>Fardeau en %</t>
  </si>
  <si>
    <t>Pourcentage</t>
  </si>
  <si>
    <t>Patrick Jacob</t>
  </si>
  <si>
    <t>Steve Peterson</t>
  </si>
  <si>
    <t xml:space="preserve">résidentiel </t>
  </si>
  <si>
    <t>Taux horaire</t>
  </si>
  <si>
    <t>Salaire brut</t>
  </si>
  <si>
    <t>AECQ</t>
  </si>
  <si>
    <t>Ass.      emploi</t>
  </si>
  <si>
    <t>fss</t>
  </si>
  <si>
    <t>csst</t>
  </si>
  <si>
    <t>Avantage sociaux</t>
  </si>
  <si>
    <t>Vacance</t>
  </si>
  <si>
    <t>Fonds divers</t>
  </si>
  <si>
    <t>Equip. Séc</t>
  </si>
  <si>
    <t>Sectoriel</t>
  </si>
  <si>
    <t>Taxe Ass</t>
  </si>
  <si>
    <t>taux avant pauses et temps mort</t>
  </si>
  <si>
    <t>pause</t>
  </si>
  <si>
    <t>%</t>
  </si>
  <si>
    <t>TOTAL</t>
  </si>
  <si>
    <t>chantier compagnon</t>
  </si>
  <si>
    <t>Break-Even Main d'Oeuvre</t>
  </si>
  <si>
    <t>Frais d'exploitations annuels selon budget</t>
  </si>
  <si>
    <t>Frais d'exploitations absorbées par la main d'oeuvre</t>
  </si>
  <si>
    <t>ventes</t>
  </si>
  <si>
    <t>Frais d'exploitations non reliées à la main d'oeuvre (Pièces, Pneus,…)</t>
  </si>
  <si>
    <t>cmv</t>
  </si>
  <si>
    <t>Main d'oeuvre Annuelle avec Bénéfices selon Budget</t>
  </si>
  <si>
    <t>Facteur d'absorption des Frais d'Exploitation</t>
  </si>
  <si>
    <t>PROFIT DÉSIRÉ</t>
  </si>
  <si>
    <t>Nom de l'Employé</t>
  </si>
  <si>
    <t>Taux avec Fardeau</t>
  </si>
  <si>
    <t>Coût Break-Even par heure</t>
  </si>
  <si>
    <t>Taux Désiré</t>
  </si>
  <si>
    <t># avant retenu</t>
  </si>
  <si>
    <t xml:space="preserve">taux moyen usine </t>
  </si>
  <si>
    <t>taux moyen ccq</t>
  </si>
  <si>
    <t xml:space="preserve"> </t>
  </si>
  <si>
    <t>total</t>
  </si>
  <si>
    <t xml:space="preserve"> # heures par item</t>
  </si>
  <si>
    <t>PROFIT ESTIMÉ</t>
  </si>
  <si>
    <t>% de majoration</t>
  </si>
  <si>
    <t>Christian Joyal</t>
  </si>
  <si>
    <t>William Desrochers</t>
  </si>
  <si>
    <t>construction</t>
  </si>
  <si>
    <t>chiffre d'affaires</t>
  </si>
  <si>
    <t>admin</t>
  </si>
  <si>
    <t>m7</t>
  </si>
  <si>
    <t>bilan</t>
  </si>
  <si>
    <t>achat</t>
  </si>
  <si>
    <t>location équipement</t>
  </si>
  <si>
    <t>frais repas</t>
  </si>
  <si>
    <t>essence</t>
  </si>
  <si>
    <t>mat roulant entretien</t>
  </si>
  <si>
    <t>immatriculation</t>
  </si>
  <si>
    <t>emballage</t>
  </si>
  <si>
    <t>CMV (matériel)</t>
  </si>
  <si>
    <t>frais d'atelier</t>
  </si>
  <si>
    <t>outillage usable</t>
  </si>
  <si>
    <t>Equip sécurité</t>
  </si>
  <si>
    <t xml:space="preserve">sous-traitance </t>
  </si>
  <si>
    <t>variation TEC …</t>
  </si>
  <si>
    <t>sous-total</t>
  </si>
  <si>
    <t>frais commerciaux et adm</t>
  </si>
  <si>
    <t>Outil/Equip - entretien</t>
  </si>
  <si>
    <t xml:space="preserve">salaire </t>
  </si>
  <si>
    <t>publicité</t>
  </si>
  <si>
    <t>honoraire prof</t>
  </si>
  <si>
    <t>assurance comm</t>
  </si>
  <si>
    <t>assurance auto</t>
  </si>
  <si>
    <t>assurance adm</t>
  </si>
  <si>
    <t>don</t>
  </si>
  <si>
    <t>taxes permis</t>
  </si>
  <si>
    <t>frais formation</t>
  </si>
  <si>
    <t>cotisation qualification</t>
  </si>
  <si>
    <t>fourniture bureau</t>
  </si>
  <si>
    <t>activité social</t>
  </si>
  <si>
    <t>loyer</t>
  </si>
  <si>
    <t>local ent / rép</t>
  </si>
  <si>
    <t>terrain</t>
  </si>
  <si>
    <t>télécommunication</t>
  </si>
  <si>
    <t>énergie</t>
  </si>
  <si>
    <t>location</t>
  </si>
  <si>
    <t>intérêt et frais</t>
  </si>
  <si>
    <t>intérêt long terme</t>
  </si>
  <si>
    <t>variable à imputer</t>
  </si>
  <si>
    <t>Discrétionnaire</t>
  </si>
  <si>
    <t>imputer directement</t>
  </si>
  <si>
    <t xml:space="preserve">marge d'erreur                       </t>
  </si>
  <si>
    <t>Jet de sable  "matériel"</t>
  </si>
  <si>
    <t>Peinture       "matériel"</t>
  </si>
  <si>
    <t>Divers Installation</t>
  </si>
  <si>
    <t>Main d'œuvre  DESSINS</t>
  </si>
  <si>
    <t>Main d'œuvre  ATELIER</t>
  </si>
  <si>
    <t>Main d'œuvre  JET DE SABLE</t>
  </si>
  <si>
    <t>Main d'oeuvre CHANTIER</t>
  </si>
  <si>
    <t>ATELIER</t>
  </si>
  <si>
    <t>CHANTIER</t>
  </si>
  <si>
    <t xml:space="preserve">Cautionnement </t>
  </si>
  <si>
    <t>Ingénierie</t>
  </si>
  <si>
    <t xml:space="preserve">Pension   </t>
  </si>
  <si>
    <t>gestion projet non incluse</t>
  </si>
  <si>
    <t>Divers Fabrication</t>
  </si>
  <si>
    <t>Installation</t>
  </si>
  <si>
    <t>Dessin</t>
  </si>
  <si>
    <t>hres dessin</t>
  </si>
  <si>
    <t xml:space="preserve"> hres Fabrication</t>
  </si>
  <si>
    <t>hres Installation</t>
  </si>
  <si>
    <t>taux hres dessin</t>
  </si>
  <si>
    <t xml:space="preserve"> taux hres Fabrication</t>
  </si>
  <si>
    <t>taux hres Installation</t>
  </si>
  <si>
    <t xml:space="preserve">Item </t>
  </si>
  <si>
    <t>Frais d'atelier, fourniture, soudage</t>
  </si>
  <si>
    <t xml:space="preserve">Date: </t>
  </si>
  <si>
    <t xml:space="preserve">Soum. No.: </t>
  </si>
  <si>
    <t>Frais d'exploitation</t>
  </si>
  <si>
    <t>Coût du projet incluant profit</t>
  </si>
  <si>
    <t>réserver à l'administration</t>
  </si>
  <si>
    <t xml:space="preserve">OS: </t>
  </si>
  <si>
    <t>PROJET :</t>
  </si>
  <si>
    <t>Document réservé à l'administration pour TEC</t>
  </si>
  <si>
    <t xml:space="preserve">f </t>
  </si>
  <si>
    <t xml:space="preserve">hres estimée au transport inclues: </t>
  </si>
  <si>
    <t>profit</t>
  </si>
  <si>
    <t>Daniel Gignac</t>
  </si>
  <si>
    <t>attestation de conformité CSST</t>
  </si>
  <si>
    <t>État de situation CCQ</t>
  </si>
  <si>
    <t>salaire coûtant atelier</t>
  </si>
  <si>
    <t>date</t>
  </si>
  <si>
    <t>taux horaires</t>
  </si>
  <si>
    <t>hrs travaillés</t>
  </si>
  <si>
    <t>coût</t>
  </si>
  <si>
    <t xml:space="preserve">coût </t>
  </si>
  <si>
    <t>charge %</t>
  </si>
  <si>
    <t>$</t>
  </si>
  <si>
    <t xml:space="preserve"> = B x D</t>
  </si>
  <si>
    <t xml:space="preserve"> = C x E</t>
  </si>
  <si>
    <t xml:space="preserve"> = C x I</t>
  </si>
  <si>
    <t>atelier</t>
  </si>
  <si>
    <t>const</t>
  </si>
  <si>
    <t>horaire</t>
  </si>
  <si>
    <t>temporaire</t>
  </si>
  <si>
    <t>David Leblanc</t>
  </si>
  <si>
    <t>Mathieu P</t>
  </si>
  <si>
    <t>Sylvie C</t>
  </si>
  <si>
    <t>stagiaire</t>
  </si>
  <si>
    <t>Julien Desg</t>
  </si>
  <si>
    <t>Patrick B</t>
  </si>
  <si>
    <t xml:space="preserve">Christian </t>
  </si>
  <si>
    <t>Joyal</t>
  </si>
  <si>
    <t xml:space="preserve">Nestor </t>
  </si>
  <si>
    <t>Cuenca</t>
  </si>
  <si>
    <t>Stéphan</t>
  </si>
  <si>
    <t>Dussault</t>
  </si>
  <si>
    <t>chômage</t>
  </si>
  <si>
    <t xml:space="preserve">Daniel </t>
  </si>
  <si>
    <t>Gignac</t>
  </si>
  <si>
    <t xml:space="preserve">Laurier </t>
  </si>
  <si>
    <t>Marcotte</t>
  </si>
  <si>
    <t>Jean-F</t>
  </si>
  <si>
    <t>Desprès</t>
  </si>
  <si>
    <t>Pascal</t>
  </si>
  <si>
    <t>Desrochers</t>
  </si>
  <si>
    <t>Patrick</t>
  </si>
  <si>
    <t>Jacob</t>
  </si>
  <si>
    <t xml:space="preserve">Steve </t>
  </si>
  <si>
    <t>Peterson</t>
  </si>
  <si>
    <t>William</t>
  </si>
  <si>
    <t>hrs totals:</t>
  </si>
  <si>
    <t>g+h =</t>
  </si>
  <si>
    <t>k+o=</t>
  </si>
  <si>
    <t>au tarif horaire</t>
  </si>
  <si>
    <t>coutant CSST + CCQ</t>
  </si>
  <si>
    <t>Christopher</t>
  </si>
  <si>
    <t>Médeiros</t>
  </si>
  <si>
    <t>Steve</t>
  </si>
  <si>
    <t>Sanscartier</t>
  </si>
  <si>
    <t xml:space="preserve">Denis </t>
  </si>
  <si>
    <t>Gagnon</t>
  </si>
  <si>
    <t xml:space="preserve">Yvan </t>
  </si>
  <si>
    <t>mise à jour 4 décembre 2014</t>
  </si>
  <si>
    <t>SM-214-0004</t>
  </si>
  <si>
    <t>Alexandre Jutras</t>
  </si>
  <si>
    <t>sable seulement</t>
  </si>
  <si>
    <t>apprêt et peinture</t>
  </si>
  <si>
    <t>homme + frais opération du plasma</t>
  </si>
  <si>
    <t>hommes</t>
  </si>
  <si>
    <t>hommes et frais de camion</t>
  </si>
  <si>
    <t>hommes et frais opération du compresseur</t>
  </si>
  <si>
    <t>PLASMA  À 90$/HRES</t>
  </si>
  <si>
    <t>Frais de camion =E72/2</t>
  </si>
  <si>
    <t>Soudex   plafolift, trailleur, chariot…</t>
  </si>
  <si>
    <t>Transport   main d'œuvre</t>
  </si>
  <si>
    <t>COÛT DE MATÉRIEL acier, boulonnerie, sous-traitance</t>
  </si>
  <si>
    <t>Acomba projet</t>
  </si>
  <si>
    <t>chantier apprenti 3</t>
  </si>
  <si>
    <t>CCQ  cotisation</t>
  </si>
  <si>
    <t>Mutuelle ACQ</t>
  </si>
  <si>
    <t>M-O</t>
  </si>
  <si>
    <t>Bénéfice brut</t>
  </si>
  <si>
    <t>Total M-O</t>
  </si>
  <si>
    <t>M-O adm</t>
  </si>
  <si>
    <t>Adm</t>
  </si>
  <si>
    <t>Amort et fin.</t>
  </si>
  <si>
    <t>Total frais</t>
  </si>
  <si>
    <t>CMV</t>
  </si>
  <si>
    <t>traitance</t>
  </si>
  <si>
    <t>Sous-traitance</t>
  </si>
  <si>
    <t>Sous</t>
  </si>
  <si>
    <t xml:space="preserve">fabrication - Sous-traitance </t>
  </si>
  <si>
    <t>. Frais de galvanisation</t>
  </si>
  <si>
    <t>Coût acier et pièces</t>
  </si>
  <si>
    <t>bleu = fabrication "atelier"</t>
  </si>
  <si>
    <t>Vert = fourn de construction</t>
  </si>
  <si>
    <t>Construction, fourniture, boulonnerie, ancrages …</t>
  </si>
  <si>
    <t>Fab S-T</t>
  </si>
  <si>
    <t>Heures transport</t>
  </si>
  <si>
    <t>Const Fourn/ S-T</t>
  </si>
  <si>
    <t xml:space="preserve">construction </t>
  </si>
  <si>
    <t>FABRICATION</t>
  </si>
  <si>
    <t>% DE PROFIT ACQ</t>
  </si>
  <si>
    <t xml:space="preserve"> FI   Sous-traitance</t>
  </si>
  <si>
    <t>Grue et/ou location   (sous-traitance inst)</t>
  </si>
  <si>
    <t>TEMPS de  transport  "homme chantier"</t>
  </si>
  <si>
    <t>Sources de l'info</t>
  </si>
  <si>
    <t xml:space="preserve">Pour faire suite à votre invitation à soumissionner , nous sommes heureux de vous transmettre </t>
  </si>
  <si>
    <t>notre proposition de prix pour les travaux énumérés ci-dessous.</t>
  </si>
  <si>
    <t xml:space="preserve">Calcul du Fardeau de la Main d'œuvre </t>
  </si>
  <si>
    <t>résultat 2018</t>
  </si>
  <si>
    <t>&lt;</t>
  </si>
  <si>
    <t>Gabriel Durocher</t>
  </si>
  <si>
    <t>Michel Desrosiers</t>
  </si>
  <si>
    <t>Marc-Antoine Gignac</t>
  </si>
  <si>
    <t>Estimation</t>
  </si>
  <si>
    <t>Ville - CP</t>
  </si>
  <si>
    <t>Cell.:</t>
  </si>
  <si>
    <t xml:space="preserve">Fax  </t>
  </si>
  <si>
    <t>Date de remise:</t>
  </si>
  <si>
    <t>Keven Gauvreau</t>
  </si>
  <si>
    <t>Apprenti 1</t>
  </si>
  <si>
    <t>Soudex Métal Inc</t>
  </si>
  <si>
    <t>3465, rue Principale   Grand-Saint-Esprit (Qc) J0G 1B0   tél.:  819-289-2407</t>
  </si>
  <si>
    <t>courriel : info@soudexmetal.ca</t>
  </si>
  <si>
    <t>ÉVALUATION PROGRESSIVE</t>
  </si>
  <si>
    <t>Métaux ouvrés et structure d'acier</t>
  </si>
  <si>
    <t>Travaux executés jusq'au :</t>
  </si>
  <si>
    <t>No.  commande:</t>
  </si>
  <si>
    <t xml:space="preserve">À: </t>
  </si>
  <si>
    <t>No. projet:</t>
  </si>
  <si>
    <t>Facture no.</t>
  </si>
  <si>
    <t>Sous-traitant</t>
  </si>
  <si>
    <t>RBQ:</t>
  </si>
  <si>
    <t>8304-0253-54</t>
  </si>
  <si>
    <t xml:space="preserve">Ventilation des travaux </t>
  </si>
  <si>
    <t>Coût des</t>
  </si>
  <si>
    <t>Travaux exécutés</t>
  </si>
  <si>
    <t>Montant de</t>
  </si>
  <si>
    <t>travaux</t>
  </si>
  <si>
    <t>À ce jour</t>
  </si>
  <si>
    <t>Dernière</t>
  </si>
  <si>
    <t>la présente</t>
  </si>
  <si>
    <t>demande</t>
  </si>
  <si>
    <t>Demande</t>
  </si>
  <si>
    <t>Travaux exécutés par le sous-traitant</t>
  </si>
  <si>
    <t>Avis de changement</t>
  </si>
  <si>
    <t>Sous-total avenants</t>
  </si>
  <si>
    <t>Sous-total contrat et avenants</t>
  </si>
  <si>
    <t>Total en $</t>
  </si>
  <si>
    <t>Retenue</t>
  </si>
  <si>
    <t>MONTANT À PAYER</t>
  </si>
  <si>
    <t>Approbation:</t>
  </si>
  <si>
    <t>___________________</t>
  </si>
  <si>
    <t>_________________________</t>
  </si>
  <si>
    <t>Soudex Métal Inc.</t>
  </si>
  <si>
    <t>Entrepreneur général</t>
  </si>
  <si>
    <t>HEURES sans fardeau,  T mort</t>
  </si>
  <si>
    <t>TARIF  sans fardeau, T mort</t>
  </si>
  <si>
    <t>Madame,</t>
  </si>
  <si>
    <t xml:space="preserve">Dans l’attente d’une réponse favorable de votre part, nous vous prions d’agréer,  Madame, l’expression </t>
  </si>
  <si>
    <t>SM-0</t>
  </si>
  <si>
    <t>2020-00-00</t>
  </si>
  <si>
    <t>-</t>
  </si>
  <si>
    <t>Note:</t>
  </si>
  <si>
    <t xml:space="preserve">3465 rue Principale  </t>
  </si>
  <si>
    <t>Grand-Saint-Esprit Qc   J0G 1B0</t>
  </si>
  <si>
    <t xml:space="preserve">Tél.:  819-289-2407  </t>
  </si>
  <si>
    <t>Courriel :  soumission@soudexmetal.ca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</si>
</sst>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#,##0.00\ &quot;$&quot;_);[Red]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"/>
    <numFmt numFmtId="166" formatCode="[&lt;=9999999]###\-####;###\-###\-####"/>
    <numFmt numFmtId="167" formatCode="&quot;$&quot;#,##0.00"/>
    <numFmt numFmtId="168" formatCode="&quot;$&quot;#,##0.00;[Red]\-&quot;$&quot;#,##0.00"/>
    <numFmt numFmtId="169" formatCode="#,##0\ &quot;Jours&quot;"/>
    <numFmt numFmtId="170" formatCode="_ * #,##0.00_)\ [$$-C0C]_ ;_ * \(#,##0.00\)\ [$$-C0C]_ ;_ * &quot;-&quot;??_)\ [$$-C0C]_ ;_ @_ "/>
    <numFmt numFmtId="171" formatCode="&quot;$&quot;#,##0.00;\-&quot;$&quot;#,##0.00"/>
    <numFmt numFmtId="172" formatCode="_-* #,##0.00_-;\-* #,##0.00_-;_-* &quot;-&quot;??_-;_-@_-"/>
    <numFmt numFmtId="173" formatCode="0.000"/>
    <numFmt numFmtId="174" formatCode="_-&quot;$&quot;* #,##0.00_-;\-&quot;$&quot;* #,##0.00_-;_-&quot;$&quot;* &quot;-&quot;??_-;_-@_-"/>
    <numFmt numFmtId="175" formatCode="#,##0.00\ [$$-C0C]_);\(#,##0.00\ [$$-C0C]\)"/>
    <numFmt numFmtId="176" formatCode="_ * #,##0.00000000_)\ _$_ ;_ * \(#,##0.00000000\)\ _$_ ;_ * &quot;-&quot;??_)\ _$_ ;_ @_ "/>
    <numFmt numFmtId="177" formatCode="0.0"/>
    <numFmt numFmtId="178" formatCode="#,##0.0000000"/>
    <numFmt numFmtId="179" formatCode="#,##0.000000"/>
  </numFmts>
  <fonts count="12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8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Calibri"/>
      <family val="2"/>
    </font>
    <font>
      <sz val="8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8"/>
      <name val="Arial"/>
      <family val="2"/>
    </font>
    <font>
      <i/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8"/>
      <color indexed="8"/>
      <name val="Calibri"/>
      <family val="2"/>
    </font>
    <font>
      <u/>
      <sz val="8"/>
      <color indexed="8"/>
      <name val="Calibri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color indexed="6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Arial"/>
      <family val="2"/>
    </font>
    <font>
      <u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62"/>
      <name val="Arial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i/>
      <sz val="10"/>
      <color indexed="8"/>
      <name val="Calibri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8"/>
      <color indexed="9"/>
      <name val="Calibri"/>
      <family val="2"/>
    </font>
    <font>
      <b/>
      <sz val="18"/>
      <name val="Arial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Bodoni MT Black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 Black"/>
      <family val="2"/>
    </font>
    <font>
      <sz val="11"/>
      <color theme="1"/>
      <name val="Arial Black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9"/>
      <color theme="1"/>
      <name val="Arial Black"/>
      <family val="2"/>
    </font>
    <font>
      <i/>
      <sz val="11"/>
      <color theme="1"/>
      <name val="Algerian"/>
      <family val="5"/>
    </font>
    <font>
      <i/>
      <sz val="8"/>
      <color theme="1"/>
      <name val="Algerian"/>
      <family val="5"/>
    </font>
    <font>
      <sz val="11"/>
      <color theme="1"/>
      <name val="Agency FB"/>
      <family val="2"/>
    </font>
    <font>
      <b/>
      <sz val="11"/>
      <color rgb="FFFF0000"/>
      <name val="Agency FB"/>
      <family val="2"/>
    </font>
    <font>
      <i/>
      <sz val="11"/>
      <color theme="1"/>
      <name val="Bodoni MT Condensed"/>
      <family val="1"/>
    </font>
    <font>
      <u/>
      <sz val="11"/>
      <color theme="1"/>
      <name val="Bauhaus 93"/>
      <family val="5"/>
    </font>
    <font>
      <b/>
      <sz val="11"/>
      <color rgb="FFFF0000"/>
      <name val="Calibri"/>
      <family val="2"/>
      <scheme val="minor"/>
    </font>
    <font>
      <sz val="8"/>
      <color theme="1"/>
      <name val="Bauhaus 93"/>
      <family val="5"/>
    </font>
    <font>
      <sz val="10"/>
      <color theme="1"/>
      <name val="Bauhaus 93"/>
      <family val="5"/>
    </font>
    <font>
      <b/>
      <i/>
      <sz val="11"/>
      <color rgb="FFFF0000"/>
      <name val="Calibri"/>
      <family val="2"/>
      <scheme val="minor"/>
    </font>
    <font>
      <sz val="11"/>
      <color theme="1"/>
      <name val="Bauhaus 93"/>
      <family val="5"/>
    </font>
    <font>
      <b/>
      <i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i/>
      <sz val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Arial Rounded MT Bol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rgb="FFFF0000"/>
      <name val="Arial"/>
      <family val="2"/>
    </font>
    <font>
      <b/>
      <u/>
      <sz val="9"/>
      <name val="Arial"/>
      <family val="2"/>
    </font>
    <font>
      <b/>
      <sz val="10"/>
      <color theme="6"/>
      <name val="Arial"/>
      <family val="2"/>
    </font>
    <font>
      <sz val="11"/>
      <name val="Arial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0000"/>
      <name val="Arial"/>
      <family val="2"/>
    </font>
    <font>
      <sz val="18"/>
      <color rgb="FFFF0000"/>
      <name val="Calibri"/>
      <family val="2"/>
    </font>
    <font>
      <b/>
      <sz val="10"/>
      <color theme="5"/>
      <name val="Arial"/>
      <family val="2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name val="Arial Narrow"/>
      <family val="2"/>
    </font>
    <font>
      <sz val="11"/>
      <color theme="1"/>
      <name val="Arial Narrow"/>
      <family val="2"/>
    </font>
    <font>
      <sz val="9"/>
      <name val="Arial Narrow"/>
      <family val="2"/>
    </font>
    <font>
      <sz val="9"/>
      <color rgb="FFFF0000"/>
      <name val="Arial Narrow"/>
      <family val="2"/>
    </font>
    <font>
      <b/>
      <sz val="10"/>
      <color indexed="8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2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indexed="9"/>
      <name val="Arial"/>
      <family val="2"/>
    </font>
    <font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20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6"/>
      <color indexed="9"/>
      <name val="Calibri"/>
      <family val="2"/>
      <scheme val="minor"/>
    </font>
    <font>
      <sz val="8"/>
      <color indexed="9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</fills>
  <borders count="2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64"/>
      </right>
      <top style="thick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ck">
        <color indexed="8"/>
      </right>
      <top style="thick">
        <color indexed="64"/>
      </top>
      <bottom style="medium">
        <color indexed="8"/>
      </bottom>
      <diagonal/>
    </border>
    <border>
      <left style="thick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/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/>
      <bottom/>
      <diagonal/>
    </border>
    <border>
      <left style="medium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ck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ck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/>
      <right/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thick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ashDot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double">
        <color indexed="64"/>
      </bottom>
      <diagonal/>
    </border>
    <border>
      <left/>
      <right style="dashDot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ashDot">
        <color indexed="64"/>
      </right>
      <top style="thin">
        <color indexed="64"/>
      </top>
      <bottom/>
      <diagonal/>
    </border>
    <border>
      <left/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 style="hair">
        <color indexed="64"/>
      </right>
      <top style="thin">
        <color indexed="64"/>
      </top>
      <bottom style="slantDashDot">
        <color indexed="64"/>
      </bottom>
      <diagonal/>
    </border>
    <border>
      <left/>
      <right style="dashDot">
        <color indexed="64"/>
      </right>
      <top style="thin">
        <color indexed="64"/>
      </top>
      <bottom style="slantDashDot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hair">
        <color indexed="64"/>
      </right>
      <top/>
      <bottom style="slantDashDot">
        <color indexed="64"/>
      </bottom>
      <diagonal/>
    </border>
    <border>
      <left/>
      <right style="dashDot">
        <color indexed="64"/>
      </right>
      <top/>
      <bottom style="slantDashDot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ashDot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dashDot">
        <color indexed="64"/>
      </left>
      <right style="hair">
        <color indexed="64"/>
      </right>
      <top/>
      <bottom/>
      <diagonal/>
    </border>
    <border>
      <left/>
      <right style="dashDot">
        <color indexed="64"/>
      </right>
      <top style="slantDashDot">
        <color indexed="64"/>
      </top>
      <bottom style="slantDashDot">
        <color indexed="64"/>
      </bottom>
      <diagonal/>
    </border>
    <border>
      <left style="dashDot">
        <color indexed="64"/>
      </left>
      <right style="hair">
        <color indexed="64"/>
      </right>
      <top style="slantDashDot">
        <color indexed="64"/>
      </top>
      <bottom/>
      <diagonal/>
    </border>
    <border>
      <left/>
      <right style="dashDot">
        <color indexed="64"/>
      </right>
      <top style="slantDashDot">
        <color indexed="64"/>
      </top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 style="dashDot">
        <color indexed="64"/>
      </right>
      <top/>
      <bottom style="thin">
        <color indexed="64"/>
      </bottom>
      <diagonal/>
    </border>
    <border>
      <left style="dashDot">
        <color indexed="64"/>
      </left>
      <right style="hair">
        <color indexed="64"/>
      </right>
      <top style="slantDashDot">
        <color indexed="64"/>
      </top>
      <bottom style="thin">
        <color indexed="64"/>
      </bottom>
      <diagonal/>
    </border>
    <border>
      <left/>
      <right style="dashDot">
        <color indexed="64"/>
      </right>
      <top style="slantDashDot">
        <color indexed="64"/>
      </top>
      <bottom style="thin">
        <color indexed="64"/>
      </bottom>
      <diagonal/>
    </border>
    <border>
      <left style="dashDot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dashDot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40" fillId="0" borderId="0" applyNumberFormat="0" applyFill="0" applyBorder="0" applyAlignment="0" applyProtection="0">
      <alignment vertical="top"/>
      <protection locked="0"/>
    </xf>
    <xf numFmtId="164" fontId="48" fillId="0" borderId="0" applyFont="0" applyFill="0" applyBorder="0" applyAlignment="0" applyProtection="0"/>
    <xf numFmtId="44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21" fillId="0" borderId="0"/>
  </cellStyleXfs>
  <cellXfs count="135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10" fillId="0" borderId="0" xfId="0" applyFont="1"/>
    <xf numFmtId="0" fontId="13" fillId="0" borderId="0" xfId="0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7" fillId="0" borderId="0" xfId="0" applyFont="1"/>
    <xf numFmtId="0" fontId="14" fillId="0" borderId="8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9" xfId="0" applyBorder="1"/>
    <xf numFmtId="0" fontId="19" fillId="0" borderId="0" xfId="0" applyFont="1" applyFill="1" applyBorder="1"/>
    <xf numFmtId="0" fontId="19" fillId="0" borderId="0" xfId="0" applyFont="1" applyFill="1" applyBorder="1" applyAlignment="1">
      <alignment vertical="top" wrapText="1"/>
    </xf>
    <xf numFmtId="0" fontId="22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23" fillId="0" borderId="0" xfId="0" applyFont="1" applyFill="1" applyBorder="1" applyAlignment="1">
      <alignment horizontal="center" vertical="top" wrapText="1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wrapText="1"/>
    </xf>
    <xf numFmtId="0" fontId="25" fillId="0" borderId="0" xfId="0" applyFont="1" applyBorder="1"/>
    <xf numFmtId="0" fontId="26" fillId="0" borderId="0" xfId="0" applyFont="1" applyFill="1" applyBorder="1"/>
    <xf numFmtId="0" fontId="19" fillId="0" borderId="0" xfId="0" applyFont="1" applyFill="1" applyBorder="1" applyAlignment="1">
      <alignment horizontal="center" vertical="top" wrapText="1"/>
    </xf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3" fillId="0" borderId="0" xfId="0" applyFont="1" applyFill="1" applyBorder="1"/>
    <xf numFmtId="0" fontId="27" fillId="0" borderId="0" xfId="0" applyFont="1" applyFill="1" applyBorder="1"/>
    <xf numFmtId="0" fontId="0" fillId="0" borderId="0" xfId="0" applyAlignment="1">
      <alignment wrapText="1"/>
    </xf>
    <xf numFmtId="165" fontId="0" fillId="0" borderId="0" xfId="0" applyNumberFormat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19" fillId="3" borderId="0" xfId="0" applyFont="1" applyFill="1" applyBorder="1" applyAlignment="1"/>
    <xf numFmtId="0" fontId="23" fillId="3" borderId="0" xfId="0" applyFont="1" applyFill="1" applyBorder="1" applyAlignment="1">
      <alignment horizontal="center" vertical="top" wrapText="1"/>
    </xf>
    <xf numFmtId="0" fontId="19" fillId="3" borderId="0" xfId="0" applyFont="1" applyFill="1" applyBorder="1" applyAlignment="1">
      <alignment horizontal="center" vertical="top" wrapText="1"/>
    </xf>
    <xf numFmtId="165" fontId="0" fillId="3" borderId="0" xfId="0" applyNumberFormat="1" applyFill="1" applyBorder="1" applyAlignment="1"/>
    <xf numFmtId="0" fontId="0" fillId="3" borderId="0" xfId="0" applyFill="1" applyBorder="1" applyAlignment="1">
      <alignment horizontal="center"/>
    </xf>
    <xf numFmtId="0" fontId="0" fillId="4" borderId="12" xfId="0" applyFill="1" applyBorder="1"/>
    <xf numFmtId="0" fontId="18" fillId="4" borderId="12" xfId="0" applyFont="1" applyFill="1" applyBorder="1" applyAlignment="1">
      <alignment vertical="top" wrapText="1"/>
    </xf>
    <xf numFmtId="0" fontId="19" fillId="4" borderId="12" xfId="0" applyFont="1" applyFill="1" applyBorder="1" applyAlignment="1">
      <alignment vertical="top" wrapText="1"/>
    </xf>
    <xf numFmtId="0" fontId="8" fillId="0" borderId="0" xfId="0" applyFont="1"/>
    <xf numFmtId="165" fontId="21" fillId="5" borderId="12" xfId="0" applyNumberFormat="1" applyFont="1" applyFill="1" applyBorder="1" applyAlignment="1">
      <alignment vertical="top" wrapText="1"/>
    </xf>
    <xf numFmtId="0" fontId="24" fillId="0" borderId="11" xfId="0" applyFont="1" applyFill="1" applyBorder="1" applyAlignment="1">
      <alignment vertical="top" wrapText="1"/>
    </xf>
    <xf numFmtId="0" fontId="13" fillId="0" borderId="14" xfId="0" applyFont="1" applyBorder="1"/>
    <xf numFmtId="0" fontId="0" fillId="0" borderId="17" xfId="0" applyBorder="1"/>
    <xf numFmtId="0" fontId="28" fillId="0" borderId="17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20" fillId="3" borderId="17" xfId="0" applyFont="1" applyFill="1" applyBorder="1"/>
    <xf numFmtId="0" fontId="0" fillId="0" borderId="17" xfId="0" applyFill="1" applyBorder="1"/>
    <xf numFmtId="0" fontId="19" fillId="3" borderId="17" xfId="0" applyFont="1" applyFill="1" applyBorder="1"/>
    <xf numFmtId="16" fontId="19" fillId="0" borderId="17" xfId="0" applyNumberFormat="1" applyFont="1" applyBorder="1" applyAlignment="1">
      <alignment horizontal="center"/>
    </xf>
    <xf numFmtId="0" fontId="8" fillId="0" borderId="17" xfId="0" applyFont="1" applyBorder="1"/>
    <xf numFmtId="0" fontId="24" fillId="0" borderId="17" xfId="0" applyFont="1" applyFill="1" applyBorder="1" applyAlignment="1">
      <alignment horizontal="right" vertical="center"/>
    </xf>
    <xf numFmtId="0" fontId="24" fillId="0" borderId="17" xfId="0" applyFont="1" applyFill="1" applyBorder="1" applyAlignment="1">
      <alignment vertical="center"/>
    </xf>
    <xf numFmtId="0" fontId="21" fillId="3" borderId="17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right"/>
    </xf>
    <xf numFmtId="0" fontId="8" fillId="0" borderId="17" xfId="0" applyFont="1" applyFill="1" applyBorder="1"/>
    <xf numFmtId="0" fontId="21" fillId="3" borderId="17" xfId="0" applyFont="1" applyFill="1" applyBorder="1"/>
    <xf numFmtId="16" fontId="21" fillId="0" borderId="17" xfId="0" applyNumberFormat="1" applyFont="1" applyFill="1" applyBorder="1" applyAlignment="1">
      <alignment horizontal="center"/>
    </xf>
    <xf numFmtId="0" fontId="24" fillId="0" borderId="17" xfId="0" applyFont="1" applyFill="1" applyBorder="1" applyAlignment="1">
      <alignment horizontal="right" vertical="center" wrapText="1"/>
    </xf>
    <xf numFmtId="0" fontId="24" fillId="0" borderId="17" xfId="0" applyFont="1" applyFill="1" applyBorder="1" applyAlignment="1">
      <alignment vertical="center" wrapText="1"/>
    </xf>
    <xf numFmtId="0" fontId="21" fillId="0" borderId="17" xfId="0" applyFont="1" applyBorder="1" applyAlignment="1"/>
    <xf numFmtId="0" fontId="30" fillId="0" borderId="17" xfId="0" applyFont="1" applyFill="1" applyBorder="1" applyAlignment="1">
      <alignment horizontal="right"/>
    </xf>
    <xf numFmtId="0" fontId="32" fillId="0" borderId="17" xfId="0" applyFont="1" applyFill="1" applyBorder="1" applyAlignment="1">
      <alignment vertical="center" wrapText="1"/>
    </xf>
    <xf numFmtId="0" fontId="8" fillId="0" borderId="17" xfId="0" applyFont="1" applyBorder="1" applyAlignment="1"/>
    <xf numFmtId="0" fontId="24" fillId="0" borderId="17" xfId="0" applyFont="1" applyFill="1" applyBorder="1" applyAlignment="1">
      <alignment vertical="top" wrapText="1"/>
    </xf>
    <xf numFmtId="165" fontId="13" fillId="8" borderId="12" xfId="0" applyNumberFormat="1" applyFont="1" applyFill="1" applyBorder="1"/>
    <xf numFmtId="165" fontId="13" fillId="0" borderId="12" xfId="0" applyNumberFormat="1" applyFont="1" applyBorder="1"/>
    <xf numFmtId="1" fontId="29" fillId="0" borderId="12" xfId="0" applyNumberFormat="1" applyFont="1" applyFill="1" applyBorder="1" applyAlignment="1">
      <alignment horizontal="center" wrapText="1"/>
    </xf>
    <xf numFmtId="2" fontId="24" fillId="3" borderId="13" xfId="0" applyNumberFormat="1" applyFont="1" applyFill="1" applyBorder="1" applyAlignment="1">
      <alignment vertical="top" wrapText="1"/>
    </xf>
    <xf numFmtId="2" fontId="24" fillId="9" borderId="13" xfId="0" applyNumberFormat="1" applyFont="1" applyFill="1" applyBorder="1" applyAlignment="1">
      <alignment vertical="top" wrapText="1"/>
    </xf>
    <xf numFmtId="2" fontId="24" fillId="9" borderId="10" xfId="0" applyNumberFormat="1" applyFont="1" applyFill="1" applyBorder="1" applyAlignment="1">
      <alignment vertical="top" wrapText="1"/>
    </xf>
    <xf numFmtId="2" fontId="24" fillId="3" borderId="11" xfId="0" applyNumberFormat="1" applyFont="1" applyFill="1" applyBorder="1" applyAlignment="1">
      <alignment vertical="top" wrapText="1"/>
    </xf>
    <xf numFmtId="2" fontId="24" fillId="9" borderId="11" xfId="0" applyNumberFormat="1" applyFont="1" applyFill="1" applyBorder="1" applyAlignment="1">
      <alignment vertical="top" wrapText="1"/>
    </xf>
    <xf numFmtId="165" fontId="0" fillId="0" borderId="0" xfId="0" applyNumberFormat="1" applyAlignment="1">
      <alignment wrapText="1"/>
    </xf>
    <xf numFmtId="0" fontId="33" fillId="0" borderId="0" xfId="0" applyFont="1"/>
    <xf numFmtId="14" fontId="24" fillId="3" borderId="17" xfId="0" applyNumberFormat="1" applyFont="1" applyFill="1" applyBorder="1" applyAlignment="1">
      <alignment horizontal="center"/>
    </xf>
    <xf numFmtId="0" fontId="17" fillId="3" borderId="17" xfId="0" applyFont="1" applyFill="1" applyBorder="1" applyAlignment="1">
      <alignment horizontal="left"/>
    </xf>
    <xf numFmtId="0" fontId="24" fillId="0" borderId="17" xfId="0" applyFont="1" applyFill="1" applyBorder="1" applyAlignment="1">
      <alignment horizontal="left" vertical="center"/>
    </xf>
    <xf numFmtId="0" fontId="13" fillId="0" borderId="16" xfId="0" applyFont="1" applyBorder="1"/>
    <xf numFmtId="0" fontId="0" fillId="0" borderId="12" xfId="0" applyBorder="1"/>
    <xf numFmtId="0" fontId="34" fillId="0" borderId="0" xfId="0" applyFont="1"/>
    <xf numFmtId="0" fontId="3" fillId="0" borderId="0" xfId="0" applyFont="1"/>
    <xf numFmtId="0" fontId="35" fillId="0" borderId="0" xfId="0" applyFont="1" applyAlignment="1">
      <alignment horizontal="right"/>
    </xf>
    <xf numFmtId="165" fontId="36" fillId="10" borderId="0" xfId="0" applyNumberFormat="1" applyFont="1" applyFill="1"/>
    <xf numFmtId="0" fontId="1" fillId="11" borderId="2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165" fontId="36" fillId="10" borderId="12" xfId="0" applyNumberFormat="1" applyFont="1" applyFill="1" applyBorder="1"/>
    <xf numFmtId="165" fontId="36" fillId="11" borderId="18" xfId="0" applyNumberFormat="1" applyFont="1" applyFill="1" applyBorder="1"/>
    <xf numFmtId="165" fontId="3" fillId="0" borderId="2" xfId="0" applyNumberFormat="1" applyFont="1" applyBorder="1"/>
    <xf numFmtId="165" fontId="3" fillId="0" borderId="2" xfId="0" applyNumberFormat="1" applyFont="1" applyBorder="1" applyAlignment="1">
      <alignment wrapText="1"/>
    </xf>
    <xf numFmtId="0" fontId="0" fillId="0" borderId="19" xfId="0" applyBorder="1"/>
    <xf numFmtId="165" fontId="0" fillId="5" borderId="19" xfId="0" applyNumberFormat="1" applyFill="1" applyBorder="1"/>
    <xf numFmtId="165" fontId="0" fillId="8" borderId="19" xfId="0" applyNumberFormat="1" applyFill="1" applyBorder="1"/>
    <xf numFmtId="165" fontId="1" fillId="11" borderId="19" xfId="0" applyNumberFormat="1" applyFont="1" applyFill="1" applyBorder="1"/>
    <xf numFmtId="165" fontId="1" fillId="12" borderId="20" xfId="0" applyNumberFormat="1" applyFont="1" applyFill="1" applyBorder="1"/>
    <xf numFmtId="165" fontId="1" fillId="13" borderId="19" xfId="0" applyNumberFormat="1" applyFont="1" applyFill="1" applyBorder="1" applyAlignment="1">
      <alignment wrapText="1"/>
    </xf>
    <xf numFmtId="165" fontId="1" fillId="10" borderId="20" xfId="0" applyNumberFormat="1" applyFont="1" applyFill="1" applyBorder="1"/>
    <xf numFmtId="165" fontId="0" fillId="0" borderId="19" xfId="0" applyNumberFormat="1" applyBorder="1"/>
    <xf numFmtId="0" fontId="0" fillId="0" borderId="21" xfId="0" applyBorder="1"/>
    <xf numFmtId="165" fontId="1" fillId="10" borderId="15" xfId="0" applyNumberFormat="1" applyFont="1" applyFill="1" applyBorder="1"/>
    <xf numFmtId="165" fontId="1" fillId="10" borderId="16" xfId="0" applyNumberFormat="1" applyFont="1" applyFill="1" applyBorder="1"/>
    <xf numFmtId="0" fontId="30" fillId="0" borderId="22" xfId="0" applyFont="1" applyFill="1" applyBorder="1" applyAlignment="1">
      <alignment horizontal="right"/>
    </xf>
    <xf numFmtId="1" fontId="18" fillId="0" borderId="17" xfId="0" applyNumberFormat="1" applyFont="1" applyBorder="1" applyAlignment="1">
      <alignment vertical="center"/>
    </xf>
    <xf numFmtId="1" fontId="24" fillId="0" borderId="17" xfId="0" applyNumberFormat="1" applyFont="1" applyFill="1" applyBorder="1" applyAlignment="1">
      <alignment vertical="center"/>
    </xf>
    <xf numFmtId="1" fontId="24" fillId="0" borderId="17" xfId="0" applyNumberFormat="1" applyFont="1" applyFill="1" applyBorder="1" applyAlignment="1">
      <alignment vertical="center" wrapText="1"/>
    </xf>
    <xf numFmtId="1" fontId="24" fillId="0" borderId="17" xfId="0" applyNumberFormat="1" applyFont="1" applyFill="1" applyBorder="1" applyAlignment="1">
      <alignment horizontal="left" vertical="center"/>
    </xf>
    <xf numFmtId="1" fontId="24" fillId="0" borderId="17" xfId="0" applyNumberFormat="1" applyFont="1" applyFill="1" applyBorder="1" applyAlignment="1">
      <alignment horizontal="right" vertical="center"/>
    </xf>
    <xf numFmtId="1" fontId="0" fillId="0" borderId="0" xfId="0" applyNumberFormat="1" applyFill="1" applyBorder="1"/>
    <xf numFmtId="1" fontId="24" fillId="14" borderId="10" xfId="0" applyNumberFormat="1" applyFont="1" applyFill="1" applyBorder="1" applyAlignment="1">
      <alignment horizontal="right" vertical="top" wrapText="1"/>
    </xf>
    <xf numFmtId="1" fontId="0" fillId="14" borderId="11" xfId="0" applyNumberFormat="1" applyFill="1" applyBorder="1" applyAlignment="1">
      <alignment horizontal="right" vertical="top" wrapText="1"/>
    </xf>
    <xf numFmtId="1" fontId="0" fillId="0" borderId="0" xfId="0" applyNumberFormat="1" applyBorder="1"/>
    <xf numFmtId="1" fontId="25" fillId="0" borderId="0" xfId="0" applyNumberFormat="1" applyFont="1" applyBorder="1"/>
    <xf numFmtId="1" fontId="0" fillId="0" borderId="0" xfId="0" applyNumberFormat="1"/>
    <xf numFmtId="0" fontId="39" fillId="4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0" fillId="0" borderId="2" xfId="0" applyBorder="1" applyAlignment="1">
      <alignment vertical="top"/>
    </xf>
    <xf numFmtId="0" fontId="3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/>
    </xf>
    <xf numFmtId="49" fontId="0" fillId="0" borderId="2" xfId="0" applyNumberFormat="1" applyBorder="1" applyAlignment="1">
      <alignment vertical="top"/>
    </xf>
    <xf numFmtId="0" fontId="0" fillId="0" borderId="2" xfId="0" applyNumberFormat="1" applyBorder="1" applyAlignment="1">
      <alignment vertical="top"/>
    </xf>
    <xf numFmtId="0" fontId="0" fillId="0" borderId="0" xfId="0" applyFont="1"/>
    <xf numFmtId="0" fontId="0" fillId="0" borderId="32" xfId="0" applyNumberFormat="1" applyBorder="1" applyAlignment="1">
      <alignment horizontal="center"/>
    </xf>
    <xf numFmtId="0" fontId="44" fillId="0" borderId="33" xfId="0" applyNumberFormat="1" applyFont="1" applyBorder="1" applyAlignment="1"/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44" fillId="0" borderId="37" xfId="0" applyNumberFormat="1" applyFont="1" applyBorder="1" applyAlignment="1">
      <alignment horizontal="center"/>
    </xf>
    <xf numFmtId="0" fontId="44" fillId="0" borderId="1" xfId="0" applyNumberFormat="1" applyFont="1" applyBorder="1"/>
    <xf numFmtId="0" fontId="44" fillId="0" borderId="1" xfId="0" applyNumberFormat="1" applyFont="1" applyBorder="1" applyAlignment="1">
      <alignment horizontal="center"/>
    </xf>
    <xf numFmtId="0" fontId="44" fillId="0" borderId="38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9" xfId="0" applyNumberFormat="1" applyBorder="1"/>
    <xf numFmtId="0" fontId="0" fillId="0" borderId="40" xfId="0" applyNumberFormat="1" applyBorder="1" applyAlignment="1">
      <alignment horizontal="center"/>
    </xf>
    <xf numFmtId="0" fontId="44" fillId="0" borderId="38" xfId="0" applyNumberFormat="1" applyFont="1" applyBorder="1" applyAlignment="1">
      <alignment horizontal="right"/>
    </xf>
    <xf numFmtId="0" fontId="14" fillId="0" borderId="43" xfId="0" applyNumberFormat="1" applyFont="1" applyBorder="1" applyAlignment="1">
      <alignment horizontal="center"/>
    </xf>
    <xf numFmtId="0" fontId="0" fillId="0" borderId="44" xfId="0" applyNumberFormat="1" applyBorder="1"/>
    <xf numFmtId="0" fontId="0" fillId="0" borderId="44" xfId="0" applyNumberFormat="1" applyBorder="1" applyAlignment="1">
      <alignment horizontal="center"/>
    </xf>
    <xf numFmtId="0" fontId="44" fillId="0" borderId="45" xfId="0" applyNumberFormat="1" applyFont="1" applyBorder="1" applyAlignment="1">
      <alignment horizontal="center"/>
    </xf>
    <xf numFmtId="0" fontId="44" fillId="0" borderId="44" xfId="0" applyNumberFormat="1" applyFont="1" applyBorder="1" applyAlignment="1">
      <alignment horizontal="center"/>
    </xf>
    <xf numFmtId="0" fontId="0" fillId="0" borderId="46" xfId="0" applyNumberFormat="1" applyBorder="1" applyAlignment="1">
      <alignment horizontal="center"/>
    </xf>
    <xf numFmtId="0" fontId="44" fillId="0" borderId="47" xfId="0" applyNumberFormat="1" applyFont="1" applyBorder="1" applyAlignment="1">
      <alignment horizontal="right"/>
    </xf>
    <xf numFmtId="0" fontId="0" fillId="0" borderId="49" xfId="0" applyNumberFormat="1" applyBorder="1" applyAlignment="1">
      <alignment horizontal="center"/>
    </xf>
    <xf numFmtId="0" fontId="44" fillId="15" borderId="50" xfId="0" applyNumberFormat="1" applyFont="1" applyFill="1" applyBorder="1" applyAlignment="1">
      <alignment horizontal="center"/>
    </xf>
    <xf numFmtId="0" fontId="44" fillId="15" borderId="41" xfId="0" applyNumberFormat="1" applyFont="1" applyFill="1" applyBorder="1" applyAlignment="1"/>
    <xf numFmtId="0" fontId="44" fillId="15" borderId="41" xfId="0" applyNumberFormat="1" applyFont="1" applyFill="1" applyBorder="1" applyAlignment="1">
      <alignment horizontal="center"/>
    </xf>
    <xf numFmtId="0" fontId="0" fillId="15" borderId="41" xfId="0" applyNumberFormat="1" applyFill="1" applyBorder="1" applyAlignment="1">
      <alignment horizontal="center"/>
    </xf>
    <xf numFmtId="0" fontId="0" fillId="0" borderId="51" xfId="0" applyNumberFormat="1" applyBorder="1" applyAlignment="1">
      <alignment horizontal="center"/>
    </xf>
    <xf numFmtId="0" fontId="44" fillId="3" borderId="54" xfId="0" applyNumberFormat="1" applyFont="1" applyFill="1" applyBorder="1" applyAlignment="1">
      <alignment horizontal="center"/>
    </xf>
    <xf numFmtId="0" fontId="44" fillId="3" borderId="0" xfId="0" applyNumberFormat="1" applyFont="1" applyFill="1" applyBorder="1" applyAlignment="1"/>
    <xf numFmtId="0" fontId="44" fillId="3" borderId="0" xfId="0" applyNumberFormat="1" applyFon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39" xfId="0" applyNumberFormat="1" applyFill="1" applyBorder="1"/>
    <xf numFmtId="0" fontId="0" fillId="3" borderId="55" xfId="0" applyNumberFormat="1" applyFill="1" applyBorder="1" applyAlignment="1">
      <alignment horizontal="center"/>
    </xf>
    <xf numFmtId="167" fontId="44" fillId="3" borderId="55" xfId="0" applyNumberFormat="1" applyFont="1" applyFill="1" applyBorder="1" applyAlignment="1"/>
    <xf numFmtId="167" fontId="44" fillId="3" borderId="0" xfId="0" applyNumberFormat="1" applyFont="1" applyFill="1" applyBorder="1" applyAlignment="1"/>
    <xf numFmtId="167" fontId="0" fillId="3" borderId="56" xfId="0" applyNumberFormat="1" applyFill="1" applyBorder="1" applyAlignment="1">
      <alignment horizontal="center"/>
    </xf>
    <xf numFmtId="0" fontId="0" fillId="3" borderId="57" xfId="0" applyNumberFormat="1" applyFill="1" applyBorder="1" applyAlignment="1">
      <alignment horizontal="center"/>
    </xf>
    <xf numFmtId="0" fontId="14" fillId="3" borderId="58" xfId="0" applyNumberFormat="1" applyFont="1" applyFill="1" applyBorder="1" applyAlignment="1">
      <alignment horizontal="center"/>
    </xf>
    <xf numFmtId="0" fontId="14" fillId="3" borderId="48" xfId="0" applyNumberFormat="1" applyFont="1" applyFill="1" applyBorder="1" applyAlignment="1">
      <alignment horizontal="center"/>
    </xf>
    <xf numFmtId="0" fontId="44" fillId="0" borderId="62" xfId="0" applyNumberFormat="1" applyFont="1" applyBorder="1" applyAlignment="1">
      <alignment horizontal="center"/>
    </xf>
    <xf numFmtId="0" fontId="44" fillId="0" borderId="63" xfId="0" applyNumberFormat="1" applyFont="1" applyBorder="1" applyAlignment="1">
      <alignment horizontal="center"/>
    </xf>
    <xf numFmtId="39" fontId="44" fillId="0" borderId="63" xfId="0" applyNumberFormat="1" applyFont="1" applyBorder="1" applyAlignment="1">
      <alignment horizontal="center"/>
    </xf>
    <xf numFmtId="0" fontId="44" fillId="3" borderId="67" xfId="0" applyNumberFormat="1" applyFont="1" applyFill="1" applyBorder="1" applyAlignment="1">
      <alignment horizontal="center"/>
    </xf>
    <xf numFmtId="0" fontId="44" fillId="3" borderId="69" xfId="0" applyNumberFormat="1" applyFon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167" fontId="0" fillId="15" borderId="71" xfId="0" applyNumberFormat="1" applyFill="1" applyBorder="1" applyAlignment="1">
      <alignment horizontal="center"/>
    </xf>
    <xf numFmtId="167" fontId="0" fillId="6" borderId="73" xfId="0" applyNumberFormat="1" applyFill="1" applyBorder="1" applyAlignment="1">
      <alignment horizontal="center"/>
    </xf>
    <xf numFmtId="167" fontId="0" fillId="6" borderId="74" xfId="0" applyNumberFormat="1" applyFill="1" applyBorder="1" applyAlignment="1">
      <alignment horizontal="center"/>
    </xf>
    <xf numFmtId="167" fontId="0" fillId="6" borderId="75" xfId="0" applyNumberFormat="1" applyFill="1" applyBorder="1" applyAlignment="1">
      <alignment horizontal="center"/>
    </xf>
    <xf numFmtId="0" fontId="0" fillId="0" borderId="76" xfId="0" applyNumberFormat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3" borderId="76" xfId="0" applyNumberFormat="1" applyFill="1" applyBorder="1" applyAlignment="1">
      <alignment horizontal="center"/>
    </xf>
    <xf numFmtId="49" fontId="0" fillId="3" borderId="77" xfId="0" applyNumberFormat="1" applyFill="1" applyBorder="1"/>
    <xf numFmtId="49" fontId="0" fillId="3" borderId="2" xfId="0" applyNumberFormat="1" applyFill="1" applyBorder="1" applyAlignment="1">
      <alignment horizontal="center"/>
    </xf>
    <xf numFmtId="2" fontId="0" fillId="3" borderId="78" xfId="0" applyNumberFormat="1" applyFill="1" applyBorder="1" applyAlignment="1">
      <alignment horizontal="center"/>
    </xf>
    <xf numFmtId="167" fontId="0" fillId="3" borderId="73" xfId="0" applyNumberFormat="1" applyFill="1" applyBorder="1" applyAlignment="1">
      <alignment horizontal="center"/>
    </xf>
    <xf numFmtId="167" fontId="0" fillId="3" borderId="74" xfId="0" applyNumberFormat="1" applyFill="1" applyBorder="1" applyAlignment="1">
      <alignment horizontal="center"/>
    </xf>
    <xf numFmtId="167" fontId="0" fillId="3" borderId="75" xfId="0" applyNumberFormat="1" applyFill="1" applyBorder="1" applyAlignment="1">
      <alignment horizontal="center"/>
    </xf>
    <xf numFmtId="0" fontId="0" fillId="0" borderId="79" xfId="0" applyNumberFormat="1" applyBorder="1" applyAlignment="1">
      <alignment horizontal="center"/>
    </xf>
    <xf numFmtId="167" fontId="0" fillId="6" borderId="84" xfId="0" applyNumberFormat="1" applyFill="1" applyBorder="1" applyAlignment="1">
      <alignment horizontal="center"/>
    </xf>
    <xf numFmtId="167" fontId="0" fillId="6" borderId="69" xfId="0" applyNumberFormat="1" applyFill="1" applyBorder="1" applyAlignment="1">
      <alignment horizontal="center"/>
    </xf>
    <xf numFmtId="0" fontId="0" fillId="0" borderId="91" xfId="0" applyNumberFormat="1" applyBorder="1" applyAlignment="1">
      <alignment horizontal="center"/>
    </xf>
    <xf numFmtId="49" fontId="0" fillId="0" borderId="92" xfId="0" applyNumberFormat="1" applyBorder="1"/>
    <xf numFmtId="49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57" xfId="0" applyNumberFormat="1" applyBorder="1" applyAlignment="1">
      <alignment horizontal="center"/>
    </xf>
    <xf numFmtId="0" fontId="0" fillId="0" borderId="43" xfId="0" applyNumberFormat="1" applyBorder="1" applyAlignment="1">
      <alignment horizontal="center"/>
    </xf>
    <xf numFmtId="0" fontId="14" fillId="0" borderId="96" xfId="0" applyNumberFormat="1" applyFont="1" applyBorder="1" applyAlignment="1">
      <alignment horizontal="left"/>
    </xf>
    <xf numFmtId="0" fontId="14" fillId="0" borderId="96" xfId="0" applyNumberFormat="1" applyFont="1" applyBorder="1" applyAlignment="1">
      <alignment horizontal="center"/>
    </xf>
    <xf numFmtId="10" fontId="0" fillId="15" borderId="94" xfId="0" applyNumberFormat="1" applyFill="1" applyBorder="1" applyAlignment="1">
      <alignment horizontal="center"/>
    </xf>
    <xf numFmtId="49" fontId="41" fillId="0" borderId="80" xfId="0" applyNumberFormat="1" applyFont="1" applyBorder="1" applyAlignment="1">
      <alignment horizontal="center"/>
    </xf>
    <xf numFmtId="2" fontId="41" fillId="0" borderId="80" xfId="0" applyNumberFormat="1" applyFont="1" applyBorder="1" applyAlignment="1">
      <alignment horizontal="center"/>
    </xf>
    <xf numFmtId="0" fontId="41" fillId="0" borderId="39" xfId="0" applyNumberFormat="1" applyFont="1" applyBorder="1"/>
    <xf numFmtId="10" fontId="41" fillId="0" borderId="67" xfId="0" applyNumberFormat="1" applyFont="1" applyBorder="1" applyAlignment="1">
      <alignment horizontal="center"/>
    </xf>
    <xf numFmtId="167" fontId="41" fillId="3" borderId="82" xfId="0" applyNumberFormat="1" applyFont="1" applyFill="1" applyBorder="1" applyAlignment="1">
      <alignment horizontal="center"/>
    </xf>
    <xf numFmtId="167" fontId="24" fillId="3" borderId="83" xfId="0" applyNumberFormat="1" applyFont="1" applyFill="1" applyBorder="1" applyAlignment="1">
      <alignment horizontal="right"/>
    </xf>
    <xf numFmtId="0" fontId="45" fillId="0" borderId="39" xfId="0" applyNumberFormat="1" applyFont="1" applyBorder="1"/>
    <xf numFmtId="10" fontId="45" fillId="0" borderId="67" xfId="0" applyNumberFormat="1" applyFont="1" applyBorder="1" applyAlignment="1">
      <alignment horizontal="center"/>
    </xf>
    <xf numFmtId="167" fontId="45" fillId="3" borderId="68" xfId="0" applyNumberFormat="1" applyFont="1" applyFill="1" applyBorder="1" applyAlignment="1">
      <alignment horizontal="center"/>
    </xf>
    <xf numFmtId="167" fontId="46" fillId="3" borderId="90" xfId="0" applyNumberFormat="1" applyFont="1" applyFill="1" applyBorder="1" applyAlignment="1">
      <alignment horizontal="right"/>
    </xf>
    <xf numFmtId="49" fontId="41" fillId="0" borderId="68" xfId="0" applyNumberFormat="1" applyFont="1" applyBorder="1"/>
    <xf numFmtId="0" fontId="24" fillId="0" borderId="62" xfId="0" applyNumberFormat="1" applyFont="1" applyBorder="1" applyAlignment="1">
      <alignment horizontal="center"/>
    </xf>
    <xf numFmtId="0" fontId="24" fillId="0" borderId="63" xfId="0" applyNumberFormat="1" applyFont="1" applyBorder="1" applyAlignment="1">
      <alignment horizontal="center"/>
    </xf>
    <xf numFmtId="0" fontId="24" fillId="0" borderId="64" xfId="0" applyNumberFormat="1" applyFont="1" applyBorder="1" applyAlignment="1">
      <alignment horizontal="center"/>
    </xf>
    <xf numFmtId="0" fontId="24" fillId="0" borderId="65" xfId="0" applyNumberFormat="1" applyFont="1" applyBorder="1" applyAlignment="1">
      <alignment horizontal="center"/>
    </xf>
    <xf numFmtId="39" fontId="24" fillId="0" borderId="63" xfId="0" applyNumberFormat="1" applyFont="1" applyBorder="1" applyAlignment="1">
      <alignment horizontal="center"/>
    </xf>
    <xf numFmtId="0" fontId="24" fillId="3" borderId="59" xfId="0" applyNumberFormat="1" applyFont="1" applyFill="1" applyBorder="1" applyAlignment="1">
      <alignment horizontal="center"/>
    </xf>
    <xf numFmtId="0" fontId="24" fillId="0" borderId="66" xfId="0" applyNumberFormat="1" applyFont="1" applyBorder="1" applyAlignment="1">
      <alignment horizontal="center"/>
    </xf>
    <xf numFmtId="0" fontId="24" fillId="3" borderId="87" xfId="0" applyNumberFormat="1" applyFont="1" applyFill="1" applyBorder="1" applyAlignment="1">
      <alignment horizontal="center"/>
    </xf>
    <xf numFmtId="0" fontId="24" fillId="3" borderId="41" xfId="0" applyNumberFormat="1" applyFont="1" applyFill="1" applyBorder="1" applyAlignment="1">
      <alignment horizontal="center"/>
    </xf>
    <xf numFmtId="0" fontId="24" fillId="3" borderId="88" xfId="0" applyNumberFormat="1" applyFont="1" applyFill="1" applyBorder="1" applyAlignment="1">
      <alignment horizontal="center"/>
    </xf>
    <xf numFmtId="0" fontId="47" fillId="0" borderId="58" xfId="0" applyNumberFormat="1" applyFont="1" applyBorder="1"/>
    <xf numFmtId="0" fontId="45" fillId="0" borderId="58" xfId="0" applyNumberFormat="1" applyFont="1" applyBorder="1" applyAlignment="1">
      <alignment horizontal="center"/>
    </xf>
    <xf numFmtId="0" fontId="46" fillId="0" borderId="58" xfId="0" applyNumberFormat="1" applyFont="1" applyBorder="1" applyAlignment="1">
      <alignment horizontal="center"/>
    </xf>
    <xf numFmtId="0" fontId="47" fillId="0" borderId="44" xfId="0" applyNumberFormat="1" applyFont="1" applyBorder="1" applyAlignment="1">
      <alignment horizontal="right"/>
    </xf>
    <xf numFmtId="10" fontId="46" fillId="0" borderId="44" xfId="0" applyNumberFormat="1" applyFont="1" applyBorder="1" applyAlignment="1">
      <alignment horizontal="center"/>
    </xf>
    <xf numFmtId="0" fontId="46" fillId="0" borderId="44" xfId="0" applyNumberFormat="1" applyFont="1" applyBorder="1" applyAlignment="1">
      <alignment horizontal="left"/>
    </xf>
    <xf numFmtId="0" fontId="46" fillId="0" borderId="44" xfId="0" applyNumberFormat="1" applyFont="1" applyBorder="1" applyAlignment="1">
      <alignment horizontal="right"/>
    </xf>
    <xf numFmtId="0" fontId="45" fillId="0" borderId="95" xfId="0" applyNumberFormat="1" applyFont="1" applyBorder="1"/>
    <xf numFmtId="0" fontId="45" fillId="0" borderId="95" xfId="0" applyNumberFormat="1" applyFont="1" applyBorder="1" applyAlignment="1">
      <alignment horizontal="center"/>
    </xf>
    <xf numFmtId="0" fontId="47" fillId="0" borderId="96" xfId="0" applyNumberFormat="1" applyFont="1" applyBorder="1" applyAlignment="1">
      <alignment horizontal="right"/>
    </xf>
    <xf numFmtId="0" fontId="47" fillId="0" borderId="95" xfId="0" applyNumberFormat="1" applyFont="1" applyBorder="1" applyAlignment="1">
      <alignment horizontal="center"/>
    </xf>
    <xf numFmtId="0" fontId="47" fillId="0" borderId="95" xfId="0" applyNumberFormat="1" applyFont="1" applyBorder="1" applyAlignment="1">
      <alignment horizontal="right"/>
    </xf>
    <xf numFmtId="0" fontId="41" fillId="0" borderId="57" xfId="0" applyNumberFormat="1" applyFont="1" applyBorder="1" applyAlignment="1">
      <alignment horizontal="center"/>
    </xf>
    <xf numFmtId="0" fontId="17" fillId="0" borderId="58" xfId="0" applyNumberFormat="1" applyFont="1" applyBorder="1"/>
    <xf numFmtId="0" fontId="41" fillId="0" borderId="43" xfId="0" applyNumberFormat="1" applyFont="1" applyBorder="1" applyAlignment="1">
      <alignment horizontal="center"/>
    </xf>
    <xf numFmtId="0" fontId="17" fillId="0" borderId="96" xfId="0" applyNumberFormat="1" applyFont="1" applyBorder="1" applyAlignment="1">
      <alignment horizontal="left"/>
    </xf>
    <xf numFmtId="0" fontId="17" fillId="0" borderId="96" xfId="0" applyNumberFormat="1" applyFont="1" applyBorder="1" applyAlignment="1">
      <alignment horizontal="center"/>
    </xf>
    <xf numFmtId="167" fontId="45" fillId="3" borderId="55" xfId="0" applyNumberFormat="1" applyFont="1" applyFill="1" applyBorder="1" applyAlignment="1">
      <alignment horizontal="center"/>
    </xf>
    <xf numFmtId="167" fontId="46" fillId="3" borderId="0" xfId="0" applyNumberFormat="1" applyFont="1" applyFill="1" applyBorder="1" applyAlignment="1">
      <alignment horizontal="right"/>
    </xf>
    <xf numFmtId="167" fontId="46" fillId="3" borderId="94" xfId="0" applyNumberFormat="1" applyFont="1" applyFill="1" applyBorder="1" applyAlignment="1">
      <alignment horizontal="right"/>
    </xf>
    <xf numFmtId="167" fontId="46" fillId="3" borderId="95" xfId="0" applyNumberFormat="1" applyFont="1" applyFill="1" applyBorder="1" applyAlignment="1">
      <alignment horizontal="right"/>
    </xf>
    <xf numFmtId="10" fontId="46" fillId="3" borderId="95" xfId="0" applyNumberFormat="1" applyFont="1" applyFill="1" applyBorder="1" applyAlignment="1">
      <alignment horizontal="right"/>
    </xf>
    <xf numFmtId="10" fontId="46" fillId="3" borderId="94" xfId="0" applyNumberFormat="1" applyFont="1" applyFill="1" applyBorder="1" applyAlignment="1">
      <alignment horizontal="right"/>
    </xf>
    <xf numFmtId="0" fontId="41" fillId="0" borderId="79" xfId="0" applyNumberFormat="1" applyFont="1" applyBorder="1" applyAlignment="1">
      <alignment horizontal="center"/>
    </xf>
    <xf numFmtId="0" fontId="41" fillId="3" borderId="57" xfId="0" applyNumberFormat="1" applyFont="1" applyFill="1" applyBorder="1" applyAlignment="1">
      <alignment horizontal="center"/>
    </xf>
    <xf numFmtId="0" fontId="17" fillId="3" borderId="58" xfId="0" applyNumberFormat="1" applyFont="1" applyFill="1" applyBorder="1" applyAlignment="1">
      <alignment horizontal="center"/>
    </xf>
    <xf numFmtId="0" fontId="17" fillId="3" borderId="48" xfId="0" applyNumberFormat="1" applyFont="1" applyFill="1" applyBorder="1" applyAlignment="1">
      <alignment horizontal="center"/>
    </xf>
    <xf numFmtId="0" fontId="17" fillId="3" borderId="48" xfId="0" applyNumberFormat="1" applyFont="1" applyFill="1" applyBorder="1" applyAlignment="1">
      <alignment horizontal="right"/>
    </xf>
    <xf numFmtId="0" fontId="41" fillId="3" borderId="39" xfId="0" applyNumberFormat="1" applyFont="1" applyFill="1" applyBorder="1"/>
    <xf numFmtId="0" fontId="24" fillId="3" borderId="60" xfId="0" applyNumberFormat="1" applyFont="1" applyFill="1" applyBorder="1" applyAlignment="1">
      <alignment horizontal="right"/>
    </xf>
    <xf numFmtId="0" fontId="24" fillId="3" borderId="61" xfId="0" applyNumberFormat="1" applyFont="1" applyFill="1" applyBorder="1" applyAlignment="1">
      <alignment horizontal="center"/>
    </xf>
    <xf numFmtId="0" fontId="24" fillId="3" borderId="67" xfId="0" applyNumberFormat="1" applyFont="1" applyFill="1" applyBorder="1" applyAlignment="1">
      <alignment horizontal="center"/>
    </xf>
    <xf numFmtId="0" fontId="24" fillId="3" borderId="68" xfId="0" applyNumberFormat="1" applyFont="1" applyFill="1" applyBorder="1" applyAlignment="1">
      <alignment horizontal="center"/>
    </xf>
    <xf numFmtId="0" fontId="24" fillId="3" borderId="69" xfId="0" applyNumberFormat="1" applyFont="1" applyFill="1" applyBorder="1" applyAlignment="1">
      <alignment horizontal="center"/>
    </xf>
    <xf numFmtId="49" fontId="0" fillId="0" borderId="70" xfId="0" applyNumberFormat="1" applyBorder="1" applyAlignment="1">
      <alignment horizontal="center"/>
    </xf>
    <xf numFmtId="0" fontId="0" fillId="0" borderId="71" xfId="0" applyNumberFormat="1" applyBorder="1"/>
    <xf numFmtId="0" fontId="0" fillId="0" borderId="77" xfId="0" applyNumberFormat="1" applyBorder="1"/>
    <xf numFmtId="0" fontId="44" fillId="0" borderId="34" xfId="0" applyNumberFormat="1" applyFont="1" applyBorder="1" applyAlignment="1">
      <alignment horizontal="center"/>
    </xf>
    <xf numFmtId="0" fontId="44" fillId="0" borderId="94" xfId="0" applyNumberFormat="1" applyFont="1" applyBorder="1" applyAlignment="1">
      <alignment horizontal="right"/>
    </xf>
    <xf numFmtId="0" fontId="14" fillId="0" borderId="54" xfId="0" applyNumberFormat="1" applyFont="1" applyBorder="1" applyAlignment="1">
      <alignment horizontal="center"/>
    </xf>
    <xf numFmtId="0" fontId="0" fillId="0" borderId="0" xfId="0" applyNumberFormat="1" applyBorder="1"/>
    <xf numFmtId="0" fontId="44" fillId="0" borderId="0" xfId="0" applyNumberFormat="1" applyFont="1" applyBorder="1" applyAlignment="1">
      <alignment horizontal="center"/>
    </xf>
    <xf numFmtId="0" fontId="44" fillId="15" borderId="96" xfId="0" applyNumberFormat="1" applyFont="1" applyFill="1" applyBorder="1" applyAlignment="1">
      <alignment horizontal="center"/>
    </xf>
    <xf numFmtId="0" fontId="44" fillId="15" borderId="95" xfId="0" applyNumberFormat="1" applyFont="1" applyFill="1" applyBorder="1" applyAlignment="1">
      <alignment horizontal="right"/>
    </xf>
    <xf numFmtId="0" fontId="0" fillId="15" borderId="97" xfId="0" applyNumberFormat="1" applyFill="1" applyBorder="1" applyAlignment="1">
      <alignment horizontal="center"/>
    </xf>
    <xf numFmtId="167" fontId="44" fillId="6" borderId="94" xfId="0" applyNumberFormat="1" applyFont="1" applyFill="1" applyBorder="1" applyAlignment="1">
      <alignment horizontal="right"/>
    </xf>
    <xf numFmtId="167" fontId="0" fillId="6" borderId="99" xfId="0" applyNumberFormat="1" applyFill="1" applyBorder="1" applyAlignment="1">
      <alignment horizontal="center"/>
    </xf>
    <xf numFmtId="0" fontId="44" fillId="3" borderId="55" xfId="0" applyNumberFormat="1" applyFont="1" applyFill="1" applyBorder="1" applyAlignment="1">
      <alignment horizontal="center"/>
    </xf>
    <xf numFmtId="0" fontId="44" fillId="3" borderId="84" xfId="0" applyNumberFormat="1" applyFont="1" applyFill="1" applyBorder="1" applyAlignment="1">
      <alignment horizontal="center"/>
    </xf>
    <xf numFmtId="0" fontId="0" fillId="3" borderId="79" xfId="0" applyNumberFormat="1" applyFill="1" applyBorder="1" applyAlignment="1">
      <alignment horizontal="center"/>
    </xf>
    <xf numFmtId="49" fontId="44" fillId="3" borderId="81" xfId="0" applyNumberFormat="1" applyFont="1" applyFill="1" applyBorder="1" applyAlignment="1">
      <alignment horizontal="right"/>
    </xf>
    <xf numFmtId="167" fontId="0" fillId="15" borderId="63" xfId="0" applyNumberFormat="1" applyFill="1" applyBorder="1" applyAlignment="1">
      <alignment horizontal="center"/>
    </xf>
    <xf numFmtId="167" fontId="0" fillId="6" borderId="67" xfId="0" applyNumberFormat="1" applyFill="1" applyBorder="1" applyAlignment="1">
      <alignment horizontal="center"/>
    </xf>
    <xf numFmtId="0" fontId="0" fillId="3" borderId="70" xfId="0" applyNumberFormat="1" applyFill="1" applyBorder="1" applyAlignment="1">
      <alignment horizontal="center"/>
    </xf>
    <xf numFmtId="49" fontId="0" fillId="3" borderId="71" xfId="0" applyNumberFormat="1" applyFill="1" applyBorder="1"/>
    <xf numFmtId="167" fontId="0" fillId="3" borderId="71" xfId="0" applyNumberFormat="1" applyFill="1" applyBorder="1" applyAlignment="1">
      <alignment horizontal="center"/>
    </xf>
    <xf numFmtId="49" fontId="44" fillId="3" borderId="71" xfId="0" applyNumberFormat="1" applyFont="1" applyFill="1" applyBorder="1" applyAlignment="1">
      <alignment horizontal="center"/>
    </xf>
    <xf numFmtId="0" fontId="0" fillId="3" borderId="62" xfId="0" applyNumberFormat="1" applyFill="1" applyBorder="1" applyAlignment="1">
      <alignment horizontal="center"/>
    </xf>
    <xf numFmtId="49" fontId="44" fillId="3" borderId="63" xfId="0" applyNumberFormat="1" applyFont="1" applyFill="1" applyBorder="1" applyAlignment="1">
      <alignment horizontal="right"/>
    </xf>
    <xf numFmtId="167" fontId="0" fillId="3" borderId="100" xfId="0" applyNumberFormat="1" applyFill="1" applyBorder="1" applyAlignment="1">
      <alignment horizontal="center"/>
    </xf>
    <xf numFmtId="0" fontId="0" fillId="0" borderId="101" xfId="0" applyNumberFormat="1" applyBorder="1" applyAlignment="1">
      <alignment horizontal="center"/>
    </xf>
    <xf numFmtId="167" fontId="44" fillId="15" borderId="103" xfId="0" applyNumberFormat="1" applyFont="1" applyFill="1" applyBorder="1" applyAlignment="1">
      <alignment horizontal="center"/>
    </xf>
    <xf numFmtId="167" fontId="44" fillId="6" borderId="93" xfId="0" applyNumberFormat="1" applyFont="1" applyFill="1" applyBorder="1" applyAlignment="1">
      <alignment horizontal="center"/>
    </xf>
    <xf numFmtId="10" fontId="44" fillId="16" borderId="101" xfId="0" applyNumberFormat="1" applyFont="1" applyFill="1" applyBorder="1" applyAlignment="1">
      <alignment horizontal="right"/>
    </xf>
    <xf numFmtId="167" fontId="0" fillId="15" borderId="103" xfId="0" applyNumberFormat="1" applyFill="1" applyBorder="1" applyAlignment="1">
      <alignment horizontal="center"/>
    </xf>
    <xf numFmtId="167" fontId="23" fillId="16" borderId="95" xfId="0" applyNumberFormat="1" applyFont="1" applyFill="1" applyBorder="1" applyAlignment="1">
      <alignment horizontal="center"/>
    </xf>
    <xf numFmtId="167" fontId="23" fillId="6" borderId="93" xfId="0" applyNumberFormat="1" applyFont="1" applyFill="1" applyBorder="1" applyAlignment="1">
      <alignment horizontal="center"/>
    </xf>
    <xf numFmtId="10" fontId="0" fillId="15" borderId="103" xfId="0" applyNumberFormat="1" applyFill="1" applyBorder="1" applyAlignment="1">
      <alignment horizontal="center"/>
    </xf>
    <xf numFmtId="10" fontId="23" fillId="16" borderId="95" xfId="0" applyNumberFormat="1" applyFont="1" applyFill="1" applyBorder="1" applyAlignment="1">
      <alignment horizontal="center"/>
    </xf>
    <xf numFmtId="10" fontId="0" fillId="0" borderId="93" xfId="0" applyNumberFormat="1" applyBorder="1" applyAlignment="1">
      <alignment horizontal="center"/>
    </xf>
    <xf numFmtId="0" fontId="14" fillId="0" borderId="104" xfId="0" applyNumberFormat="1" applyFont="1" applyBorder="1" applyAlignment="1">
      <alignment horizontal="left"/>
    </xf>
    <xf numFmtId="0" fontId="0" fillId="0" borderId="105" xfId="0" applyNumberFormat="1" applyBorder="1"/>
    <xf numFmtId="10" fontId="0" fillId="3" borderId="106" xfId="0" applyNumberFormat="1" applyFill="1" applyBorder="1" applyAlignment="1">
      <alignment horizontal="center"/>
    </xf>
    <xf numFmtId="10" fontId="0" fillId="3" borderId="107" xfId="0" applyNumberFormat="1" applyFill="1" applyBorder="1" applyAlignment="1">
      <alignment horizontal="center"/>
    </xf>
    <xf numFmtId="10" fontId="0" fillId="3" borderId="108" xfId="0" applyNumberFormat="1" applyFill="1" applyBorder="1" applyAlignment="1">
      <alignment horizontal="center"/>
    </xf>
    <xf numFmtId="49" fontId="24" fillId="0" borderId="102" xfId="0" applyNumberFormat="1" applyFont="1" applyBorder="1"/>
    <xf numFmtId="0" fontId="17" fillId="0" borderId="44" xfId="0" applyNumberFormat="1" applyFont="1" applyBorder="1" applyAlignment="1">
      <alignment horizontal="left"/>
    </xf>
    <xf numFmtId="0" fontId="24" fillId="0" borderId="95" xfId="0" applyNumberFormat="1" applyFont="1" applyBorder="1" applyAlignment="1">
      <alignment horizontal="left"/>
    </xf>
    <xf numFmtId="0" fontId="24" fillId="0" borderId="95" xfId="0" applyNumberFormat="1" applyFont="1" applyBorder="1"/>
    <xf numFmtId="0" fontId="0" fillId="16" borderId="71" xfId="0" applyNumberFormat="1" applyFill="1" applyBorder="1"/>
    <xf numFmtId="0" fontId="0" fillId="3" borderId="112" xfId="0" applyFill="1" applyBorder="1"/>
    <xf numFmtId="0" fontId="0" fillId="3" borderId="113" xfId="0" applyFill="1" applyBorder="1"/>
    <xf numFmtId="0" fontId="0" fillId="3" borderId="8" xfId="0" applyFill="1" applyBorder="1"/>
    <xf numFmtId="0" fontId="24" fillId="5" borderId="38" xfId="0" applyFont="1" applyFill="1" applyBorder="1" applyAlignment="1">
      <alignment horizontal="center" vertical="distributed"/>
    </xf>
    <xf numFmtId="0" fontId="24" fillId="5" borderId="114" xfId="0" applyFont="1" applyFill="1" applyBorder="1" applyAlignment="1">
      <alignment horizontal="center" vertical="distributed"/>
    </xf>
    <xf numFmtId="0" fontId="24" fillId="5" borderId="1" xfId="0" applyFont="1" applyFill="1" applyBorder="1" applyAlignment="1">
      <alignment horizontal="center" vertical="distributed"/>
    </xf>
    <xf numFmtId="0" fontId="24" fillId="3" borderId="0" xfId="0" applyFont="1" applyFill="1" applyAlignment="1">
      <alignment horizontal="center" vertical="distributed"/>
    </xf>
    <xf numFmtId="0" fontId="24" fillId="5" borderId="116" xfId="0" applyFont="1" applyFill="1" applyBorder="1" applyAlignment="1">
      <alignment horizontal="center" vertical="distributed"/>
    </xf>
    <xf numFmtId="0" fontId="24" fillId="3" borderId="0" xfId="0" applyFont="1" applyFill="1" applyBorder="1" applyAlignment="1">
      <alignment horizontal="center" vertical="distributed"/>
    </xf>
    <xf numFmtId="0" fontId="24" fillId="3" borderId="39" xfId="0" applyFont="1" applyFill="1" applyBorder="1" applyAlignment="1">
      <alignment horizontal="center" vertical="distributed"/>
    </xf>
    <xf numFmtId="0" fontId="0" fillId="3" borderId="120" xfId="0" applyFill="1" applyBorder="1"/>
    <xf numFmtId="0" fontId="0" fillId="3" borderId="39" xfId="0" applyFill="1" applyBorder="1"/>
    <xf numFmtId="0" fontId="0" fillId="3" borderId="117" xfId="0" applyFill="1" applyBorder="1"/>
    <xf numFmtId="0" fontId="0" fillId="17" borderId="2" xfId="0" applyFill="1" applyBorder="1" applyAlignment="1">
      <alignment horizontal="center"/>
    </xf>
    <xf numFmtId="9" fontId="0" fillId="17" borderId="2" xfId="4" applyFont="1" applyFill="1" applyBorder="1" applyAlignment="1">
      <alignment horizontal="center"/>
    </xf>
    <xf numFmtId="170" fontId="0" fillId="18" borderId="2" xfId="0" applyNumberFormat="1" applyFill="1" applyBorder="1"/>
    <xf numFmtId="171" fontId="0" fillId="17" borderId="2" xfId="0" applyNumberFormat="1" applyFill="1" applyBorder="1" applyAlignment="1">
      <alignment horizontal="center"/>
    </xf>
    <xf numFmtId="0" fontId="0" fillId="3" borderId="38" xfId="0" applyFill="1" applyBorder="1"/>
    <xf numFmtId="0" fontId="0" fillId="3" borderId="1" xfId="0" applyFill="1" applyBorder="1"/>
    <xf numFmtId="0" fontId="0" fillId="3" borderId="115" xfId="0" applyFill="1" applyBorder="1"/>
    <xf numFmtId="168" fontId="0" fillId="19" borderId="126" xfId="0" applyNumberFormat="1" applyFill="1" applyBorder="1"/>
    <xf numFmtId="168" fontId="0" fillId="19" borderId="7" xfId="0" applyNumberFormat="1" applyFill="1" applyBorder="1"/>
    <xf numFmtId="0" fontId="0" fillId="0" borderId="0" xfId="0" applyFill="1"/>
    <xf numFmtId="0" fontId="0" fillId="3" borderId="127" xfId="0" applyFill="1" applyBorder="1"/>
    <xf numFmtId="168" fontId="0" fillId="3" borderId="127" xfId="0" applyNumberFormat="1" applyFill="1" applyBorder="1"/>
    <xf numFmtId="168" fontId="0" fillId="17" borderId="128" xfId="0" applyNumberFormat="1" applyFill="1" applyBorder="1"/>
    <xf numFmtId="168" fontId="0" fillId="3" borderId="5" xfId="0" applyNumberFormat="1" applyFill="1" applyBorder="1"/>
    <xf numFmtId="168" fontId="0" fillId="17" borderId="127" xfId="0" applyNumberFormat="1" applyFill="1" applyBorder="1"/>
    <xf numFmtId="168" fontId="0" fillId="17" borderId="5" xfId="0" applyNumberFormat="1" applyFill="1" applyBorder="1"/>
    <xf numFmtId="168" fontId="0" fillId="3" borderId="128" xfId="0" applyNumberFormat="1" applyFill="1" applyBorder="1"/>
    <xf numFmtId="169" fontId="0" fillId="3" borderId="127" xfId="0" applyNumberFormat="1" applyFill="1" applyBorder="1" applyAlignment="1">
      <alignment horizontal="center"/>
    </xf>
    <xf numFmtId="0" fontId="0" fillId="3" borderId="7" xfId="0" applyFill="1" applyBorder="1"/>
    <xf numFmtId="171" fontId="0" fillId="17" borderId="129" xfId="0" applyNumberFormat="1" applyFill="1" applyBorder="1" applyAlignment="1">
      <alignment horizontal="center"/>
    </xf>
    <xf numFmtId="169" fontId="0" fillId="3" borderId="129" xfId="0" applyNumberForma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127" xfId="0" applyFill="1" applyBorder="1" applyAlignment="1">
      <alignment horizontal="center"/>
    </xf>
    <xf numFmtId="0" fontId="0" fillId="17" borderId="128" xfId="0" applyFill="1" applyBorder="1" applyAlignment="1">
      <alignment horizontal="center"/>
    </xf>
    <xf numFmtId="0" fontId="0" fillId="17" borderId="129" xfId="0" applyFill="1" applyBorder="1" applyAlignment="1">
      <alignment horizontal="center"/>
    </xf>
    <xf numFmtId="0" fontId="46" fillId="20" borderId="2" xfId="0" applyFont="1" applyFill="1" applyBorder="1"/>
    <xf numFmtId="0" fontId="50" fillId="20" borderId="2" xfId="0" applyFont="1" applyFill="1" applyBorder="1" applyAlignment="1">
      <alignment horizontal="center" vertical="center" wrapText="1"/>
    </xf>
    <xf numFmtId="0" fontId="50" fillId="20" borderId="2" xfId="0" applyFont="1" applyFill="1" applyBorder="1" applyAlignment="1">
      <alignment horizontal="center" vertical="center"/>
    </xf>
    <xf numFmtId="170" fontId="24" fillId="20" borderId="2" xfId="0" applyNumberFormat="1" applyFont="1" applyFill="1" applyBorder="1"/>
    <xf numFmtId="169" fontId="24" fillId="20" borderId="2" xfId="0" applyNumberFormat="1" applyFont="1" applyFill="1" applyBorder="1" applyAlignment="1">
      <alignment horizontal="center"/>
    </xf>
    <xf numFmtId="0" fontId="50" fillId="20" borderId="26" xfId="0" applyFont="1" applyFill="1" applyBorder="1" applyAlignment="1">
      <alignment horizontal="center" vertical="center" wrapText="1"/>
    </xf>
    <xf numFmtId="0" fontId="24" fillId="20" borderId="2" xfId="0" applyFont="1" applyFill="1" applyBorder="1" applyAlignment="1">
      <alignment horizontal="center"/>
    </xf>
    <xf numFmtId="0" fontId="24" fillId="20" borderId="2" xfId="0" applyFont="1" applyFill="1" applyBorder="1" applyAlignment="1">
      <alignment horizontal="center" vertical="center"/>
    </xf>
    <xf numFmtId="10" fontId="0" fillId="20" borderId="130" xfId="4" applyNumberFormat="1" applyFont="1" applyFill="1" applyBorder="1" applyAlignment="1">
      <alignment horizontal="center"/>
    </xf>
    <xf numFmtId="165" fontId="51" fillId="0" borderId="7" xfId="0" applyNumberFormat="1" applyFont="1" applyBorder="1" applyAlignment="1">
      <alignment horizontal="center"/>
    </xf>
    <xf numFmtId="2" fontId="51" fillId="18" borderId="7" xfId="0" applyNumberFormat="1" applyFont="1" applyFill="1" applyBorder="1" applyAlignment="1">
      <alignment horizontal="center"/>
    </xf>
    <xf numFmtId="2" fontId="51" fillId="21" borderId="7" xfId="0" applyNumberFormat="1" applyFont="1" applyFill="1" applyBorder="1" applyAlignment="1">
      <alignment horizontal="center"/>
    </xf>
    <xf numFmtId="165" fontId="51" fillId="21" borderId="7" xfId="4" applyNumberFormat="1" applyFont="1" applyFill="1" applyBorder="1" applyAlignment="1">
      <alignment horizontal="center"/>
    </xf>
    <xf numFmtId="2" fontId="51" fillId="18" borderId="2" xfId="0" applyNumberFormat="1" applyFont="1" applyFill="1" applyBorder="1" applyAlignment="1">
      <alignment horizontal="center"/>
    </xf>
    <xf numFmtId="173" fontId="51" fillId="21" borderId="7" xfId="0" applyNumberFormat="1" applyFont="1" applyFill="1" applyBorder="1" applyAlignment="1">
      <alignment horizontal="center"/>
    </xf>
    <xf numFmtId="170" fontId="0" fillId="17" borderId="2" xfId="0" applyNumberFormat="1" applyFill="1" applyBorder="1" applyAlignment="1">
      <alignment horizontal="center"/>
    </xf>
    <xf numFmtId="169" fontId="21" fillId="3" borderId="2" xfId="0" applyNumberFormat="1" applyFont="1" applyFill="1" applyBorder="1" applyAlignment="1">
      <alignment horizontal="center"/>
    </xf>
    <xf numFmtId="2" fontId="51" fillId="21" borderId="4" xfId="0" applyNumberFormat="1" applyFont="1" applyFill="1" applyBorder="1" applyAlignment="1">
      <alignment horizontal="center"/>
    </xf>
    <xf numFmtId="2" fontId="51" fillId="21" borderId="2" xfId="0" applyNumberFormat="1" applyFont="1" applyFill="1" applyBorder="1" applyAlignment="1">
      <alignment horizontal="center"/>
    </xf>
    <xf numFmtId="173" fontId="51" fillId="21" borderId="2" xfId="0" applyNumberFormat="1" applyFont="1" applyFill="1" applyBorder="1" applyAlignment="1">
      <alignment horizontal="center"/>
    </xf>
    <xf numFmtId="172" fontId="0" fillId="17" borderId="27" xfId="2" applyNumberFormat="1" applyFont="1" applyFill="1" applyBorder="1" applyAlignment="1">
      <alignment horizontal="center"/>
    </xf>
    <xf numFmtId="172" fontId="0" fillId="17" borderId="2" xfId="2" applyNumberFormat="1" applyFont="1" applyFill="1" applyBorder="1" applyAlignment="1">
      <alignment horizontal="center"/>
    </xf>
    <xf numFmtId="170" fontId="0" fillId="18" borderId="2" xfId="0" applyNumberFormat="1" applyFill="1" applyBorder="1" applyAlignment="1">
      <alignment horizontal="center"/>
    </xf>
    <xf numFmtId="10" fontId="0" fillId="17" borderId="130" xfId="4" applyNumberFormat="1" applyFont="1" applyFill="1" applyBorder="1" applyAlignment="1">
      <alignment horizontal="center"/>
    </xf>
    <xf numFmtId="0" fontId="0" fillId="3" borderId="131" xfId="0" applyFill="1" applyBorder="1"/>
    <xf numFmtId="170" fontId="0" fillId="3" borderId="2" xfId="0" applyNumberFormat="1" applyFill="1" applyBorder="1" applyAlignment="1">
      <alignment horizontal="center"/>
    </xf>
    <xf numFmtId="170" fontId="0" fillId="17" borderId="7" xfId="0" applyNumberFormat="1" applyFill="1" applyBorder="1" applyAlignment="1">
      <alignment horizontal="center"/>
    </xf>
    <xf numFmtId="170" fontId="0" fillId="17" borderId="26" xfId="0" applyNumberFormat="1" applyFill="1" applyBorder="1" applyAlignment="1">
      <alignment horizontal="center"/>
    </xf>
    <xf numFmtId="0" fontId="24" fillId="3" borderId="0" xfId="0" applyFont="1" applyFill="1"/>
    <xf numFmtId="0" fontId="0" fillId="3" borderId="132" xfId="0" applyFill="1" applyBorder="1"/>
    <xf numFmtId="168" fontId="0" fillId="3" borderId="132" xfId="0" applyNumberFormat="1" applyFill="1" applyBorder="1"/>
    <xf numFmtId="168" fontId="0" fillId="17" borderId="133" xfId="0" applyNumberFormat="1" applyFill="1" applyBorder="1"/>
    <xf numFmtId="168" fontId="0" fillId="3" borderId="134" xfId="0" applyNumberFormat="1" applyFill="1" applyBorder="1"/>
    <xf numFmtId="168" fontId="0" fillId="3" borderId="135" xfId="0" applyNumberFormat="1" applyFill="1" applyBorder="1"/>
    <xf numFmtId="168" fontId="0" fillId="17" borderId="132" xfId="0" applyNumberFormat="1" applyFill="1" applyBorder="1"/>
    <xf numFmtId="168" fontId="0" fillId="17" borderId="135" xfId="0" applyNumberFormat="1" applyFill="1" applyBorder="1"/>
    <xf numFmtId="168" fontId="0" fillId="3" borderId="133" xfId="0" applyNumberFormat="1" applyFill="1" applyBorder="1"/>
    <xf numFmtId="169" fontId="0" fillId="3" borderId="132" xfId="0" applyNumberFormat="1" applyFill="1" applyBorder="1" applyAlignment="1">
      <alignment horizontal="center"/>
    </xf>
    <xf numFmtId="0" fontId="0" fillId="3" borderId="2" xfId="0" applyFill="1" applyBorder="1"/>
    <xf numFmtId="170" fontId="0" fillId="3" borderId="2" xfId="3" applyNumberFormat="1" applyFont="1" applyFill="1" applyBorder="1" applyAlignment="1">
      <alignment vertical="center"/>
    </xf>
    <xf numFmtId="169" fontId="0" fillId="3" borderId="2" xfId="0" applyNumberFormat="1" applyFill="1" applyBorder="1" applyAlignment="1">
      <alignment horizontal="center"/>
    </xf>
    <xf numFmtId="0" fontId="0" fillId="17" borderId="135" xfId="0" applyFill="1" applyBorder="1" applyAlignment="1">
      <alignment horizontal="center"/>
    </xf>
    <xf numFmtId="0" fontId="0" fillId="17" borderId="132" xfId="0" applyFill="1" applyBorder="1" applyAlignment="1">
      <alignment horizontal="center"/>
    </xf>
    <xf numFmtId="0" fontId="0" fillId="17" borderId="133" xfId="0" applyFill="1" applyBorder="1" applyAlignment="1">
      <alignment horizontal="center"/>
    </xf>
    <xf numFmtId="0" fontId="0" fillId="17" borderId="134" xfId="0" applyFill="1" applyBorder="1" applyAlignment="1">
      <alignment horizontal="center"/>
    </xf>
    <xf numFmtId="171" fontId="0" fillId="17" borderId="134" xfId="0" applyNumberFormat="1" applyFill="1" applyBorder="1" applyAlignment="1">
      <alignment horizontal="center"/>
    </xf>
    <xf numFmtId="10" fontId="0" fillId="17" borderId="134" xfId="4" applyNumberFormat="1" applyFont="1" applyFill="1" applyBorder="1" applyAlignment="1">
      <alignment horizontal="center"/>
    </xf>
    <xf numFmtId="0" fontId="0" fillId="3" borderId="136" xfId="0" applyFill="1" applyBorder="1"/>
    <xf numFmtId="0" fontId="0" fillId="3" borderId="137" xfId="0" applyFill="1" applyBorder="1"/>
    <xf numFmtId="0" fontId="0" fillId="3" borderId="118" xfId="0" applyFill="1" applyBorder="1"/>
    <xf numFmtId="0" fontId="24" fillId="3" borderId="0" xfId="0" applyFont="1" applyFill="1" applyBorder="1"/>
    <xf numFmtId="0" fontId="46" fillId="5" borderId="52" xfId="0" applyFont="1" applyFill="1" applyBorder="1"/>
    <xf numFmtId="0" fontId="46" fillId="5" borderId="53" xfId="0" applyFont="1" applyFill="1" applyBorder="1" applyAlignment="1">
      <alignment horizontal="right"/>
    </xf>
    <xf numFmtId="0" fontId="52" fillId="3" borderId="0" xfId="0" applyFont="1" applyFill="1" applyBorder="1"/>
    <xf numFmtId="0" fontId="46" fillId="3" borderId="0" xfId="0" applyFont="1" applyFill="1" applyBorder="1"/>
    <xf numFmtId="0" fontId="46" fillId="3" borderId="0" xfId="0" applyFont="1" applyFill="1" applyBorder="1" applyAlignment="1">
      <alignment horizontal="right"/>
    </xf>
    <xf numFmtId="170" fontId="52" fillId="3" borderId="0" xfId="0" applyNumberFormat="1" applyFont="1" applyFill="1" applyBorder="1" applyAlignment="1">
      <alignment horizontal="center"/>
    </xf>
    <xf numFmtId="170" fontId="52" fillId="3" borderId="0" xfId="0" applyNumberFormat="1" applyFont="1" applyFill="1" applyBorder="1"/>
    <xf numFmtId="10" fontId="52" fillId="3" borderId="116" xfId="4" applyNumberFormat="1" applyFont="1" applyFill="1" applyBorder="1" applyAlignment="1">
      <alignment horizontal="center"/>
    </xf>
    <xf numFmtId="0" fontId="53" fillId="23" borderId="124" xfId="0" applyFont="1" applyFill="1" applyBorder="1"/>
    <xf numFmtId="170" fontId="53" fillId="23" borderId="125" xfId="0" applyNumberFormat="1" applyFont="1" applyFill="1" applyBorder="1"/>
    <xf numFmtId="9" fontId="24" fillId="23" borderId="138" xfId="4" applyFont="1" applyFill="1" applyBorder="1"/>
    <xf numFmtId="170" fontId="0" fillId="0" borderId="0" xfId="0" applyNumberFormat="1" applyFill="1" applyBorder="1"/>
    <xf numFmtId="0" fontId="0" fillId="0" borderId="117" xfId="0" applyFill="1" applyBorder="1"/>
    <xf numFmtId="10" fontId="46" fillId="17" borderId="116" xfId="4" applyNumberFormat="1" applyFont="1" applyFill="1" applyBorder="1" applyAlignment="1">
      <alignment horizontal="center"/>
    </xf>
    <xf numFmtId="0" fontId="0" fillId="23" borderId="139" xfId="0" applyFill="1" applyBorder="1"/>
    <xf numFmtId="170" fontId="0" fillId="23" borderId="140" xfId="0" applyNumberFormat="1" applyFill="1" applyBorder="1"/>
    <xf numFmtId="9" fontId="0" fillId="23" borderId="141" xfId="4" applyFont="1" applyFill="1" applyBorder="1"/>
    <xf numFmtId="0" fontId="0" fillId="23" borderId="142" xfId="0" applyFill="1" applyBorder="1"/>
    <xf numFmtId="170" fontId="0" fillId="23" borderId="8" xfId="0" applyNumberFormat="1" applyFill="1" applyBorder="1"/>
    <xf numFmtId="9" fontId="0" fillId="23" borderId="143" xfId="4" applyFont="1" applyFill="1" applyBorder="1"/>
    <xf numFmtId="0" fontId="46" fillId="5" borderId="52" xfId="0" applyFont="1" applyFill="1" applyBorder="1" applyAlignment="1">
      <alignment horizontal="right"/>
    </xf>
    <xf numFmtId="0" fontId="0" fillId="23" borderId="124" xfId="0" applyFill="1" applyBorder="1"/>
    <xf numFmtId="170" fontId="0" fillId="23" borderId="125" xfId="0" applyNumberFormat="1" applyFill="1" applyBorder="1"/>
    <xf numFmtId="9" fontId="0" fillId="23" borderId="138" xfId="4" applyFont="1" applyFill="1" applyBorder="1"/>
    <xf numFmtId="170" fontId="0" fillId="3" borderId="0" xfId="0" applyNumberFormat="1" applyFill="1" applyBorder="1"/>
    <xf numFmtId="0" fontId="24" fillId="23" borderId="124" xfId="0" applyFont="1" applyFill="1" applyBorder="1"/>
    <xf numFmtId="170" fontId="24" fillId="23" borderId="125" xfId="0" applyNumberFormat="1" applyFont="1" applyFill="1" applyBorder="1"/>
    <xf numFmtId="9" fontId="0" fillId="0" borderId="117" xfId="4" applyFont="1" applyFill="1" applyBorder="1"/>
    <xf numFmtId="0" fontId="0" fillId="23" borderId="131" xfId="0" applyFill="1" applyBorder="1"/>
    <xf numFmtId="170" fontId="0" fillId="23" borderId="2" xfId="0" applyNumberFormat="1" applyFill="1" applyBorder="1"/>
    <xf numFmtId="9" fontId="0" fillId="23" borderId="130" xfId="4" applyFont="1" applyFill="1" applyBorder="1"/>
    <xf numFmtId="0" fontId="46" fillId="5" borderId="52" xfId="0" applyFont="1" applyFill="1" applyBorder="1" applyAlignment="1">
      <alignment horizontal="center" vertical="distributed"/>
    </xf>
    <xf numFmtId="0" fontId="46" fillId="5" borderId="116" xfId="0" applyFont="1" applyFill="1" applyBorder="1" applyAlignment="1">
      <alignment horizontal="center" vertical="distributed"/>
    </xf>
    <xf numFmtId="0" fontId="24" fillId="23" borderId="131" xfId="0" applyFont="1" applyFill="1" applyBorder="1"/>
    <xf numFmtId="170" fontId="24" fillId="23" borderId="2" xfId="0" applyNumberFormat="1" applyFont="1" applyFill="1" applyBorder="1"/>
    <xf numFmtId="0" fontId="46" fillId="5" borderId="120" xfId="0" applyFont="1" applyFill="1" applyBorder="1"/>
    <xf numFmtId="168" fontId="52" fillId="17" borderId="120" xfId="0" applyNumberFormat="1" applyFont="1" applyFill="1" applyBorder="1" applyAlignment="1">
      <alignment horizontal="center"/>
    </xf>
    <xf numFmtId="171" fontId="52" fillId="17" borderId="121" xfId="0" applyNumberFormat="1" applyFont="1" applyFill="1" applyBorder="1" applyAlignment="1">
      <alignment horizontal="center"/>
    </xf>
    <xf numFmtId="171" fontId="46" fillId="22" borderId="145" xfId="0" applyNumberFormat="1" applyFont="1" applyFill="1" applyBorder="1" applyAlignment="1">
      <alignment horizontal="center"/>
    </xf>
    <xf numFmtId="174" fontId="46" fillId="6" borderId="146" xfId="3" applyNumberFormat="1" applyFont="1" applyFill="1" applyBorder="1"/>
    <xf numFmtId="0" fontId="24" fillId="23" borderId="131" xfId="0" applyFont="1" applyFill="1" applyBorder="1" applyAlignment="1">
      <alignment wrapText="1"/>
    </xf>
    <xf numFmtId="0" fontId="0" fillId="23" borderId="112" xfId="0" applyFill="1" applyBorder="1"/>
    <xf numFmtId="170" fontId="0" fillId="23" borderId="113" xfId="0" applyNumberFormat="1" applyFill="1" applyBorder="1"/>
    <xf numFmtId="9" fontId="0" fillId="23" borderId="147" xfId="4" applyFont="1" applyFill="1" applyBorder="1"/>
    <xf numFmtId="168" fontId="52" fillId="17" borderId="122" xfId="0" applyNumberFormat="1" applyFont="1" applyFill="1" applyBorder="1" applyAlignment="1">
      <alignment horizontal="center"/>
    </xf>
    <xf numFmtId="171" fontId="46" fillId="22" borderId="148" xfId="0" applyNumberFormat="1" applyFont="1" applyFill="1" applyBorder="1" applyAlignment="1">
      <alignment horizontal="center"/>
    </xf>
    <xf numFmtId="168" fontId="54" fillId="24" borderId="52" xfId="0" applyNumberFormat="1" applyFont="1" applyFill="1" applyBorder="1" applyAlignment="1">
      <alignment horizontal="center"/>
    </xf>
    <xf numFmtId="171" fontId="54" fillId="24" borderId="116" xfId="0" applyNumberFormat="1" applyFont="1" applyFill="1" applyBorder="1" applyAlignment="1">
      <alignment horizontal="center"/>
    </xf>
    <xf numFmtId="171" fontId="54" fillId="24" borderId="53" xfId="0" applyNumberFormat="1" applyFont="1" applyFill="1" applyBorder="1" applyAlignment="1">
      <alignment horizontal="center"/>
    </xf>
    <xf numFmtId="0" fontId="54" fillId="24" borderId="44" xfId="0" applyFont="1" applyFill="1" applyBorder="1"/>
    <xf numFmtId="174" fontId="54" fillId="24" borderId="116" xfId="3" applyNumberFormat="1" applyFont="1" applyFill="1" applyBorder="1"/>
    <xf numFmtId="171" fontId="52" fillId="3" borderId="0" xfId="0" applyNumberFormat="1" applyFont="1" applyFill="1" applyBorder="1"/>
    <xf numFmtId="174" fontId="0" fillId="3" borderId="0" xfId="0" applyNumberFormat="1" applyFill="1" applyBorder="1"/>
    <xf numFmtId="168" fontId="52" fillId="17" borderId="127" xfId="0" applyNumberFormat="1" applyFont="1" applyFill="1" applyBorder="1" applyAlignment="1">
      <alignment horizontal="center"/>
    </xf>
    <xf numFmtId="171" fontId="52" fillId="17" borderId="128" xfId="0" applyNumberFormat="1" applyFont="1" applyFill="1" applyBorder="1" applyAlignment="1">
      <alignment horizontal="center"/>
    </xf>
    <xf numFmtId="171" fontId="46" fillId="22" borderId="129" xfId="0" applyNumberFormat="1" applyFont="1" applyFill="1" applyBorder="1" applyAlignment="1">
      <alignment horizontal="center"/>
    </xf>
    <xf numFmtId="0" fontId="55" fillId="24" borderId="44" xfId="0" applyFont="1" applyFill="1" applyBorder="1"/>
    <xf numFmtId="0" fontId="46" fillId="5" borderId="132" xfId="0" applyFont="1" applyFill="1" applyBorder="1"/>
    <xf numFmtId="168" fontId="52" fillId="17" borderId="132" xfId="0" applyNumberFormat="1" applyFont="1" applyFill="1" applyBorder="1" applyAlignment="1">
      <alignment horizontal="center"/>
    </xf>
    <xf numFmtId="171" fontId="52" fillId="17" borderId="133" xfId="0" applyNumberFormat="1" applyFont="1" applyFill="1" applyBorder="1" applyAlignment="1">
      <alignment horizontal="center"/>
    </xf>
    <xf numFmtId="171" fontId="46" fillId="22" borderId="134" xfId="0" applyNumberFormat="1" applyFont="1" applyFill="1" applyBorder="1" applyAlignment="1">
      <alignment horizontal="center"/>
    </xf>
    <xf numFmtId="174" fontId="46" fillId="6" borderId="114" xfId="3" applyNumberFormat="1" applyFont="1" applyFill="1" applyBorder="1"/>
    <xf numFmtId="174" fontId="46" fillId="3" borderId="0" xfId="3" applyNumberFormat="1" applyFont="1" applyFill="1" applyBorder="1"/>
    <xf numFmtId="0" fontId="46" fillId="0" borderId="1" xfId="0" applyFont="1" applyFill="1" applyBorder="1" applyAlignment="1">
      <alignment horizontal="center"/>
    </xf>
    <xf numFmtId="168" fontId="46" fillId="0" borderId="1" xfId="0" applyNumberFormat="1" applyFont="1" applyFill="1" applyBorder="1" applyAlignment="1">
      <alignment horizontal="center"/>
    </xf>
    <xf numFmtId="0" fontId="52" fillId="0" borderId="1" xfId="0" applyFont="1" applyFill="1" applyBorder="1"/>
    <xf numFmtId="174" fontId="46" fillId="0" borderId="1" xfId="3" applyNumberFormat="1" applyFont="1" applyFill="1" applyBorder="1"/>
    <xf numFmtId="0" fontId="52" fillId="3" borderId="1" xfId="0" applyFont="1" applyFill="1" applyBorder="1"/>
    <xf numFmtId="0" fontId="52" fillId="3" borderId="0" xfId="0" applyFont="1" applyFill="1"/>
    <xf numFmtId="168" fontId="52" fillId="17" borderId="121" xfId="0" applyNumberFormat="1" applyFont="1" applyFill="1" applyBorder="1" applyAlignment="1">
      <alignment horizontal="center"/>
    </xf>
    <xf numFmtId="0" fontId="40" fillId="0" borderId="0" xfId="1" applyAlignment="1" applyProtection="1"/>
    <xf numFmtId="10" fontId="46" fillId="22" borderId="52" xfId="4" applyNumberFormat="1" applyFont="1" applyFill="1" applyBorder="1" applyAlignment="1"/>
    <xf numFmtId="10" fontId="46" fillId="22" borderId="44" xfId="4" applyNumberFormat="1" applyFont="1" applyFill="1" applyBorder="1" applyAlignment="1"/>
    <xf numFmtId="10" fontId="46" fillId="22" borderId="53" xfId="4" applyNumberFormat="1" applyFont="1" applyFill="1" applyBorder="1" applyAlignment="1"/>
    <xf numFmtId="0" fontId="24" fillId="3" borderId="55" xfId="0" applyNumberFormat="1" applyFont="1" applyFill="1" applyBorder="1" applyAlignment="1">
      <alignment horizontal="center"/>
    </xf>
    <xf numFmtId="167" fontId="41" fillId="3" borderId="0" xfId="0" applyNumberFormat="1" applyFont="1" applyFill="1" applyBorder="1" applyAlignment="1">
      <alignment horizontal="center"/>
    </xf>
    <xf numFmtId="167" fontId="0" fillId="6" borderId="2" xfId="0" applyNumberFormat="1" applyFill="1" applyBorder="1" applyAlignment="1">
      <alignment horizontal="center"/>
    </xf>
    <xf numFmtId="170" fontId="0" fillId="6" borderId="75" xfId="0" applyNumberFormat="1" applyFill="1" applyBorder="1" applyAlignment="1">
      <alignment horizontal="center"/>
    </xf>
    <xf numFmtId="170" fontId="0" fillId="6" borderId="84" xfId="0" applyNumberFormat="1" applyFill="1" applyBorder="1" applyAlignment="1">
      <alignment horizontal="center"/>
    </xf>
    <xf numFmtId="164" fontId="1" fillId="11" borderId="2" xfId="2" applyFont="1" applyFill="1" applyBorder="1"/>
    <xf numFmtId="164" fontId="1" fillId="12" borderId="2" xfId="2" applyFont="1" applyFill="1" applyBorder="1"/>
    <xf numFmtId="0" fontId="0" fillId="0" borderId="2" xfId="0" applyBorder="1" applyAlignment="1"/>
    <xf numFmtId="0" fontId="0" fillId="0" borderId="139" xfId="0" applyBorder="1"/>
    <xf numFmtId="0" fontId="0" fillId="0" borderId="140" xfId="0" applyBorder="1"/>
    <xf numFmtId="165" fontId="0" fillId="0" borderId="140" xfId="0" applyNumberFormat="1" applyBorder="1"/>
    <xf numFmtId="0" fontId="1" fillId="11" borderId="140" xfId="0" applyFont="1" applyFill="1" applyBorder="1" applyAlignment="1">
      <alignment horizontal="center" vertical="center" wrapText="1"/>
    </xf>
    <xf numFmtId="0" fontId="1" fillId="12" borderId="140" xfId="0" applyFont="1" applyFill="1" applyBorder="1" applyAlignment="1">
      <alignment horizontal="center" vertical="center" wrapText="1"/>
    </xf>
    <xf numFmtId="0" fontId="1" fillId="13" borderId="141" xfId="0" applyFont="1" applyFill="1" applyBorder="1" applyAlignment="1">
      <alignment horizontal="center" vertical="center" wrapText="1"/>
    </xf>
    <xf numFmtId="0" fontId="0" fillId="0" borderId="131" xfId="0" applyBorder="1"/>
    <xf numFmtId="164" fontId="1" fillId="13" borderId="130" xfId="2" applyFont="1" applyFill="1" applyBorder="1" applyAlignment="1">
      <alignment wrapText="1"/>
    </xf>
    <xf numFmtId="0" fontId="0" fillId="0" borderId="112" xfId="0" applyBorder="1"/>
    <xf numFmtId="0" fontId="0" fillId="0" borderId="113" xfId="0" applyBorder="1"/>
    <xf numFmtId="0" fontId="0" fillId="19" borderId="113" xfId="0" applyFill="1" applyBorder="1"/>
    <xf numFmtId="164" fontId="0" fillId="19" borderId="113" xfId="2" applyFont="1" applyFill="1" applyBorder="1"/>
    <xf numFmtId="164" fontId="0" fillId="19" borderId="147" xfId="2" applyFont="1" applyFill="1" applyBorder="1"/>
    <xf numFmtId="0" fontId="57" fillId="0" borderId="140" xfId="0" applyFont="1" applyBorder="1"/>
    <xf numFmtId="0" fontId="0" fillId="0" borderId="19" xfId="0" applyFill="1" applyBorder="1" applyAlignment="1" applyProtection="1">
      <alignment horizontal="right"/>
      <protection locked="0"/>
    </xf>
    <xf numFmtId="0" fontId="0" fillId="0" borderId="21" xfId="0" applyNumberFormat="1" applyFill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21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alignment vertical="top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33" fillId="0" borderId="0" xfId="0" applyFont="1" applyProtection="1">
      <protection locked="0"/>
    </xf>
    <xf numFmtId="166" fontId="33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4" fontId="5" fillId="0" borderId="0" xfId="0" applyNumberFormat="1" applyFont="1" applyProtection="1">
      <protection locked="0"/>
    </xf>
    <xf numFmtId="1" fontId="13" fillId="0" borderId="12" xfId="0" applyNumberFormat="1" applyFont="1" applyBorder="1" applyAlignment="1" applyProtection="1">
      <alignment horizontal="center"/>
      <protection locked="0"/>
    </xf>
    <xf numFmtId="1" fontId="13" fillId="14" borderId="12" xfId="0" applyNumberFormat="1" applyFont="1" applyFill="1" applyBorder="1" applyAlignment="1" applyProtection="1">
      <alignment vertical="top" wrapText="1"/>
      <protection locked="0"/>
    </xf>
    <xf numFmtId="1" fontId="21" fillId="14" borderId="13" xfId="0" applyNumberFormat="1" applyFont="1" applyFill="1" applyBorder="1" applyAlignment="1" applyProtection="1">
      <alignment vertical="top" wrapText="1"/>
      <protection locked="0"/>
    </xf>
    <xf numFmtId="1" fontId="13" fillId="0" borderId="14" xfId="0" applyNumberFormat="1" applyFont="1" applyBorder="1" applyAlignment="1" applyProtection="1">
      <alignment horizontal="center"/>
      <protection locked="0"/>
    </xf>
    <xf numFmtId="1" fontId="21" fillId="14" borderId="10" xfId="0" applyNumberFormat="1" applyFont="1" applyFill="1" applyBorder="1" applyAlignment="1" applyProtection="1">
      <alignment vertical="top" wrapText="1"/>
      <protection locked="0"/>
    </xf>
    <xf numFmtId="1" fontId="13" fillId="0" borderId="15" xfId="0" applyNumberFormat="1" applyFont="1" applyBorder="1" applyAlignment="1" applyProtection="1">
      <alignment horizontal="center"/>
      <protection locked="0"/>
    </xf>
    <xf numFmtId="1" fontId="24" fillId="14" borderId="10" xfId="0" applyNumberFormat="1" applyFont="1" applyFill="1" applyBorder="1" applyAlignment="1" applyProtection="1">
      <alignment vertical="top" wrapText="1"/>
      <protection locked="0"/>
    </xf>
    <xf numFmtId="1" fontId="13" fillId="0" borderId="16" xfId="0" applyNumberFormat="1" applyFont="1" applyBorder="1" applyAlignment="1" applyProtection="1">
      <alignment horizontal="center"/>
      <protection locked="0"/>
    </xf>
    <xf numFmtId="1" fontId="37" fillId="10" borderId="10" xfId="0" applyNumberFormat="1" applyFont="1" applyFill="1" applyBorder="1" applyAlignment="1" applyProtection="1">
      <alignment horizontal="center" vertical="top" wrapText="1"/>
      <protection locked="0"/>
    </xf>
    <xf numFmtId="2" fontId="21" fillId="6" borderId="12" xfId="0" applyNumberFormat="1" applyFont="1" applyFill="1" applyBorder="1" applyAlignment="1" applyProtection="1">
      <alignment vertical="top" wrapText="1"/>
      <protection locked="0"/>
    </xf>
    <xf numFmtId="2" fontId="21" fillId="6" borderId="13" xfId="0" applyNumberFormat="1" applyFont="1" applyFill="1" applyBorder="1" applyAlignment="1" applyProtection="1">
      <alignment vertical="top" wrapText="1"/>
      <protection locked="0"/>
    </xf>
    <xf numFmtId="2" fontId="21" fillId="6" borderId="10" xfId="0" applyNumberFormat="1" applyFont="1" applyFill="1" applyBorder="1" applyAlignment="1" applyProtection="1">
      <alignment vertical="top" wrapText="1"/>
      <protection locked="0"/>
    </xf>
    <xf numFmtId="2" fontId="21" fillId="6" borderId="10" xfId="0" applyNumberFormat="1" applyFont="1" applyFill="1" applyBorder="1" applyAlignment="1" applyProtection="1">
      <alignment horizontal="right" vertical="top" wrapText="1"/>
      <protection locked="0"/>
    </xf>
    <xf numFmtId="2" fontId="21" fillId="6" borderId="11" xfId="0" applyNumberFormat="1" applyFont="1" applyFill="1" applyBorder="1" applyAlignment="1" applyProtection="1">
      <alignment vertical="top" wrapText="1"/>
      <protection locked="0"/>
    </xf>
    <xf numFmtId="2" fontId="24" fillId="6" borderId="11" xfId="0" applyNumberFormat="1" applyFont="1" applyFill="1" applyBorder="1" applyAlignment="1" applyProtection="1">
      <alignment vertical="top" wrapText="1"/>
      <protection locked="0"/>
    </xf>
    <xf numFmtId="0" fontId="30" fillId="0" borderId="13" xfId="0" applyFont="1" applyFill="1" applyBorder="1" applyAlignment="1" applyProtection="1">
      <alignment horizontal="center" wrapText="1"/>
      <protection locked="0"/>
    </xf>
    <xf numFmtId="165" fontId="13" fillId="0" borderId="12" xfId="0" applyNumberFormat="1" applyFont="1" applyBorder="1" applyProtection="1">
      <protection locked="0"/>
    </xf>
    <xf numFmtId="0" fontId="30" fillId="0" borderId="10" xfId="0" applyFont="1" applyFill="1" applyBorder="1" applyAlignment="1" applyProtection="1">
      <alignment horizontal="center" wrapText="1"/>
      <protection locked="0"/>
    </xf>
    <xf numFmtId="0" fontId="30" fillId="0" borderId="12" xfId="0" applyFont="1" applyFill="1" applyBorder="1" applyAlignment="1" applyProtection="1">
      <alignment horizontal="center" wrapText="1"/>
      <protection locked="0"/>
    </xf>
    <xf numFmtId="165" fontId="0" fillId="0" borderId="12" xfId="0" applyNumberFormat="1" applyBorder="1" applyProtection="1">
      <protection locked="0"/>
    </xf>
    <xf numFmtId="165" fontId="21" fillId="0" borderId="12" xfId="0" applyNumberFormat="1" applyFont="1" applyFill="1" applyBorder="1" applyAlignment="1" applyProtection="1">
      <alignment vertical="top" wrapText="1"/>
      <protection locked="0"/>
    </xf>
    <xf numFmtId="165" fontId="21" fillId="0" borderId="13" xfId="0" applyNumberFormat="1" applyFont="1" applyFill="1" applyBorder="1" applyAlignment="1" applyProtection="1">
      <alignment vertical="top" wrapText="1"/>
      <protection locked="0"/>
    </xf>
    <xf numFmtId="165" fontId="21" fillId="0" borderId="10" xfId="0" applyNumberFormat="1" applyFont="1" applyFill="1" applyBorder="1" applyAlignment="1" applyProtection="1">
      <alignment vertical="top" wrapText="1"/>
      <protection locked="0"/>
    </xf>
    <xf numFmtId="165" fontId="21" fillId="0" borderId="11" xfId="0" applyNumberFormat="1" applyFont="1" applyFill="1" applyBorder="1" applyAlignment="1" applyProtection="1">
      <alignment vertical="top" wrapText="1"/>
      <protection locked="0"/>
    </xf>
    <xf numFmtId="0" fontId="36" fillId="11" borderId="2" xfId="0" applyFont="1" applyFill="1" applyBorder="1"/>
    <xf numFmtId="165" fontId="36" fillId="11" borderId="2" xfId="0" applyNumberFormat="1" applyFont="1" applyFill="1" applyBorder="1"/>
    <xf numFmtId="164" fontId="36" fillId="11" borderId="2" xfId="2" applyFont="1" applyFill="1" applyBorder="1"/>
    <xf numFmtId="0" fontId="13" fillId="0" borderId="2" xfId="0" applyFont="1" applyBorder="1"/>
    <xf numFmtId="164" fontId="13" fillId="0" borderId="2" xfId="2" applyFont="1" applyBorder="1"/>
    <xf numFmtId="0" fontId="36" fillId="12" borderId="2" xfId="0" applyFont="1" applyFill="1" applyBorder="1"/>
    <xf numFmtId="165" fontId="36" fillId="26" borderId="2" xfId="0" applyNumberFormat="1" applyFont="1" applyFill="1" applyBorder="1"/>
    <xf numFmtId="164" fontId="36" fillId="26" borderId="2" xfId="2" applyFont="1" applyFill="1" applyBorder="1"/>
    <xf numFmtId="165" fontId="36" fillId="12" borderId="2" xfId="0" applyNumberFormat="1" applyFont="1" applyFill="1" applyBorder="1"/>
    <xf numFmtId="165" fontId="36" fillId="25" borderId="2" xfId="0" applyNumberFormat="1" applyFont="1" applyFill="1" applyBorder="1"/>
    <xf numFmtId="164" fontId="1" fillId="25" borderId="2" xfId="2" applyFont="1" applyFill="1" applyBorder="1"/>
    <xf numFmtId="165" fontId="1" fillId="13" borderId="2" xfId="0" applyNumberFormat="1" applyFont="1" applyFill="1" applyBorder="1"/>
    <xf numFmtId="164" fontId="36" fillId="12" borderId="2" xfId="2" applyFont="1" applyFill="1" applyBorder="1" applyAlignment="1">
      <alignment horizontal="center" wrapText="1"/>
    </xf>
    <xf numFmtId="0" fontId="36" fillId="12" borderId="2" xfId="0" applyFont="1" applyFill="1" applyBorder="1" applyAlignment="1">
      <alignment wrapText="1"/>
    </xf>
    <xf numFmtId="10" fontId="41" fillId="0" borderId="87" xfId="0" applyNumberFormat="1" applyFont="1" applyBorder="1" applyAlignment="1">
      <alignment horizontal="center"/>
    </xf>
    <xf numFmtId="10" fontId="0" fillId="0" borderId="73" xfId="0" applyNumberFormat="1" applyBorder="1" applyAlignment="1" applyProtection="1">
      <alignment horizontal="center"/>
      <protection locked="0"/>
    </xf>
    <xf numFmtId="10" fontId="0" fillId="0" borderId="46" xfId="0" applyNumberFormat="1" applyBorder="1" applyAlignment="1" applyProtection="1">
      <alignment horizontal="center"/>
      <protection locked="0"/>
    </xf>
    <xf numFmtId="10" fontId="0" fillId="3" borderId="46" xfId="0" applyNumberFormat="1" applyFill="1" applyBorder="1" applyAlignment="1" applyProtection="1">
      <alignment horizontal="center"/>
      <protection locked="0"/>
    </xf>
    <xf numFmtId="0" fontId="24" fillId="0" borderId="86" xfId="0" applyNumberFormat="1" applyFont="1" applyBorder="1" applyAlignment="1" applyProtection="1">
      <alignment horizontal="center"/>
      <protection locked="0"/>
    </xf>
    <xf numFmtId="10" fontId="0" fillId="0" borderId="2" xfId="0" applyNumberFormat="1" applyBorder="1" applyAlignment="1" applyProtection="1">
      <alignment horizontal="center"/>
      <protection locked="0"/>
    </xf>
    <xf numFmtId="10" fontId="0" fillId="0" borderId="94" xfId="0" applyNumberFormat="1" applyBorder="1" applyAlignment="1" applyProtection="1">
      <alignment horizontal="center"/>
      <protection locked="0"/>
    </xf>
    <xf numFmtId="0" fontId="24" fillId="0" borderId="149" xfId="0" applyNumberFormat="1" applyFont="1" applyBorder="1" applyAlignment="1">
      <alignment horizontal="center"/>
    </xf>
    <xf numFmtId="0" fontId="24" fillId="0" borderId="150" xfId="0" applyNumberFormat="1" applyFont="1" applyBorder="1" applyAlignment="1">
      <alignment horizontal="center"/>
    </xf>
    <xf numFmtId="0" fontId="24" fillId="0" borderId="8" xfId="0" applyNumberFormat="1" applyFont="1" applyBorder="1" applyAlignment="1">
      <alignment horizontal="center"/>
    </xf>
    <xf numFmtId="0" fontId="24" fillId="0" borderId="151" xfId="0" applyNumberFormat="1" applyFont="1" applyBorder="1" applyAlignment="1">
      <alignment horizontal="center"/>
    </xf>
    <xf numFmtId="0" fontId="0" fillId="0" borderId="50" xfId="0" applyNumberFormat="1" applyBorder="1" applyAlignment="1">
      <alignment horizontal="center"/>
    </xf>
    <xf numFmtId="49" fontId="0" fillId="0" borderId="41" xfId="0" applyNumberFormat="1" applyBorder="1"/>
    <xf numFmtId="49" fontId="41" fillId="0" borderId="41" xfId="0" applyNumberFormat="1" applyFont="1" applyBorder="1" applyAlignment="1">
      <alignment horizontal="center"/>
    </xf>
    <xf numFmtId="2" fontId="41" fillId="0" borderId="41" xfId="0" applyNumberFormat="1" applyFont="1" applyBorder="1" applyAlignment="1">
      <alignment horizontal="center"/>
    </xf>
    <xf numFmtId="49" fontId="0" fillId="0" borderId="140" xfId="0" applyNumberFormat="1" applyBorder="1" applyAlignment="1">
      <alignment horizontal="center"/>
    </xf>
    <xf numFmtId="49" fontId="0" fillId="0" borderId="113" xfId="0" applyNumberFormat="1" applyBorder="1" applyAlignment="1">
      <alignment horizontal="center"/>
    </xf>
    <xf numFmtId="0" fontId="0" fillId="0" borderId="153" xfId="0" applyNumberFormat="1" applyBorder="1" applyAlignment="1">
      <alignment horizontal="center"/>
    </xf>
    <xf numFmtId="0" fontId="0" fillId="0" borderId="154" xfId="0" applyNumberFormat="1" applyBorder="1" applyAlignment="1">
      <alignment horizontal="center"/>
    </xf>
    <xf numFmtId="0" fontId="0" fillId="0" borderId="155" xfId="0" applyNumberFormat="1" applyBorder="1" applyAlignment="1">
      <alignment horizontal="center"/>
    </xf>
    <xf numFmtId="0" fontId="0" fillId="0" borderId="3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40" xfId="0" applyNumberFormat="1" applyBorder="1" applyAlignment="1">
      <alignment horizontal="center"/>
    </xf>
    <xf numFmtId="0" fontId="0" fillId="0" borderId="131" xfId="0" applyNumberFormat="1" applyBorder="1"/>
    <xf numFmtId="0" fontId="0" fillId="0" borderId="112" xfId="0" applyNumberFormat="1" applyBorder="1"/>
    <xf numFmtId="2" fontId="0" fillId="0" borderId="113" xfId="0" applyNumberFormat="1" applyBorder="1" applyAlignment="1">
      <alignment horizontal="center"/>
    </xf>
    <xf numFmtId="10" fontId="56" fillId="27" borderId="130" xfId="4" applyNumberFormat="1" applyFont="1" applyFill="1" applyBorder="1"/>
    <xf numFmtId="0" fontId="0" fillId="3" borderId="39" xfId="0" applyFill="1" applyBorder="1" applyProtection="1">
      <protection locked="0" hidden="1"/>
    </xf>
    <xf numFmtId="0" fontId="0" fillId="3" borderId="0" xfId="0" applyFill="1" applyBorder="1" applyProtection="1">
      <protection locked="0" hidden="1"/>
    </xf>
    <xf numFmtId="0" fontId="0" fillId="17" borderId="2" xfId="0" applyFill="1" applyBorder="1" applyAlignment="1" applyProtection="1">
      <alignment horizontal="center"/>
      <protection locked="0" hidden="1"/>
    </xf>
    <xf numFmtId="9" fontId="0" fillId="17" borderId="2" xfId="4" applyFont="1" applyFill="1" applyBorder="1" applyAlignment="1" applyProtection="1">
      <alignment horizontal="center"/>
      <protection locked="0" hidden="1"/>
    </xf>
    <xf numFmtId="170" fontId="0" fillId="18" borderId="2" xfId="0" applyNumberFormat="1" applyFill="1" applyBorder="1" applyProtection="1">
      <protection locked="0" hidden="1"/>
    </xf>
    <xf numFmtId="0" fontId="0" fillId="3" borderId="0" xfId="0" applyFill="1" applyProtection="1">
      <protection locked="0" hidden="1"/>
    </xf>
    <xf numFmtId="0" fontId="0" fillId="3" borderId="1" xfId="0" applyFill="1" applyBorder="1" applyProtection="1">
      <protection locked="0" hidden="1"/>
    </xf>
    <xf numFmtId="0" fontId="0" fillId="3" borderId="120" xfId="0" applyFill="1" applyBorder="1" applyProtection="1">
      <protection hidden="1"/>
    </xf>
    <xf numFmtId="168" fontId="0" fillId="3" borderId="120" xfId="0" applyNumberFormat="1" applyFill="1" applyBorder="1" applyProtection="1">
      <protection hidden="1"/>
    </xf>
    <xf numFmtId="168" fontId="0" fillId="17" borderId="121" xfId="0" applyNumberFormat="1" applyFill="1" applyBorder="1" applyProtection="1">
      <protection hidden="1"/>
    </xf>
    <xf numFmtId="168" fontId="0" fillId="3" borderId="9" xfId="0" applyNumberFormat="1" applyFill="1" applyBorder="1" applyProtection="1">
      <protection hidden="1"/>
    </xf>
    <xf numFmtId="168" fontId="0" fillId="17" borderId="120" xfId="0" applyNumberFormat="1" applyFill="1" applyBorder="1" applyProtection="1">
      <protection hidden="1"/>
    </xf>
    <xf numFmtId="168" fontId="0" fillId="17" borderId="9" xfId="0" applyNumberFormat="1" applyFill="1" applyBorder="1" applyProtection="1">
      <protection hidden="1"/>
    </xf>
    <xf numFmtId="168" fontId="0" fillId="3" borderId="121" xfId="0" applyNumberFormat="1" applyFill="1" applyBorder="1" applyProtection="1">
      <protection hidden="1"/>
    </xf>
    <xf numFmtId="0" fontId="0" fillId="3" borderId="122" xfId="0" applyFill="1" applyBorder="1" applyProtection="1">
      <protection hidden="1"/>
    </xf>
    <xf numFmtId="168" fontId="0" fillId="3" borderId="122" xfId="0" applyNumberFormat="1" applyFill="1" applyBorder="1" applyProtection="1">
      <protection hidden="1"/>
    </xf>
    <xf numFmtId="168" fontId="0" fillId="17" borderId="123" xfId="0" applyNumberFormat="1" applyFill="1" applyBorder="1" applyProtection="1">
      <protection hidden="1"/>
    </xf>
    <xf numFmtId="168" fontId="0" fillId="3" borderId="3" xfId="0" applyNumberFormat="1" applyFill="1" applyBorder="1" applyProtection="1">
      <protection hidden="1"/>
    </xf>
    <xf numFmtId="168" fontId="0" fillId="17" borderId="3" xfId="0" applyNumberFormat="1" applyFill="1" applyBorder="1" applyProtection="1">
      <protection hidden="1"/>
    </xf>
    <xf numFmtId="168" fontId="0" fillId="3" borderId="123" xfId="0" applyNumberFormat="1" applyFill="1" applyBorder="1" applyProtection="1">
      <protection hidden="1"/>
    </xf>
    <xf numFmtId="169" fontId="0" fillId="3" borderId="122" xfId="0" applyNumberFormat="1" applyFill="1" applyBorder="1" applyAlignment="1" applyProtection="1">
      <alignment horizontal="center"/>
      <protection hidden="1"/>
    </xf>
    <xf numFmtId="9" fontId="0" fillId="0" borderId="0" xfId="4" applyFont="1"/>
    <xf numFmtId="0" fontId="0" fillId="0" borderId="70" xfId="0" applyNumberFormat="1" applyBorder="1" applyAlignment="1">
      <alignment horizontal="center"/>
    </xf>
    <xf numFmtId="167" fontId="0" fillId="3" borderId="73" xfId="0" applyNumberFormat="1" applyFill="1" applyBorder="1" applyAlignment="1" applyProtection="1">
      <alignment horizontal="center"/>
      <protection locked="0"/>
    </xf>
    <xf numFmtId="167" fontId="44" fillId="3" borderId="85" xfId="0" applyNumberFormat="1" applyFont="1" applyFill="1" applyBorder="1" applyAlignment="1"/>
    <xf numFmtId="167" fontId="44" fillId="3" borderId="48" xfId="0" applyNumberFormat="1" applyFont="1" applyFill="1" applyBorder="1" applyAlignment="1"/>
    <xf numFmtId="167" fontId="44" fillId="3" borderId="87" xfId="0" applyNumberFormat="1" applyFont="1" applyFill="1" applyBorder="1" applyAlignment="1"/>
    <xf numFmtId="167" fontId="44" fillId="3" borderId="41" xfId="0" applyNumberFormat="1" applyFont="1" applyFill="1" applyBorder="1" applyAlignment="1"/>
    <xf numFmtId="170" fontId="0" fillId="6" borderId="73" xfId="0" applyNumberFormat="1" applyFill="1" applyBorder="1" applyAlignment="1">
      <alignment horizontal="center"/>
    </xf>
    <xf numFmtId="170" fontId="0" fillId="6" borderId="74" xfId="0" applyNumberFormat="1" applyFill="1" applyBorder="1" applyAlignment="1">
      <alignment horizontal="center"/>
    </xf>
    <xf numFmtId="170" fontId="0" fillId="6" borderId="69" xfId="0" applyNumberFormat="1" applyFill="1" applyBorder="1" applyAlignment="1">
      <alignment horizontal="center"/>
    </xf>
    <xf numFmtId="170" fontId="44" fillId="3" borderId="93" xfId="0" applyNumberFormat="1" applyFont="1" applyFill="1" applyBorder="1" applyAlignment="1">
      <alignment horizontal="center"/>
    </xf>
    <xf numFmtId="170" fontId="44" fillId="3" borderId="49" xfId="0" applyNumberFormat="1" applyFont="1" applyFill="1" applyBorder="1" applyAlignment="1"/>
    <xf numFmtId="170" fontId="0" fillId="0" borderId="71" xfId="0" applyNumberFormat="1" applyBorder="1" applyAlignment="1">
      <alignment horizontal="center"/>
    </xf>
    <xf numFmtId="170" fontId="0" fillId="15" borderId="71" xfId="0" applyNumberFormat="1" applyFill="1" applyBorder="1" applyAlignment="1">
      <alignment horizontal="center"/>
    </xf>
    <xf numFmtId="170" fontId="0" fillId="0" borderId="77" xfId="0" applyNumberFormat="1" applyBorder="1" applyAlignment="1">
      <alignment horizontal="center"/>
    </xf>
    <xf numFmtId="170" fontId="0" fillId="3" borderId="77" xfId="0" applyNumberFormat="1" applyFill="1" applyBorder="1" applyAlignment="1">
      <alignment horizontal="center"/>
    </xf>
    <xf numFmtId="170" fontId="24" fillId="0" borderId="81" xfId="0" applyNumberFormat="1" applyFont="1" applyBorder="1" applyAlignment="1">
      <alignment horizontal="right"/>
    </xf>
    <xf numFmtId="170" fontId="0" fillId="15" borderId="77" xfId="0" applyNumberFormat="1" applyFill="1" applyBorder="1" applyAlignment="1">
      <alignment horizontal="center"/>
    </xf>
    <xf numFmtId="170" fontId="17" fillId="3" borderId="48" xfId="0" applyNumberFormat="1" applyFont="1" applyFill="1" applyBorder="1" applyAlignment="1">
      <alignment horizontal="right"/>
    </xf>
    <xf numFmtId="170" fontId="14" fillId="3" borderId="48" xfId="0" applyNumberFormat="1" applyFont="1" applyFill="1" applyBorder="1" applyAlignment="1">
      <alignment horizontal="center"/>
    </xf>
    <xf numFmtId="170" fontId="24" fillId="0" borderId="150" xfId="0" applyNumberFormat="1" applyFont="1" applyBorder="1" applyAlignment="1">
      <alignment horizontal="center"/>
    </xf>
    <xf numFmtId="170" fontId="24" fillId="0" borderId="82" xfId="0" applyNumberFormat="1" applyFont="1" applyBorder="1" applyAlignment="1">
      <alignment horizontal="center"/>
    </xf>
    <xf numFmtId="170" fontId="0" fillId="0" borderId="140" xfId="0" applyNumberFormat="1" applyBorder="1" applyAlignment="1">
      <alignment horizontal="center"/>
    </xf>
    <xf numFmtId="170" fontId="0" fillId="15" borderId="141" xfId="0" applyNumberFormat="1" applyFill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0" fontId="0" fillId="15" borderId="130" xfId="0" applyNumberFormat="1" applyFill="1" applyBorder="1" applyAlignment="1">
      <alignment horizontal="center"/>
    </xf>
    <xf numFmtId="170" fontId="0" fillId="0" borderId="113" xfId="0" applyNumberFormat="1" applyBorder="1" applyAlignment="1">
      <alignment horizontal="center"/>
    </xf>
    <xf numFmtId="170" fontId="0" fillId="15" borderId="147" xfId="0" applyNumberFormat="1" applyFill="1" applyBorder="1" applyAlignment="1">
      <alignment horizontal="center"/>
    </xf>
    <xf numFmtId="170" fontId="24" fillId="0" borderId="152" xfId="0" applyNumberFormat="1" applyFont="1" applyBorder="1" applyAlignment="1">
      <alignment horizontal="right"/>
    </xf>
    <xf numFmtId="170" fontId="14" fillId="3" borderId="48" xfId="0" applyNumberFormat="1" applyFont="1" applyFill="1" applyBorder="1" applyAlignment="1">
      <alignment horizontal="right"/>
    </xf>
    <xf numFmtId="170" fontId="14" fillId="3" borderId="58" xfId="0" applyNumberFormat="1" applyFont="1" applyFill="1" applyBorder="1" applyAlignment="1">
      <alignment horizontal="center"/>
    </xf>
    <xf numFmtId="170" fontId="24" fillId="0" borderId="63" xfId="0" applyNumberFormat="1" applyFont="1" applyBorder="1" applyAlignment="1">
      <alignment horizontal="center"/>
    </xf>
    <xf numFmtId="170" fontId="0" fillId="15" borderId="89" xfId="0" applyNumberFormat="1" applyFill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3" borderId="92" xfId="0" applyNumberFormat="1" applyFill="1" applyBorder="1" applyAlignment="1">
      <alignment horizontal="center"/>
    </xf>
    <xf numFmtId="170" fontId="46" fillId="0" borderId="58" xfId="0" applyNumberFormat="1" applyFont="1" applyBorder="1" applyAlignment="1">
      <alignment horizontal="right"/>
    </xf>
    <xf numFmtId="170" fontId="0" fillId="15" borderId="94" xfId="0" applyNumberFormat="1" applyFill="1" applyBorder="1" applyAlignment="1">
      <alignment horizontal="center"/>
    </xf>
    <xf numFmtId="9" fontId="0" fillId="3" borderId="93" xfId="4" applyFont="1" applyFill="1" applyBorder="1" applyAlignment="1">
      <alignment horizontal="center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9" fontId="30" fillId="21" borderId="10" xfId="4" applyFont="1" applyFill="1" applyBorder="1" applyAlignment="1" applyProtection="1">
      <alignment horizontal="center" wrapText="1"/>
      <protection locked="0"/>
    </xf>
    <xf numFmtId="0" fontId="21" fillId="6" borderId="18" xfId="0" applyFont="1" applyFill="1" applyBorder="1" applyAlignment="1" applyProtection="1">
      <alignment vertical="top"/>
      <protection locked="0"/>
    </xf>
    <xf numFmtId="170" fontId="0" fillId="0" borderId="0" xfId="0" applyNumberFormat="1"/>
    <xf numFmtId="0" fontId="24" fillId="7" borderId="10" xfId="0" applyFont="1" applyFill="1" applyBorder="1" applyAlignment="1">
      <alignment horizontal="right" vertical="top" wrapText="1"/>
    </xf>
    <xf numFmtId="170" fontId="0" fillId="6" borderId="88" xfId="0" applyNumberFormat="1" applyFill="1" applyBorder="1" applyAlignment="1">
      <alignment horizontal="center"/>
    </xf>
    <xf numFmtId="170" fontId="0" fillId="6" borderId="156" xfId="0" applyNumberFormat="1" applyFill="1" applyBorder="1" applyAlignment="1">
      <alignment horizontal="center"/>
    </xf>
    <xf numFmtId="2" fontId="24" fillId="9" borderId="157" xfId="0" applyNumberFormat="1" applyFont="1" applyFill="1" applyBorder="1" applyAlignment="1">
      <alignment vertical="top" wrapText="1"/>
    </xf>
    <xf numFmtId="165" fontId="24" fillId="5" borderId="30" xfId="0" applyNumberFormat="1" applyFont="1" applyFill="1" applyBorder="1" applyAlignment="1">
      <alignment vertical="top" wrapText="1"/>
    </xf>
    <xf numFmtId="165" fontId="21" fillId="5" borderId="158" xfId="0" applyNumberFormat="1" applyFont="1" applyFill="1" applyBorder="1" applyAlignment="1">
      <alignment vertical="top" wrapText="1"/>
    </xf>
    <xf numFmtId="165" fontId="17" fillId="8" borderId="30" xfId="0" applyNumberFormat="1" applyFont="1" applyFill="1" applyBorder="1"/>
    <xf numFmtId="165" fontId="13" fillId="8" borderId="158" xfId="0" applyNumberFormat="1" applyFont="1" applyFill="1" applyBorder="1"/>
    <xf numFmtId="165" fontId="42" fillId="0" borderId="2" xfId="0" applyNumberFormat="1" applyFont="1" applyBorder="1" applyAlignment="1">
      <alignment horizontal="right"/>
    </xf>
    <xf numFmtId="0" fontId="61" fillId="0" borderId="0" xfId="0" applyFont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170" fontId="59" fillId="29" borderId="116" xfId="0" applyNumberFormat="1" applyFont="1" applyFill="1" applyBorder="1" applyAlignment="1" applyProtection="1">
      <alignment horizontal="center"/>
      <protection locked="0"/>
    </xf>
    <xf numFmtId="170" fontId="60" fillId="29" borderId="94" xfId="0" applyNumberFormat="1" applyFont="1" applyFill="1" applyBorder="1" applyAlignment="1" applyProtection="1">
      <alignment horizontal="center"/>
    </xf>
    <xf numFmtId="0" fontId="10" fillId="0" borderId="0" xfId="0" applyFont="1" applyProtection="1">
      <protection locked="0"/>
    </xf>
    <xf numFmtId="0" fontId="0" fillId="0" borderId="19" xfId="0" applyBorder="1" applyProtection="1">
      <protection locked="0"/>
    </xf>
    <xf numFmtId="0" fontId="0" fillId="17" borderId="2" xfId="0" applyNumberFormat="1" applyFill="1" applyBorder="1" applyAlignment="1" applyProtection="1">
      <alignment horizontal="center"/>
      <protection locked="0" hidden="1"/>
    </xf>
    <xf numFmtId="9" fontId="0" fillId="17" borderId="2" xfId="0" applyNumberFormat="1" applyFill="1" applyBorder="1" applyAlignment="1" applyProtection="1">
      <alignment horizontal="center"/>
      <protection locked="0" hidden="1"/>
    </xf>
    <xf numFmtId="0" fontId="0" fillId="19" borderId="162" xfId="0" applyFill="1" applyBorder="1"/>
    <xf numFmtId="0" fontId="0" fillId="3" borderId="2" xfId="0" applyFill="1" applyBorder="1" applyProtection="1">
      <protection hidden="1"/>
    </xf>
    <xf numFmtId="168" fontId="0" fillId="3" borderId="2" xfId="0" applyNumberFormat="1" applyFill="1" applyBorder="1" applyProtection="1">
      <protection hidden="1"/>
    </xf>
    <xf numFmtId="168" fontId="0" fillId="17" borderId="2" xfId="0" applyNumberFormat="1" applyFill="1" applyBorder="1" applyProtection="1">
      <protection hidden="1"/>
    </xf>
    <xf numFmtId="0" fontId="0" fillId="29" borderId="0" xfId="0" applyFill="1" applyBorder="1"/>
    <xf numFmtId="9" fontId="0" fillId="29" borderId="0" xfId="4" applyFont="1" applyFill="1" applyBorder="1"/>
    <xf numFmtId="0" fontId="0" fillId="29" borderId="0" xfId="0" applyFill="1"/>
    <xf numFmtId="169" fontId="0" fillId="3" borderId="26" xfId="0" applyNumberFormat="1" applyFill="1" applyBorder="1" applyAlignment="1" applyProtection="1">
      <alignment horizontal="center"/>
      <protection hidden="1"/>
    </xf>
    <xf numFmtId="0" fontId="24" fillId="5" borderId="117" xfId="0" applyFont="1" applyFill="1" applyBorder="1" applyAlignment="1">
      <alignment horizontal="center" vertical="distributed"/>
    </xf>
    <xf numFmtId="0" fontId="24" fillId="5" borderId="0" xfId="0" applyFont="1" applyFill="1" applyBorder="1" applyAlignment="1">
      <alignment horizontal="center" vertical="distributed"/>
    </xf>
    <xf numFmtId="0" fontId="24" fillId="5" borderId="146" xfId="0" applyFont="1" applyFill="1" applyBorder="1" applyAlignment="1">
      <alignment horizontal="center" vertical="distributed"/>
    </xf>
    <xf numFmtId="0" fontId="24" fillId="5" borderId="118" xfId="0" applyFont="1" applyFill="1" applyBorder="1" applyAlignment="1">
      <alignment horizontal="center" vertical="distributed"/>
    </xf>
    <xf numFmtId="172" fontId="0" fillId="19" borderId="7" xfId="2" applyNumberFormat="1" applyFont="1" applyFill="1" applyBorder="1"/>
    <xf numFmtId="9" fontId="0" fillId="19" borderId="7" xfId="4" applyFont="1" applyFill="1" applyBorder="1"/>
    <xf numFmtId="0" fontId="24" fillId="3" borderId="137" xfId="0" applyFont="1" applyFill="1" applyBorder="1" applyAlignment="1">
      <alignment horizontal="center" vertical="distributed"/>
    </xf>
    <xf numFmtId="0" fontId="24" fillId="3" borderId="118" xfId="0" applyFont="1" applyFill="1" applyBorder="1" applyAlignment="1">
      <alignment horizontal="center" vertical="distributed"/>
    </xf>
    <xf numFmtId="0" fontId="0" fillId="17" borderId="131" xfId="0" applyFill="1" applyBorder="1" applyAlignment="1" applyProtection="1">
      <alignment horizontal="center"/>
      <protection locked="0" hidden="1"/>
    </xf>
    <xf numFmtId="10" fontId="0" fillId="17" borderId="130" xfId="4" applyNumberFormat="1" applyFont="1" applyFill="1" applyBorder="1" applyAlignment="1" applyProtection="1">
      <alignment horizontal="center"/>
      <protection locked="0" hidden="1"/>
    </xf>
    <xf numFmtId="0" fontId="0" fillId="17" borderId="112" xfId="0" applyFill="1" applyBorder="1" applyAlignment="1" applyProtection="1">
      <alignment horizontal="center"/>
      <protection locked="0" hidden="1"/>
    </xf>
    <xf numFmtId="0" fontId="0" fillId="17" borderId="113" xfId="0" applyFill="1" applyBorder="1" applyAlignment="1" applyProtection="1">
      <alignment horizontal="center"/>
      <protection locked="0" hidden="1"/>
    </xf>
    <xf numFmtId="171" fontId="0" fillId="17" borderId="113" xfId="0" applyNumberFormat="1" applyFill="1" applyBorder="1" applyAlignment="1" applyProtection="1">
      <alignment horizontal="center"/>
      <protection locked="0" hidden="1"/>
    </xf>
    <xf numFmtId="10" fontId="0" fillId="17" borderId="147" xfId="4" applyNumberFormat="1" applyFont="1" applyFill="1" applyBorder="1" applyAlignment="1" applyProtection="1">
      <alignment horizontal="center"/>
      <protection locked="0" hidden="1"/>
    </xf>
    <xf numFmtId="169" fontId="0" fillId="3" borderId="133" xfId="0" applyNumberFormat="1" applyFill="1" applyBorder="1" applyAlignment="1" applyProtection="1">
      <alignment horizontal="center"/>
      <protection hidden="1"/>
    </xf>
    <xf numFmtId="170" fontId="63" fillId="23" borderId="2" xfId="0" applyNumberFormat="1" applyFont="1" applyFill="1" applyBorder="1"/>
    <xf numFmtId="0" fontId="0" fillId="3" borderId="0" xfId="0" applyFill="1" applyAlignment="1">
      <alignment horizontal="center"/>
    </xf>
    <xf numFmtId="44" fontId="0" fillId="3" borderId="0" xfId="3" applyFont="1" applyFill="1"/>
    <xf numFmtId="44" fontId="0" fillId="29" borderId="0" xfId="3" applyFont="1" applyFill="1" applyBorder="1"/>
    <xf numFmtId="44" fontId="0" fillId="0" borderId="0" xfId="3" applyFont="1"/>
    <xf numFmtId="44" fontId="0" fillId="0" borderId="0" xfId="0" applyNumberFormat="1"/>
    <xf numFmtId="0" fontId="42" fillId="0" borderId="0" xfId="0" applyFont="1"/>
    <xf numFmtId="44" fontId="0" fillId="0" borderId="5" xfId="0" applyNumberFormat="1" applyBorder="1"/>
    <xf numFmtId="0" fontId="0" fillId="0" borderId="0" xfId="0" applyAlignment="1">
      <alignment horizontal="right"/>
    </xf>
    <xf numFmtId="0" fontId="24" fillId="7" borderId="10" xfId="0" applyFont="1" applyFill="1" applyBorder="1" applyAlignment="1">
      <alignment horizontal="right" vertical="top" wrapText="1"/>
    </xf>
    <xf numFmtId="0" fontId="0" fillId="21" borderId="0" xfId="0" applyFill="1"/>
    <xf numFmtId="0" fontId="0" fillId="21" borderId="0" xfId="0" applyFont="1" applyFill="1"/>
    <xf numFmtId="0" fontId="0" fillId="0" borderId="0" xfId="0" applyAlignment="1">
      <alignment horizontal="right"/>
    </xf>
    <xf numFmtId="0" fontId="24" fillId="7" borderId="10" xfId="0" applyFont="1" applyFill="1" applyBorder="1" applyAlignment="1">
      <alignment vertical="top" wrapText="1"/>
    </xf>
    <xf numFmtId="165" fontId="36" fillId="28" borderId="12" xfId="0" applyNumberFormat="1" applyFont="1" applyFill="1" applyBorder="1"/>
    <xf numFmtId="165" fontId="21" fillId="0" borderId="12" xfId="0" applyNumberFormat="1" applyFont="1" applyFill="1" applyBorder="1" applyProtection="1">
      <protection locked="0"/>
    </xf>
    <xf numFmtId="0" fontId="13" fillId="0" borderId="15" xfId="0" applyFont="1" applyBorder="1" applyAlignment="1">
      <alignment horizontal="center"/>
    </xf>
    <xf numFmtId="165" fontId="58" fillId="30" borderId="0" xfId="0" applyNumberFormat="1" applyFont="1" applyFill="1"/>
    <xf numFmtId="165" fontId="36" fillId="30" borderId="12" xfId="0" applyNumberFormat="1" applyFont="1" applyFill="1" applyBorder="1"/>
    <xf numFmtId="165" fontId="1" fillId="30" borderId="20" xfId="0" applyNumberFormat="1" applyFont="1" applyFill="1" applyBorder="1"/>
    <xf numFmtId="165" fontId="21" fillId="0" borderId="12" xfId="0" applyNumberFormat="1" applyFont="1" applyBorder="1" applyProtection="1">
      <protection locked="0"/>
    </xf>
    <xf numFmtId="165" fontId="2" fillId="0" borderId="18" xfId="0" applyNumberFormat="1" applyFont="1" applyBorder="1" applyProtection="1">
      <protection locked="0"/>
    </xf>
    <xf numFmtId="165" fontId="2" fillId="0" borderId="12" xfId="0" applyNumberFormat="1" applyFont="1" applyBorder="1" applyProtection="1">
      <protection locked="0"/>
    </xf>
    <xf numFmtId="165" fontId="51" fillId="0" borderId="12" xfId="0" applyNumberFormat="1" applyFont="1" applyFill="1" applyBorder="1" applyProtection="1">
      <protection locked="0"/>
    </xf>
    <xf numFmtId="165" fontId="36" fillId="26" borderId="18" xfId="0" applyNumberFormat="1" applyFont="1" applyFill="1" applyBorder="1" applyAlignment="1"/>
    <xf numFmtId="165" fontId="36" fillId="30" borderId="18" xfId="0" applyNumberFormat="1" applyFont="1" applyFill="1" applyBorder="1"/>
    <xf numFmtId="165" fontId="36" fillId="0" borderId="12" xfId="0" applyNumberFormat="1" applyFont="1" applyFill="1" applyBorder="1"/>
    <xf numFmtId="0" fontId="36" fillId="10" borderId="0" xfId="0" applyFont="1" applyFill="1" applyAlignment="1">
      <alignment wrapText="1"/>
    </xf>
    <xf numFmtId="0" fontId="58" fillId="30" borderId="0" xfId="0" applyFont="1" applyFill="1" applyAlignment="1">
      <alignment wrapText="1"/>
    </xf>
    <xf numFmtId="165" fontId="36" fillId="13" borderId="2" xfId="0" applyNumberFormat="1" applyFont="1" applyFill="1" applyBorder="1" applyAlignment="1">
      <alignment wrapText="1"/>
    </xf>
    <xf numFmtId="165" fontId="36" fillId="13" borderId="2" xfId="0" applyNumberFormat="1" applyFont="1" applyFill="1" applyBorder="1" applyAlignment="1"/>
    <xf numFmtId="164" fontId="36" fillId="13" borderId="2" xfId="2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3" fillId="8" borderId="0" xfId="0" applyNumberFormat="1" applyFont="1" applyFill="1" applyBorder="1"/>
    <xf numFmtId="0" fontId="66" fillId="0" borderId="0" xfId="0" applyFont="1" applyAlignment="1">
      <alignment wrapText="1"/>
    </xf>
    <xf numFmtId="0" fontId="0" fillId="0" borderId="163" xfId="0" applyBorder="1"/>
    <xf numFmtId="0" fontId="0" fillId="0" borderId="164" xfId="0" applyBorder="1"/>
    <xf numFmtId="0" fontId="0" fillId="0" borderId="165" xfId="0" applyBorder="1"/>
    <xf numFmtId="0" fontId="0" fillId="32" borderId="118" xfId="0" applyFill="1" applyBorder="1"/>
    <xf numFmtId="0" fontId="0" fillId="32" borderId="0" xfId="0" applyFill="1" applyBorder="1"/>
    <xf numFmtId="0" fontId="0" fillId="32" borderId="117" xfId="0" applyFill="1" applyBorder="1"/>
    <xf numFmtId="165" fontId="0" fillId="32" borderId="0" xfId="0" applyNumberFormat="1" applyFill="1" applyBorder="1"/>
    <xf numFmtId="0" fontId="0" fillId="32" borderId="1" xfId="0" applyFill="1" applyBorder="1"/>
    <xf numFmtId="0" fontId="0" fillId="32" borderId="115" xfId="0" applyFill="1" applyBorder="1"/>
    <xf numFmtId="0" fontId="0" fillId="0" borderId="166" xfId="0" applyBorder="1"/>
    <xf numFmtId="0" fontId="66" fillId="0" borderId="166" xfId="0" applyFont="1" applyBorder="1" applyAlignment="1">
      <alignment horizontal="center" wrapText="1"/>
    </xf>
    <xf numFmtId="0" fontId="0" fillId="32" borderId="137" xfId="0" applyFill="1" applyBorder="1" applyAlignment="1">
      <alignment horizontal="right"/>
    </xf>
    <xf numFmtId="0" fontId="0" fillId="32" borderId="0" xfId="0" applyFill="1" applyBorder="1" applyAlignment="1">
      <alignment horizontal="right"/>
    </xf>
    <xf numFmtId="165" fontId="0" fillId="0" borderId="166" xfId="0" applyNumberFormat="1" applyBorder="1"/>
    <xf numFmtId="165" fontId="0" fillId="0" borderId="7" xfId="0" applyNumberFormat="1" applyBorder="1"/>
    <xf numFmtId="165" fontId="0" fillId="0" borderId="117" xfId="0" applyNumberFormat="1" applyBorder="1"/>
    <xf numFmtId="165" fontId="0" fillId="0" borderId="167" xfId="0" applyNumberFormat="1" applyBorder="1"/>
    <xf numFmtId="0" fontId="1" fillId="10" borderId="2" xfId="0" applyFont="1" applyFill="1" applyBorder="1" applyAlignment="1">
      <alignment horizontal="center" wrapText="1"/>
    </xf>
    <xf numFmtId="0" fontId="1" fillId="30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0" borderId="131" xfId="0" applyBorder="1" applyAlignment="1">
      <alignment horizontal="center"/>
    </xf>
    <xf numFmtId="0" fontId="0" fillId="32" borderId="5" xfId="0" applyFill="1" applyBorder="1" applyAlignment="1"/>
    <xf numFmtId="0" fontId="0" fillId="0" borderId="117" xfId="0" applyFill="1" applyBorder="1" applyAlignment="1">
      <alignment horizontal="center" vertical="center"/>
    </xf>
    <xf numFmtId="165" fontId="0" fillId="0" borderId="2" xfId="3" applyNumberFormat="1" applyFont="1" applyBorder="1"/>
    <xf numFmtId="165" fontId="0" fillId="0" borderId="130" xfId="0" applyNumberFormat="1" applyBorder="1"/>
    <xf numFmtId="10" fontId="0" fillId="0" borderId="0" xfId="0" applyNumberFormat="1"/>
    <xf numFmtId="9" fontId="0" fillId="0" borderId="0" xfId="0" applyNumberFormat="1"/>
    <xf numFmtId="0" fontId="45" fillId="0" borderId="0" xfId="0" applyFont="1"/>
    <xf numFmtId="15" fontId="0" fillId="0" borderId="0" xfId="0" applyNumberFormat="1"/>
    <xf numFmtId="0" fontId="63" fillId="33" borderId="28" xfId="0" applyFont="1" applyFill="1" applyBorder="1"/>
    <xf numFmtId="0" fontId="0" fillId="33" borderId="29" xfId="0" applyFill="1" applyBorder="1"/>
    <xf numFmtId="0" fontId="45" fillId="0" borderId="0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69" fillId="0" borderId="172" xfId="0" applyFont="1" applyBorder="1" applyAlignment="1">
      <alignment horizontal="center"/>
    </xf>
    <xf numFmtId="0" fontId="69" fillId="0" borderId="173" xfId="0" applyFont="1" applyBorder="1" applyAlignment="1">
      <alignment horizontal="center"/>
    </xf>
    <xf numFmtId="0" fontId="66" fillId="0" borderId="174" xfId="0" applyFont="1" applyBorder="1" applyAlignment="1">
      <alignment horizontal="center"/>
    </xf>
    <xf numFmtId="0" fontId="66" fillId="0" borderId="170" xfId="0" applyFont="1" applyBorder="1" applyAlignment="1">
      <alignment horizontal="center"/>
    </xf>
    <xf numFmtId="0" fontId="66" fillId="0" borderId="0" xfId="0" applyFont="1"/>
    <xf numFmtId="0" fontId="71" fillId="0" borderId="172" xfId="0" applyFont="1" applyBorder="1" applyAlignment="1">
      <alignment horizontal="center"/>
    </xf>
    <xf numFmtId="0" fontId="72" fillId="0" borderId="175" xfId="0" applyFont="1" applyBorder="1" applyAlignment="1">
      <alignment horizontal="center"/>
    </xf>
    <xf numFmtId="0" fontId="72" fillId="0" borderId="176" xfId="0" applyFont="1" applyBorder="1" applyAlignment="1">
      <alignment horizontal="center"/>
    </xf>
    <xf numFmtId="0" fontId="73" fillId="0" borderId="177" xfId="0" applyFont="1" applyBorder="1" applyAlignment="1">
      <alignment horizontal="center"/>
    </xf>
    <xf numFmtId="0" fontId="73" fillId="0" borderId="176" xfId="0" applyFont="1" applyBorder="1" applyAlignment="1">
      <alignment horizontal="center"/>
    </xf>
    <xf numFmtId="0" fontId="72" fillId="0" borderId="178" xfId="0" applyFont="1" applyBorder="1" applyAlignment="1">
      <alignment horizontal="center"/>
    </xf>
    <xf numFmtId="0" fontId="72" fillId="0" borderId="179" xfId="0" applyFont="1" applyBorder="1" applyAlignment="1">
      <alignment horizontal="center"/>
    </xf>
    <xf numFmtId="0" fontId="74" fillId="0" borderId="180" xfId="0" applyFont="1" applyBorder="1" applyAlignment="1">
      <alignment horizontal="center"/>
    </xf>
    <xf numFmtId="0" fontId="74" fillId="0" borderId="179" xfId="0" applyFont="1" applyBorder="1" applyAlignment="1">
      <alignment horizontal="center"/>
    </xf>
    <xf numFmtId="0" fontId="72" fillId="0" borderId="181" xfId="0" applyFont="1" applyBorder="1" applyAlignment="1">
      <alignment horizontal="center"/>
    </xf>
    <xf numFmtId="0" fontId="73" fillId="0" borderId="181" xfId="0" applyFont="1" applyBorder="1" applyAlignment="1">
      <alignment horizontal="center"/>
    </xf>
    <xf numFmtId="0" fontId="73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/>
    </xf>
    <xf numFmtId="0" fontId="74" fillId="0" borderId="181" xfId="0" applyFont="1" applyBorder="1" applyAlignment="1">
      <alignment horizontal="center"/>
    </xf>
    <xf numFmtId="0" fontId="74" fillId="0" borderId="0" xfId="0" applyFont="1" applyBorder="1" applyAlignment="1">
      <alignment horizontal="center"/>
    </xf>
    <xf numFmtId="0" fontId="75" fillId="35" borderId="8" xfId="0" applyFont="1" applyFill="1" applyBorder="1"/>
    <xf numFmtId="14" fontId="45" fillId="35" borderId="29" xfId="0" applyNumberFormat="1" applyFont="1" applyFill="1" applyBorder="1"/>
    <xf numFmtId="0" fontId="0" fillId="36" borderId="182" xfId="0" applyFill="1" applyBorder="1" applyAlignment="1">
      <alignment horizontal="center"/>
    </xf>
    <xf numFmtId="0" fontId="0" fillId="35" borderId="183" xfId="0" applyFill="1" applyBorder="1" applyAlignment="1">
      <alignment horizontal="center"/>
    </xf>
    <xf numFmtId="0" fontId="76" fillId="36" borderId="184" xfId="0" applyFont="1" applyFill="1" applyBorder="1"/>
    <xf numFmtId="0" fontId="76" fillId="35" borderId="185" xfId="0" applyFont="1" applyFill="1" applyBorder="1"/>
    <xf numFmtId="165" fontId="0" fillId="36" borderId="186" xfId="0" applyNumberFormat="1" applyFill="1" applyBorder="1"/>
    <xf numFmtId="165" fontId="0" fillId="35" borderId="29" xfId="0" applyNumberFormat="1" applyFill="1" applyBorder="1"/>
    <xf numFmtId="0" fontId="0" fillId="35" borderId="0" xfId="0" applyFill="1"/>
    <xf numFmtId="0" fontId="0" fillId="35" borderId="187" xfId="0" applyFill="1" applyBorder="1"/>
    <xf numFmtId="0" fontId="0" fillId="35" borderId="29" xfId="0" applyFill="1" applyBorder="1"/>
    <xf numFmtId="0" fontId="0" fillId="34" borderId="3" xfId="0" applyFill="1" applyBorder="1"/>
    <xf numFmtId="0" fontId="77" fillId="35" borderId="166" xfId="0" applyFont="1" applyFill="1" applyBorder="1" applyAlignment="1">
      <alignment horizontal="right"/>
    </xf>
    <xf numFmtId="14" fontId="45" fillId="35" borderId="170" xfId="0" applyNumberFormat="1" applyFont="1" applyFill="1" applyBorder="1"/>
    <xf numFmtId="0" fontId="0" fillId="36" borderId="188" xfId="0" applyFill="1" applyBorder="1" applyAlignment="1">
      <alignment horizontal="center"/>
    </xf>
    <xf numFmtId="0" fontId="0" fillId="35" borderId="168" xfId="0" applyFill="1" applyBorder="1" applyAlignment="1">
      <alignment horizontal="center"/>
    </xf>
    <xf numFmtId="2" fontId="76" fillId="36" borderId="189" xfId="0" applyNumberFormat="1" applyFont="1" applyFill="1" applyBorder="1"/>
    <xf numFmtId="0" fontId="76" fillId="35" borderId="190" xfId="0" applyFont="1" applyFill="1" applyBorder="1"/>
    <xf numFmtId="165" fontId="0" fillId="36" borderId="174" xfId="0" applyNumberFormat="1" applyFill="1" applyBorder="1"/>
    <xf numFmtId="165" fontId="0" fillId="35" borderId="191" xfId="0" applyNumberFormat="1" applyFill="1" applyBorder="1"/>
    <xf numFmtId="0" fontId="0" fillId="35" borderId="172" xfId="0" applyFill="1" applyBorder="1"/>
    <xf numFmtId="0" fontId="0" fillId="35" borderId="170" xfId="0" applyFill="1" applyBorder="1"/>
    <xf numFmtId="165" fontId="0" fillId="37" borderId="0" xfId="0" applyNumberFormat="1" applyFill="1" applyBorder="1"/>
    <xf numFmtId="0" fontId="78" fillId="35" borderId="166" xfId="0" applyFont="1" applyFill="1" applyBorder="1" applyAlignment="1">
      <alignment horizontal="right"/>
    </xf>
    <xf numFmtId="165" fontId="0" fillId="34" borderId="0" xfId="0" applyNumberFormat="1" applyFill="1" applyBorder="1"/>
    <xf numFmtId="2" fontId="76" fillId="36" borderId="192" xfId="0" applyNumberFormat="1" applyFont="1" applyFill="1" applyBorder="1"/>
    <xf numFmtId="165" fontId="0" fillId="36" borderId="193" xfId="0" applyNumberFormat="1" applyFill="1" applyBorder="1"/>
    <xf numFmtId="0" fontId="79" fillId="35" borderId="194" xfId="0" applyFont="1" applyFill="1" applyBorder="1"/>
    <xf numFmtId="0" fontId="76" fillId="35" borderId="194" xfId="0" applyFont="1" applyFill="1" applyBorder="1"/>
    <xf numFmtId="165" fontId="0" fillId="35" borderId="170" xfId="0" applyNumberFormat="1" applyFill="1" applyBorder="1"/>
    <xf numFmtId="2" fontId="76" fillId="36" borderId="195" xfId="0" applyNumberFormat="1" applyFont="1" applyFill="1" applyBorder="1"/>
    <xf numFmtId="0" fontId="76" fillId="35" borderId="196" xfId="0" applyFont="1" applyFill="1" applyBorder="1"/>
    <xf numFmtId="14" fontId="45" fillId="35" borderId="6" xfId="0" applyNumberFormat="1" applyFont="1" applyFill="1" applyBorder="1"/>
    <xf numFmtId="0" fontId="0" fillId="36" borderId="197" xfId="0" applyFill="1" applyBorder="1" applyAlignment="1">
      <alignment horizontal="center"/>
    </xf>
    <xf numFmtId="0" fontId="0" fillId="35" borderId="198" xfId="0" applyFill="1" applyBorder="1" applyAlignment="1">
      <alignment horizontal="center"/>
    </xf>
    <xf numFmtId="0" fontId="76" fillId="36" borderId="199" xfId="0" applyFont="1" applyFill="1" applyBorder="1"/>
    <xf numFmtId="0" fontId="76" fillId="35" borderId="200" xfId="0" applyFont="1" applyFill="1" applyBorder="1"/>
    <xf numFmtId="165" fontId="0" fillId="36" borderId="201" xfId="0" applyNumberFormat="1" applyFill="1" applyBorder="1"/>
    <xf numFmtId="165" fontId="0" fillId="35" borderId="202" xfId="0" applyNumberFormat="1" applyFill="1" applyBorder="1"/>
    <xf numFmtId="0" fontId="0" fillId="35" borderId="203" xfId="0" applyFill="1" applyBorder="1"/>
    <xf numFmtId="0" fontId="0" fillId="35" borderId="6" xfId="0" applyFill="1" applyBorder="1"/>
    <xf numFmtId="14" fontId="45" fillId="0" borderId="0" xfId="0" applyNumberFormat="1" applyFont="1"/>
    <xf numFmtId="165" fontId="0" fillId="0" borderId="5" xfId="0" applyNumberFormat="1" applyFill="1" applyBorder="1"/>
    <xf numFmtId="0" fontId="80" fillId="21" borderId="8" xfId="0" applyFont="1" applyFill="1" applyBorder="1"/>
    <xf numFmtId="14" fontId="81" fillId="35" borderId="29" xfId="0" applyNumberFormat="1" applyFont="1" applyFill="1" applyBorder="1"/>
    <xf numFmtId="0" fontId="82" fillId="36" borderId="182" xfId="0" applyFont="1" applyFill="1" applyBorder="1" applyAlignment="1">
      <alignment horizontal="center"/>
    </xf>
    <xf numFmtId="2" fontId="76" fillId="36" borderId="184" xfId="0" applyNumberFormat="1" applyFont="1" applyFill="1" applyBorder="1"/>
    <xf numFmtId="165" fontId="0" fillId="36" borderId="204" xfId="0" applyNumberFormat="1" applyFill="1" applyBorder="1"/>
    <xf numFmtId="0" fontId="80" fillId="35" borderId="166" xfId="0" applyFont="1" applyFill="1" applyBorder="1" applyAlignment="1">
      <alignment horizontal="right"/>
    </xf>
    <xf numFmtId="2" fontId="83" fillId="36" borderId="192" xfId="0" applyNumberFormat="1" applyFont="1" applyFill="1" applyBorder="1"/>
    <xf numFmtId="9" fontId="0" fillId="35" borderId="170" xfId="0" applyNumberFormat="1" applyFill="1" applyBorder="1"/>
    <xf numFmtId="2" fontId="84" fillId="36" borderId="192" xfId="0" applyNumberFormat="1" applyFont="1" applyFill="1" applyBorder="1"/>
    <xf numFmtId="0" fontId="0" fillId="35" borderId="166" xfId="0" applyFill="1" applyBorder="1"/>
    <xf numFmtId="0" fontId="0" fillId="35" borderId="7" xfId="0" applyFill="1" applyBorder="1"/>
    <xf numFmtId="165" fontId="0" fillId="35" borderId="6" xfId="0" applyNumberFormat="1" applyFill="1" applyBorder="1"/>
    <xf numFmtId="0" fontId="0" fillId="35" borderId="0" xfId="0" applyFill="1" applyBorder="1"/>
    <xf numFmtId="14" fontId="45" fillId="35" borderId="0" xfId="0" applyNumberFormat="1" applyFont="1" applyFill="1" applyBorder="1"/>
    <xf numFmtId="0" fontId="0" fillId="36" borderId="0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76" fillId="36" borderId="0" xfId="0" applyFont="1" applyFill="1" applyBorder="1"/>
    <xf numFmtId="0" fontId="76" fillId="35" borderId="0" xfId="0" applyFont="1" applyFill="1" applyBorder="1"/>
    <xf numFmtId="165" fontId="0" fillId="36" borderId="0" xfId="0" applyNumberFormat="1" applyFill="1" applyBorder="1"/>
    <xf numFmtId="165" fontId="0" fillId="35" borderId="0" xfId="0" applyNumberFormat="1" applyFill="1" applyBorder="1"/>
    <xf numFmtId="0" fontId="80" fillId="35" borderId="8" xfId="0" applyFont="1" applyFill="1" applyBorder="1"/>
    <xf numFmtId="0" fontId="83" fillId="36" borderId="192" xfId="0" applyFont="1" applyFill="1" applyBorder="1"/>
    <xf numFmtId="10" fontId="0" fillId="35" borderId="170" xfId="0" applyNumberFormat="1" applyFill="1" applyBorder="1"/>
    <xf numFmtId="0" fontId="76" fillId="36" borderId="192" xfId="0" applyFont="1" applyFill="1" applyBorder="1"/>
    <xf numFmtId="165" fontId="0" fillId="36" borderId="205" xfId="0" applyNumberFormat="1" applyFill="1" applyBorder="1"/>
    <xf numFmtId="165" fontId="0" fillId="34" borderId="0" xfId="0" applyNumberFormat="1" applyFill="1"/>
    <xf numFmtId="165" fontId="0" fillId="37" borderId="0" xfId="0" applyNumberFormat="1" applyFill="1"/>
    <xf numFmtId="0" fontId="76" fillId="36" borderId="189" xfId="0" applyFont="1" applyFill="1" applyBorder="1"/>
    <xf numFmtId="0" fontId="84" fillId="36" borderId="192" xfId="0" applyFont="1" applyFill="1" applyBorder="1"/>
    <xf numFmtId="9" fontId="0" fillId="35" borderId="166" xfId="0" applyNumberFormat="1" applyFill="1" applyBorder="1"/>
    <xf numFmtId="0" fontId="82" fillId="35" borderId="183" xfId="0" applyFont="1" applyFill="1" applyBorder="1" applyAlignment="1">
      <alignment horizontal="center"/>
    </xf>
    <xf numFmtId="0" fontId="79" fillId="35" borderId="185" xfId="0" applyFont="1" applyFill="1" applyBorder="1"/>
    <xf numFmtId="0" fontId="0" fillId="38" borderId="187" xfId="0" applyFill="1" applyBorder="1"/>
    <xf numFmtId="14" fontId="81" fillId="35" borderId="170" xfId="0" applyNumberFormat="1" applyFont="1" applyFill="1" applyBorder="1"/>
    <xf numFmtId="0" fontId="82" fillId="36" borderId="188" xfId="0" applyFont="1" applyFill="1" applyBorder="1" applyAlignment="1">
      <alignment horizontal="center"/>
    </xf>
    <xf numFmtId="0" fontId="82" fillId="35" borderId="168" xfId="0" applyFont="1" applyFill="1" applyBorder="1" applyAlignment="1">
      <alignment horizontal="center"/>
    </xf>
    <xf numFmtId="0" fontId="76" fillId="36" borderId="195" xfId="0" applyFont="1" applyFill="1" applyBorder="1"/>
    <xf numFmtId="165" fontId="0" fillId="35" borderId="206" xfId="0" applyNumberFormat="1" applyFill="1" applyBorder="1"/>
    <xf numFmtId="0" fontId="79" fillId="35" borderId="190" xfId="0" applyFont="1" applyFill="1" applyBorder="1"/>
    <xf numFmtId="165" fontId="0" fillId="38" borderId="29" xfId="0" applyNumberFormat="1" applyFill="1" applyBorder="1"/>
    <xf numFmtId="14" fontId="85" fillId="35" borderId="170" xfId="0" applyNumberFormat="1" applyFont="1" applyFill="1" applyBorder="1"/>
    <xf numFmtId="0" fontId="66" fillId="35" borderId="170" xfId="0" applyFont="1" applyFill="1" applyBorder="1"/>
    <xf numFmtId="0" fontId="66" fillId="35" borderId="166" xfId="0" applyFont="1" applyFill="1" applyBorder="1"/>
    <xf numFmtId="0" fontId="0" fillId="35" borderId="207" xfId="0" applyFill="1" applyBorder="1" applyAlignment="1">
      <alignment horizontal="center"/>
    </xf>
    <xf numFmtId="14" fontId="45" fillId="35" borderId="166" xfId="0" applyNumberFormat="1" applyFont="1" applyFill="1" applyBorder="1"/>
    <xf numFmtId="0" fontId="66" fillId="35" borderId="0" xfId="0" applyFont="1" applyFill="1" applyBorder="1"/>
    <xf numFmtId="14" fontId="45" fillId="35" borderId="171" xfId="0" applyNumberFormat="1" applyFont="1" applyFill="1" applyBorder="1"/>
    <xf numFmtId="0" fontId="0" fillId="35" borderId="171" xfId="0" applyFill="1" applyBorder="1"/>
    <xf numFmtId="4" fontId="41" fillId="0" borderId="0" xfId="0" applyNumberFormat="1" applyFont="1"/>
    <xf numFmtId="4" fontId="0" fillId="0" borderId="0" xfId="0" applyNumberFormat="1"/>
    <xf numFmtId="4" fontId="86" fillId="0" borderId="0" xfId="0" applyNumberFormat="1" applyFont="1"/>
    <xf numFmtId="0" fontId="42" fillId="0" borderId="5" xfId="0" applyFont="1" applyBorder="1" applyAlignment="1">
      <alignment horizontal="right"/>
    </xf>
    <xf numFmtId="165" fontId="42" fillId="0" borderId="5" xfId="0" applyNumberFormat="1" applyFont="1" applyBorder="1"/>
    <xf numFmtId="165" fontId="87" fillId="0" borderId="0" xfId="0" applyNumberFormat="1" applyFont="1"/>
    <xf numFmtId="0" fontId="42" fillId="36" borderId="188" xfId="0" applyFont="1" applyFill="1" applyBorder="1" applyAlignment="1">
      <alignment horizontal="center"/>
    </xf>
    <xf numFmtId="14" fontId="88" fillId="35" borderId="170" xfId="0" applyNumberFormat="1" applyFont="1" applyFill="1" applyBorder="1"/>
    <xf numFmtId="14" fontId="88" fillId="35" borderId="29" xfId="0" applyNumberFormat="1" applyFont="1" applyFill="1" applyBorder="1"/>
    <xf numFmtId="0" fontId="42" fillId="36" borderId="182" xfId="0" applyFont="1" applyFill="1" applyBorder="1" applyAlignment="1">
      <alignment horizontal="center"/>
    </xf>
    <xf numFmtId="0" fontId="42" fillId="35" borderId="183" xfId="0" applyFont="1" applyFill="1" applyBorder="1" applyAlignment="1">
      <alignment horizontal="center"/>
    </xf>
    <xf numFmtId="44" fontId="42" fillId="0" borderId="0" xfId="0" applyNumberFormat="1" applyFont="1" applyAlignment="1">
      <alignment horizontal="center"/>
    </xf>
    <xf numFmtId="44" fontId="0" fillId="34" borderId="28" xfId="0" applyNumberFormat="1" applyFill="1" applyBorder="1"/>
    <xf numFmtId="44" fontId="0" fillId="37" borderId="171" xfId="4" applyNumberFormat="1" applyFont="1" applyFill="1" applyBorder="1"/>
    <xf numFmtId="44" fontId="0" fillId="34" borderId="171" xfId="0" applyNumberFormat="1" applyFill="1" applyBorder="1"/>
    <xf numFmtId="44" fontId="0" fillId="34" borderId="0" xfId="0" applyNumberFormat="1" applyFill="1" applyBorder="1"/>
    <xf numFmtId="44" fontId="0" fillId="0" borderId="5" xfId="0" applyNumberFormat="1" applyFill="1" applyBorder="1"/>
    <xf numFmtId="44" fontId="0" fillId="37" borderId="171" xfId="0" applyNumberFormat="1" applyFill="1" applyBorder="1"/>
    <xf numFmtId="44" fontId="0" fillId="34" borderId="0" xfId="0" applyNumberFormat="1" applyFill="1"/>
    <xf numFmtId="44" fontId="0" fillId="34" borderId="0" xfId="4" applyNumberFormat="1" applyFont="1" applyFill="1"/>
    <xf numFmtId="44" fontId="0" fillId="37" borderId="0" xfId="0" applyNumberFormat="1" applyFill="1"/>
    <xf numFmtId="44" fontId="0" fillId="37" borderId="0" xfId="4" applyNumberFormat="1" applyFont="1" applyFill="1"/>
    <xf numFmtId="44" fontId="87" fillId="0" borderId="0" xfId="0" applyNumberFormat="1" applyFont="1"/>
    <xf numFmtId="44" fontId="42" fillId="34" borderId="171" xfId="0" applyNumberFormat="1" applyFont="1" applyFill="1" applyBorder="1"/>
    <xf numFmtId="165" fontId="42" fillId="34" borderId="0" xfId="0" applyNumberFormat="1" applyFont="1" applyFill="1" applyBorder="1"/>
    <xf numFmtId="44" fontId="42" fillId="34" borderId="0" xfId="0" applyNumberFormat="1" applyFont="1" applyFill="1"/>
    <xf numFmtId="0" fontId="42" fillId="35" borderId="168" xfId="0" applyFont="1" applyFill="1" applyBorder="1" applyAlignment="1">
      <alignment horizontal="center"/>
    </xf>
    <xf numFmtId="44" fontId="42" fillId="34" borderId="0" xfId="4" applyNumberFormat="1" applyFont="1" applyFill="1"/>
    <xf numFmtId="2" fontId="42" fillId="35" borderId="172" xfId="0" applyNumberFormat="1" applyFont="1" applyFill="1" applyBorder="1"/>
    <xf numFmtId="2" fontId="42" fillId="35" borderId="187" xfId="0" applyNumberFormat="1" applyFont="1" applyFill="1" applyBorder="1"/>
    <xf numFmtId="15" fontId="42" fillId="0" borderId="116" xfId="0" applyNumberFormat="1" applyFont="1" applyBorder="1"/>
    <xf numFmtId="0" fontId="89" fillId="0" borderId="0" xfId="0" applyFont="1" applyBorder="1" applyAlignment="1">
      <alignment horizontal="center"/>
    </xf>
    <xf numFmtId="0" fontId="0" fillId="23" borderId="28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29" xfId="0" applyFill="1" applyBorder="1" applyAlignment="1">
      <alignment horizontal="center"/>
    </xf>
    <xf numFmtId="0" fontId="0" fillId="34" borderId="28" xfId="0" applyFill="1" applyBorder="1" applyAlignment="1">
      <alignment horizontal="center"/>
    </xf>
    <xf numFmtId="0" fontId="0" fillId="34" borderId="3" xfId="0" applyFill="1" applyBorder="1" applyAlignment="1">
      <alignment horizontal="center"/>
    </xf>
    <xf numFmtId="0" fontId="69" fillId="0" borderId="0" xfId="0" applyFont="1" applyBorder="1" applyAlignment="1">
      <alignment horizontal="center"/>
    </xf>
    <xf numFmtId="0" fontId="69" fillId="0" borderId="168" xfId="0" applyFont="1" applyBorder="1" applyAlignment="1">
      <alignment horizontal="center"/>
    </xf>
    <xf numFmtId="0" fontId="69" fillId="0" borderId="169" xfId="0" applyFont="1" applyBorder="1" applyAlignment="1">
      <alignment horizontal="center"/>
    </xf>
    <xf numFmtId="0" fontId="65" fillId="0" borderId="0" xfId="0" applyFont="1" applyBorder="1" applyAlignment="1">
      <alignment horizontal="center"/>
    </xf>
    <xf numFmtId="0" fontId="65" fillId="0" borderId="170" xfId="0" applyFont="1" applyBorder="1" applyAlignment="1">
      <alignment horizontal="center"/>
    </xf>
    <xf numFmtId="0" fontId="70" fillId="0" borderId="171" xfId="0" applyFont="1" applyBorder="1" applyAlignment="1">
      <alignment horizontal="center"/>
    </xf>
    <xf numFmtId="0" fontId="70" fillId="0" borderId="170" xfId="0" applyFont="1" applyBorder="1" applyAlignment="1">
      <alignment horizontal="center"/>
    </xf>
    <xf numFmtId="2" fontId="0" fillId="35" borderId="187" xfId="0" applyNumberFormat="1" applyFill="1" applyBorder="1"/>
    <xf numFmtId="44" fontId="66" fillId="0" borderId="0" xfId="0" applyNumberFormat="1" applyFont="1"/>
    <xf numFmtId="0" fontId="89" fillId="0" borderId="0" xfId="0" applyFont="1" applyBorder="1" applyAlignment="1">
      <alignment horizontal="left"/>
    </xf>
    <xf numFmtId="175" fontId="0" fillId="0" borderId="2" xfId="0" applyNumberFormat="1" applyBorder="1" applyAlignment="1" applyProtection="1">
      <alignment vertical="top"/>
      <protection locked="0"/>
    </xf>
    <xf numFmtId="2" fontId="0" fillId="19" borderId="126" xfId="0" applyNumberFormat="1" applyFill="1" applyBorder="1"/>
    <xf numFmtId="44" fontId="0" fillId="17" borderId="2" xfId="3" applyFont="1" applyFill="1" applyBorder="1" applyAlignment="1" applyProtection="1">
      <alignment horizontal="center"/>
      <protection locked="0" hidden="1"/>
    </xf>
    <xf numFmtId="10" fontId="56" fillId="39" borderId="94" xfId="0" applyNumberFormat="1" applyFont="1" applyFill="1" applyBorder="1" applyAlignment="1" applyProtection="1">
      <alignment horizontal="center"/>
    </xf>
    <xf numFmtId="0" fontId="63" fillId="3" borderId="0" xfId="0" applyFont="1" applyFill="1" applyBorder="1"/>
    <xf numFmtId="168" fontId="41" fillId="19" borderId="126" xfId="0" applyNumberFormat="1" applyFont="1" applyFill="1" applyBorder="1"/>
    <xf numFmtId="0" fontId="0" fillId="0" borderId="0" xfId="0" applyAlignment="1"/>
    <xf numFmtId="168" fontId="92" fillId="3" borderId="9" xfId="0" applyNumberFormat="1" applyFont="1" applyFill="1" applyBorder="1" applyProtection="1">
      <protection hidden="1"/>
    </xf>
    <xf numFmtId="44" fontId="44" fillId="3" borderId="98" xfId="3" applyFont="1" applyFill="1" applyBorder="1" applyAlignment="1"/>
    <xf numFmtId="168" fontId="92" fillId="3" borderId="3" xfId="0" applyNumberFormat="1" applyFont="1" applyFill="1" applyBorder="1" applyProtection="1">
      <protection hidden="1"/>
    </xf>
    <xf numFmtId="165" fontId="36" fillId="28" borderId="18" xfId="0" applyNumberFormat="1" applyFont="1" applyFill="1" applyBorder="1" applyAlignment="1"/>
    <xf numFmtId="165" fontId="58" fillId="30" borderId="12" xfId="0" applyNumberFormat="1" applyFont="1" applyFill="1" applyBorder="1"/>
    <xf numFmtId="2" fontId="0" fillId="32" borderId="0" xfId="0" applyNumberFormat="1" applyFill="1" applyBorder="1"/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3" applyNumberFormat="1" applyFont="1"/>
    <xf numFmtId="0" fontId="93" fillId="3" borderId="0" xfId="0" applyFont="1" applyFill="1" applyBorder="1"/>
    <xf numFmtId="171" fontId="93" fillId="3" borderId="0" xfId="0" applyNumberFormat="1" applyFont="1" applyFill="1" applyBorder="1"/>
    <xf numFmtId="171" fontId="94" fillId="22" borderId="145" xfId="0" applyNumberFormat="1" applyFont="1" applyFill="1" applyBorder="1" applyAlignment="1">
      <alignment horizontal="center"/>
    </xf>
    <xf numFmtId="10" fontId="24" fillId="20" borderId="27" xfId="4" applyNumberFormat="1" applyFont="1" applyFill="1" applyBorder="1" applyAlignment="1">
      <alignment horizontal="center"/>
    </xf>
    <xf numFmtId="0" fontId="46" fillId="5" borderId="146" xfId="0" applyFont="1" applyFill="1" applyBorder="1" applyAlignment="1">
      <alignment horizontal="center" vertical="distributed"/>
    </xf>
    <xf numFmtId="17" fontId="95" fillId="3" borderId="0" xfId="0" applyNumberFormat="1" applyFont="1" applyFill="1" applyBorder="1" applyAlignment="1">
      <alignment horizontal="center" vertical="distributed"/>
    </xf>
    <xf numFmtId="10" fontId="95" fillId="3" borderId="119" xfId="4" applyNumberFormat="1" applyFont="1" applyFill="1" applyBorder="1" applyAlignment="1">
      <alignment horizontal="center" vertical="distributed"/>
    </xf>
    <xf numFmtId="2" fontId="93" fillId="3" borderId="0" xfId="0" applyNumberFormat="1" applyFont="1" applyFill="1" applyBorder="1"/>
    <xf numFmtId="0" fontId="17" fillId="4" borderId="0" xfId="0" applyFont="1" applyFill="1" applyAlignment="1">
      <alignment horizontal="center" wrapText="1"/>
    </xf>
    <xf numFmtId="0" fontId="24" fillId="7" borderId="10" xfId="0" applyFont="1" applyFill="1" applyBorder="1" applyAlignment="1">
      <alignment horizontal="right" vertical="top" wrapText="1"/>
    </xf>
    <xf numFmtId="1" fontId="30" fillId="0" borderId="11" xfId="0" applyNumberFormat="1" applyFont="1" applyFill="1" applyBorder="1" applyAlignment="1" applyProtection="1">
      <alignment horizontal="center" wrapText="1"/>
      <protection locked="0"/>
    </xf>
    <xf numFmtId="0" fontId="56" fillId="28" borderId="77" xfId="0" applyNumberFormat="1" applyFont="1" applyFill="1" applyBorder="1"/>
    <xf numFmtId="0" fontId="1" fillId="13" borderId="2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165" fontId="13" fillId="33" borderId="12" xfId="0" applyNumberFormat="1" applyFont="1" applyFill="1" applyBorder="1" applyProtection="1">
      <protection locked="0"/>
    </xf>
    <xf numFmtId="165" fontId="13" fillId="33" borderId="158" xfId="0" applyNumberFormat="1" applyFont="1" applyFill="1" applyBorder="1" applyProtection="1">
      <protection locked="0"/>
    </xf>
    <xf numFmtId="165" fontId="24" fillId="33" borderId="30" xfId="0" applyNumberFormat="1" applyFont="1" applyFill="1" applyBorder="1" applyAlignment="1">
      <alignment vertical="top" wrapText="1"/>
    </xf>
    <xf numFmtId="165" fontId="24" fillId="5" borderId="0" xfId="0" applyNumberFormat="1" applyFont="1" applyFill="1" applyBorder="1" applyAlignment="1">
      <alignment vertical="top" wrapText="1"/>
    </xf>
    <xf numFmtId="165" fontId="24" fillId="5" borderId="158" xfId="0" applyNumberFormat="1" applyFont="1" applyFill="1" applyBorder="1" applyAlignment="1">
      <alignment vertical="top" wrapText="1"/>
    </xf>
    <xf numFmtId="165" fontId="24" fillId="33" borderId="0" xfId="0" applyNumberFormat="1" applyFont="1" applyFill="1" applyBorder="1" applyAlignment="1">
      <alignment vertical="top" wrapText="1"/>
    </xf>
    <xf numFmtId="165" fontId="24" fillId="33" borderId="158" xfId="0" applyNumberFormat="1" applyFont="1" applyFill="1" applyBorder="1" applyAlignment="1">
      <alignment vertical="top" wrapText="1"/>
    </xf>
    <xf numFmtId="165" fontId="17" fillId="8" borderId="158" xfId="0" applyNumberFormat="1" applyFont="1" applyFill="1" applyBorder="1"/>
    <xf numFmtId="165" fontId="13" fillId="8" borderId="0" xfId="0" applyNumberFormat="1" applyFont="1" applyFill="1" applyBorder="1" applyAlignment="1">
      <alignment horizontal="left" wrapText="1"/>
    </xf>
    <xf numFmtId="1" fontId="21" fillId="14" borderId="11" xfId="0" applyNumberFormat="1" applyFont="1" applyFill="1" applyBorder="1" applyAlignment="1" applyProtection="1">
      <alignment vertical="top" wrapText="1"/>
      <protection locked="0"/>
    </xf>
    <xf numFmtId="165" fontId="13" fillId="8" borderId="18" xfId="0" applyNumberFormat="1" applyFont="1" applyFill="1" applyBorder="1"/>
    <xf numFmtId="165" fontId="13" fillId="8" borderId="2" xfId="0" applyNumberFormat="1" applyFont="1" applyFill="1" applyBorder="1"/>
    <xf numFmtId="0" fontId="0" fillId="5" borderId="2" xfId="0" applyFill="1" applyBorder="1" applyAlignment="1">
      <alignment horizontal="center" wrapText="1"/>
    </xf>
    <xf numFmtId="173" fontId="21" fillId="14" borderId="2" xfId="0" applyNumberFormat="1" applyFont="1" applyFill="1" applyBorder="1" applyAlignment="1" applyProtection="1">
      <alignment vertical="top" wrapText="1"/>
      <protection locked="0"/>
    </xf>
    <xf numFmtId="165" fontId="13" fillId="0" borderId="0" xfId="0" applyNumberFormat="1" applyFont="1" applyFill="1" applyBorder="1" applyAlignment="1">
      <alignment horizontal="left" wrapText="1"/>
    </xf>
    <xf numFmtId="165" fontId="13" fillId="0" borderId="0" xfId="0" applyNumberFormat="1" applyFont="1" applyFill="1" applyBorder="1" applyAlignment="1">
      <alignment horizontal="right" wrapText="1"/>
    </xf>
    <xf numFmtId="0" fontId="13" fillId="0" borderId="0" xfId="0" applyFont="1" applyFill="1" applyAlignment="1">
      <alignment horizontal="right"/>
    </xf>
    <xf numFmtId="165" fontId="13" fillId="8" borderId="26" xfId="0" applyNumberFormat="1" applyFont="1" applyFill="1" applyBorder="1"/>
    <xf numFmtId="165" fontId="13" fillId="8" borderId="27" xfId="0" applyNumberFormat="1" applyFont="1" applyFill="1" applyBorder="1" applyAlignment="1">
      <alignment horizontal="left" wrapText="1"/>
    </xf>
    <xf numFmtId="0" fontId="41" fillId="0" borderId="0" xfId="0" applyFont="1"/>
    <xf numFmtId="165" fontId="41" fillId="0" borderId="0" xfId="0" applyNumberFormat="1" applyFont="1"/>
    <xf numFmtId="0" fontId="98" fillId="0" borderId="0" xfId="0" applyFont="1" applyBorder="1" applyAlignment="1">
      <alignment horizontal="center"/>
    </xf>
    <xf numFmtId="165" fontId="98" fillId="0" borderId="0" xfId="0" applyNumberFormat="1" applyFont="1" applyFill="1" applyBorder="1"/>
    <xf numFmtId="165" fontId="98" fillId="0" borderId="0" xfId="0" applyNumberFormat="1" applyFont="1" applyBorder="1" applyAlignment="1">
      <alignment horizontal="center"/>
    </xf>
    <xf numFmtId="0" fontId="8" fillId="0" borderId="0" xfId="0" applyFont="1" applyBorder="1"/>
    <xf numFmtId="165" fontId="13" fillId="33" borderId="30" xfId="0" applyNumberFormat="1" applyFont="1" applyFill="1" applyBorder="1" applyProtection="1">
      <protection locked="0"/>
    </xf>
    <xf numFmtId="44" fontId="58" fillId="30" borderId="30" xfId="3" applyFont="1" applyFill="1" applyBorder="1" applyAlignment="1">
      <alignment wrapText="1"/>
    </xf>
    <xf numFmtId="44" fontId="58" fillId="30" borderId="0" xfId="3" applyFont="1" applyFill="1" applyBorder="1" applyAlignment="1">
      <alignment wrapText="1"/>
    </xf>
    <xf numFmtId="44" fontId="58" fillId="30" borderId="18" xfId="3" applyFont="1" applyFill="1" applyBorder="1" applyAlignment="1">
      <alignment wrapText="1"/>
    </xf>
    <xf numFmtId="44" fontId="58" fillId="30" borderId="12" xfId="3" applyFont="1" applyFill="1" applyBorder="1" applyAlignment="1">
      <alignment wrapText="1"/>
    </xf>
    <xf numFmtId="0" fontId="58" fillId="0" borderId="0" xfId="0" applyFont="1" applyFill="1" applyAlignment="1">
      <alignment wrapText="1"/>
    </xf>
    <xf numFmtId="0" fontId="8" fillId="0" borderId="0" xfId="0" applyFont="1" applyFill="1"/>
    <xf numFmtId="0" fontId="0" fillId="8" borderId="2" xfId="0" applyFill="1" applyBorder="1" applyAlignment="1">
      <alignment horizontal="center" vertical="center" wrapText="1"/>
    </xf>
    <xf numFmtId="44" fontId="0" fillId="8" borderId="2" xfId="3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wrapText="1"/>
    </xf>
    <xf numFmtId="0" fontId="58" fillId="0" borderId="0" xfId="0" applyFont="1" applyFill="1" applyBorder="1" applyAlignment="1">
      <alignment wrapText="1"/>
    </xf>
    <xf numFmtId="0" fontId="98" fillId="0" borderId="0" xfId="0" applyFont="1" applyFill="1" applyBorder="1" applyAlignment="1">
      <alignment horizontal="center"/>
    </xf>
    <xf numFmtId="165" fontId="41" fillId="0" borderId="0" xfId="0" applyNumberFormat="1" applyFont="1" applyFill="1" applyBorder="1"/>
    <xf numFmtId="165" fontId="41" fillId="0" borderId="0" xfId="3" applyNumberFormat="1" applyFont="1" applyFill="1" applyBorder="1"/>
    <xf numFmtId="44" fontId="97" fillId="0" borderId="0" xfId="3" applyFont="1" applyFill="1" applyBorder="1" applyAlignment="1">
      <alignment horizontal="center" wrapText="1"/>
    </xf>
    <xf numFmtId="165" fontId="97" fillId="0" borderId="0" xfId="0" applyNumberFormat="1" applyFont="1" applyFill="1" applyBorder="1" applyAlignment="1">
      <alignment horizontal="center"/>
    </xf>
    <xf numFmtId="165" fontId="98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9" fontId="52" fillId="3" borderId="0" xfId="0" applyNumberFormat="1" applyFont="1" applyFill="1" applyBorder="1"/>
    <xf numFmtId="165" fontId="17" fillId="8" borderId="26" xfId="0" applyNumberFormat="1" applyFont="1" applyFill="1" applyBorder="1"/>
    <xf numFmtId="165" fontId="17" fillId="8" borderId="27" xfId="0" applyNumberFormat="1" applyFont="1" applyFill="1" applyBorder="1" applyAlignment="1">
      <alignment horizontal="left" wrapText="1"/>
    </xf>
    <xf numFmtId="165" fontId="0" fillId="27" borderId="0" xfId="0" applyNumberFormat="1" applyFill="1" applyBorder="1"/>
    <xf numFmtId="165" fontId="0" fillId="27" borderId="0" xfId="0" applyNumberFormat="1" applyFill="1" applyBorder="1" applyAlignment="1">
      <alignment wrapText="1"/>
    </xf>
    <xf numFmtId="2" fontId="0" fillId="27" borderId="0" xfId="0" applyNumberFormat="1" applyFill="1" applyBorder="1"/>
    <xf numFmtId="0" fontId="68" fillId="27" borderId="1" xfId="0" applyFont="1" applyFill="1" applyBorder="1"/>
    <xf numFmtId="0" fontId="0" fillId="27" borderId="1" xfId="0" applyFill="1" applyBorder="1" applyAlignment="1">
      <alignment wrapText="1"/>
    </xf>
    <xf numFmtId="0" fontId="0" fillId="27" borderId="1" xfId="0" applyFill="1" applyBorder="1"/>
    <xf numFmtId="0" fontId="0" fillId="0" borderId="136" xfId="0" applyFill="1" applyBorder="1"/>
    <xf numFmtId="0" fontId="67" fillId="0" borderId="137" xfId="0" applyFont="1" applyFill="1" applyBorder="1" applyAlignment="1">
      <alignment horizontal="center"/>
    </xf>
    <xf numFmtId="0" fontId="0" fillId="0" borderId="39" xfId="0" applyFill="1" applyBorder="1"/>
    <xf numFmtId="0" fontId="0" fillId="0" borderId="212" xfId="0" applyFill="1" applyBorder="1"/>
    <xf numFmtId="0" fontId="0" fillId="0" borderId="7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0" xfId="0" applyFont="1" applyAlignment="1">
      <alignment horizontal="right"/>
    </xf>
    <xf numFmtId="0" fontId="0" fillId="0" borderId="0" xfId="0" applyAlignment="1"/>
    <xf numFmtId="0" fontId="35" fillId="0" borderId="0" xfId="0" applyFont="1" applyAlignment="1">
      <alignment vertical="top"/>
    </xf>
    <xf numFmtId="0" fontId="35" fillId="0" borderId="2" xfId="0" applyFont="1" applyBorder="1" applyAlignment="1">
      <alignment vertical="top"/>
    </xf>
    <xf numFmtId="0" fontId="100" fillId="0" borderId="3" xfId="0" applyFont="1" applyFill="1" applyBorder="1" applyAlignment="1">
      <alignment horizontal="center"/>
    </xf>
    <xf numFmtId="0" fontId="101" fillId="0" borderId="0" xfId="0" applyFont="1" applyAlignment="1">
      <alignment horizontal="right" vertical="center"/>
    </xf>
    <xf numFmtId="10" fontId="102" fillId="3" borderId="116" xfId="4" applyNumberFormat="1" applyFont="1" applyFill="1" applyBorder="1" applyAlignment="1">
      <alignment horizontal="center" vertical="distributed"/>
    </xf>
    <xf numFmtId="44" fontId="103" fillId="17" borderId="128" xfId="3" applyFont="1" applyFill="1" applyBorder="1"/>
    <xf numFmtId="169" fontId="103" fillId="3" borderId="120" xfId="0" applyNumberFormat="1" applyFont="1" applyFill="1" applyBorder="1" applyAlignment="1" applyProtection="1">
      <alignment horizontal="center"/>
      <protection hidden="1"/>
    </xf>
    <xf numFmtId="169" fontId="103" fillId="3" borderId="122" xfId="0" applyNumberFormat="1" applyFont="1" applyFill="1" applyBorder="1" applyAlignment="1" applyProtection="1">
      <alignment horizontal="center"/>
      <protection hidden="1"/>
    </xf>
    <xf numFmtId="168" fontId="104" fillId="3" borderId="9" xfId="0" applyNumberFormat="1" applyFont="1" applyFill="1" applyBorder="1" applyProtection="1">
      <protection hidden="1"/>
    </xf>
    <xf numFmtId="168" fontId="104" fillId="3" borderId="2" xfId="0" applyNumberFormat="1" applyFont="1" applyFill="1" applyBorder="1" applyProtection="1">
      <protection hidden="1"/>
    </xf>
    <xf numFmtId="171" fontId="54" fillId="0" borderId="116" xfId="0" applyNumberFormat="1" applyFont="1" applyFill="1" applyBorder="1" applyAlignment="1">
      <alignment horizontal="center"/>
    </xf>
    <xf numFmtId="0" fontId="105" fillId="5" borderId="120" xfId="0" applyFont="1" applyFill="1" applyBorder="1"/>
    <xf numFmtId="170" fontId="106" fillId="18" borderId="2" xfId="0" applyNumberFormat="1" applyFont="1" applyFill="1" applyBorder="1"/>
    <xf numFmtId="171" fontId="105" fillId="22" borderId="144" xfId="0" applyNumberFormat="1" applyFont="1" applyFill="1" applyBorder="1" applyAlignment="1">
      <alignment horizontal="center"/>
    </xf>
    <xf numFmtId="0" fontId="107" fillId="3" borderId="0" xfId="0" applyFont="1" applyFill="1" applyBorder="1"/>
    <xf numFmtId="174" fontId="105" fillId="6" borderId="119" xfId="3" applyNumberFormat="1" applyFont="1" applyFill="1" applyBorder="1"/>
    <xf numFmtId="2" fontId="108" fillId="3" borderId="0" xfId="0" applyNumberFormat="1" applyFont="1" applyFill="1" applyBorder="1"/>
    <xf numFmtId="171" fontId="105" fillId="22" borderId="145" xfId="0" applyNumberFormat="1" applyFont="1" applyFill="1" applyBorder="1" applyAlignment="1">
      <alignment horizontal="center"/>
    </xf>
    <xf numFmtId="174" fontId="105" fillId="6" borderId="146" xfId="3" applyNumberFormat="1" applyFont="1" applyFill="1" applyBorder="1"/>
    <xf numFmtId="0" fontId="0" fillId="6" borderId="93" xfId="3" applyNumberFormat="1" applyFont="1" applyFill="1" applyBorder="1" applyAlignment="1">
      <alignment horizontal="center"/>
    </xf>
    <xf numFmtId="8" fontId="33" fillId="0" borderId="0" xfId="0" applyNumberFormat="1" applyFont="1" applyProtection="1"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104" fillId="21" borderId="0" xfId="0" applyFont="1" applyFill="1" applyAlignment="1">
      <alignment horizontal="right"/>
    </xf>
    <xf numFmtId="0" fontId="110" fillId="21" borderId="17" xfId="0" applyFont="1" applyFill="1" applyBorder="1" applyAlignment="1">
      <alignment vertical="top" wrapText="1"/>
    </xf>
    <xf numFmtId="0" fontId="111" fillId="21" borderId="17" xfId="0" applyFont="1" applyFill="1" applyBorder="1" applyAlignment="1">
      <alignment horizontal="right"/>
    </xf>
    <xf numFmtId="0" fontId="24" fillId="21" borderId="17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Alignment="1"/>
    <xf numFmtId="0" fontId="8" fillId="0" borderId="0" xfId="0" applyFont="1" applyBorder="1" applyAlignment="1"/>
    <xf numFmtId="0" fontId="0" fillId="0" borderId="0" xfId="0" applyFill="1" applyAlignment="1"/>
    <xf numFmtId="0" fontId="13" fillId="0" borderId="0" xfId="0" applyFont="1" applyFill="1" applyAlignment="1"/>
    <xf numFmtId="0" fontId="13" fillId="0" borderId="0" xfId="0" applyFont="1" applyAlignment="1"/>
    <xf numFmtId="0" fontId="0" fillId="0" borderId="0" xfId="0" applyAlignment="1">
      <alignment horizontal="center"/>
    </xf>
    <xf numFmtId="2" fontId="52" fillId="3" borderId="0" xfId="0" applyNumberFormat="1" applyFont="1" applyFill="1" applyBorder="1"/>
    <xf numFmtId="0" fontId="112" fillId="0" borderId="0" xfId="0" applyFont="1"/>
    <xf numFmtId="0" fontId="51" fillId="0" borderId="0" xfId="0" applyFont="1"/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horizontal="left" vertical="top"/>
    </xf>
    <xf numFmtId="0" fontId="44" fillId="0" borderId="0" xfId="0" applyFont="1"/>
    <xf numFmtId="0" fontId="24" fillId="0" borderId="0" xfId="0" applyFont="1" applyAlignment="1">
      <alignment horizontal="left"/>
    </xf>
    <xf numFmtId="0" fontId="113" fillId="0" borderId="0" xfId="0" applyFont="1"/>
    <xf numFmtId="0" fontId="21" fillId="0" borderId="28" xfId="0" applyFont="1" applyBorder="1"/>
    <xf numFmtId="15" fontId="21" fillId="0" borderId="3" xfId="0" applyNumberFormat="1" applyFont="1" applyBorder="1"/>
    <xf numFmtId="0" fontId="0" fillId="0" borderId="3" xfId="0" applyBorder="1" applyAlignment="1">
      <alignment horizontal="center"/>
    </xf>
    <xf numFmtId="0" fontId="0" fillId="0" borderId="28" xfId="0" applyBorder="1"/>
    <xf numFmtId="0" fontId="0" fillId="0" borderId="171" xfId="0" applyBorder="1"/>
    <xf numFmtId="15" fontId="21" fillId="0" borderId="0" xfId="0" applyNumberFormat="1" applyFont="1" applyAlignment="1">
      <alignment horizontal="left"/>
    </xf>
    <xf numFmtId="16" fontId="0" fillId="0" borderId="171" xfId="0" quotePrefix="1" applyNumberFormat="1" applyBorder="1"/>
    <xf numFmtId="0" fontId="24" fillId="0" borderId="0" xfId="0" applyFont="1"/>
    <xf numFmtId="0" fontId="24" fillId="0" borderId="170" xfId="0" applyFont="1" applyBorder="1"/>
    <xf numFmtId="0" fontId="45" fillId="0" borderId="171" xfId="0" applyFont="1" applyBorder="1"/>
    <xf numFmtId="0" fontId="42" fillId="0" borderId="170" xfId="0" applyFont="1" applyBorder="1"/>
    <xf numFmtId="0" fontId="0" fillId="0" borderId="3" xfId="0" applyBorder="1"/>
    <xf numFmtId="0" fontId="0" fillId="0" borderId="29" xfId="0" applyBorder="1"/>
    <xf numFmtId="0" fontId="21" fillId="0" borderId="0" xfId="5"/>
    <xf numFmtId="0" fontId="42" fillId="0" borderId="0" xfId="0" applyFont="1" applyAlignment="1">
      <alignment horizontal="left"/>
    </xf>
    <xf numFmtId="0" fontId="0" fillId="0" borderId="170" xfId="0" applyBorder="1"/>
    <xf numFmtId="0" fontId="21" fillId="0" borderId="171" xfId="0" applyFont="1" applyBorder="1"/>
    <xf numFmtId="0" fontId="50" fillId="0" borderId="0" xfId="0" applyFont="1"/>
    <xf numFmtId="0" fontId="21" fillId="0" borderId="5" xfId="0" applyFont="1" applyBorder="1"/>
    <xf numFmtId="0" fontId="46" fillId="0" borderId="5" xfId="0" applyFont="1" applyBorder="1"/>
    <xf numFmtId="0" fontId="24" fillId="0" borderId="5" xfId="0" applyFont="1" applyBorder="1"/>
    <xf numFmtId="0" fontId="24" fillId="0" borderId="28" xfId="0" applyFont="1" applyBorder="1"/>
    <xf numFmtId="0" fontId="0" fillId="0" borderId="8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9" xfId="0" applyBorder="1" applyAlignment="1">
      <alignment horizontal="center"/>
    </xf>
    <xf numFmtId="39" fontId="24" fillId="0" borderId="170" xfId="2" applyNumberFormat="1" applyFont="1" applyBorder="1" applyAlignment="1">
      <alignment horizontal="left"/>
    </xf>
    <xf numFmtId="0" fontId="0" fillId="0" borderId="166" xfId="0" applyBorder="1" applyAlignment="1">
      <alignment horizontal="center"/>
    </xf>
    <xf numFmtId="0" fontId="51" fillId="0" borderId="8" xfId="0" applyFont="1" applyBorder="1" applyAlignment="1">
      <alignment horizontal="center"/>
    </xf>
    <xf numFmtId="0" fontId="0" fillId="0" borderId="170" xfId="0" applyBorder="1" applyAlignment="1">
      <alignment horizontal="center"/>
    </xf>
    <xf numFmtId="0" fontId="114" fillId="0" borderId="0" xfId="0" applyFont="1"/>
    <xf numFmtId="16" fontId="21" fillId="0" borderId="4" xfId="0" applyNumberFormat="1" applyFont="1" applyBorder="1"/>
    <xf numFmtId="0" fontId="51" fillId="0" borderId="7" xfId="0" applyFont="1" applyBorder="1"/>
    <xf numFmtId="0" fontId="5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177" fontId="52" fillId="0" borderId="28" xfId="0" applyNumberFormat="1" applyFont="1" applyBorder="1" applyAlignment="1">
      <alignment horizontal="right"/>
    </xf>
    <xf numFmtId="0" fontId="54" fillId="0" borderId="28" xfId="0" applyFont="1" applyBorder="1"/>
    <xf numFmtId="0" fontId="52" fillId="0" borderId="29" xfId="0" applyFont="1" applyBorder="1"/>
    <xf numFmtId="164" fontId="52" fillId="0" borderId="8" xfId="2" applyFont="1" applyBorder="1"/>
    <xf numFmtId="9" fontId="52" fillId="0" borderId="8" xfId="4" applyFont="1" applyBorder="1"/>
    <xf numFmtId="164" fontId="52" fillId="0" borderId="166" xfId="2" applyFont="1" applyBorder="1"/>
    <xf numFmtId="4" fontId="52" fillId="0" borderId="8" xfId="0" applyNumberFormat="1" applyFont="1" applyBorder="1"/>
    <xf numFmtId="4" fontId="52" fillId="0" borderId="0" xfId="0" applyNumberFormat="1" applyFont="1"/>
    <xf numFmtId="1" fontId="21" fillId="0" borderId="171" xfId="0" applyNumberFormat="1" applyFont="1" applyBorder="1" applyAlignment="1">
      <alignment horizontal="right"/>
    </xf>
    <xf numFmtId="9" fontId="52" fillId="0" borderId="166" xfId="4" applyFont="1" applyBorder="1"/>
    <xf numFmtId="4" fontId="52" fillId="0" borderId="166" xfId="0" applyNumberFormat="1" applyFont="1" applyBorder="1"/>
    <xf numFmtId="178" fontId="52" fillId="0" borderId="0" xfId="0" applyNumberFormat="1" applyFont="1"/>
    <xf numFmtId="1" fontId="52" fillId="0" borderId="171" xfId="0" quotePrefix="1" applyNumberFormat="1" applyFont="1" applyBorder="1" applyAlignment="1">
      <alignment horizontal="right"/>
    </xf>
    <xf numFmtId="1" fontId="52" fillId="0" borderId="171" xfId="0" quotePrefix="1" applyNumberFormat="1" applyFont="1" applyBorder="1"/>
    <xf numFmtId="0" fontId="52" fillId="0" borderId="171" xfId="0" quotePrefix="1" applyFont="1" applyBorder="1"/>
    <xf numFmtId="4" fontId="52" fillId="0" borderId="170" xfId="0" applyNumberFormat="1" applyFont="1" applyBorder="1"/>
    <xf numFmtId="0" fontId="114" fillId="0" borderId="0" xfId="0" applyFont="1" applyAlignment="1">
      <alignment vertical="center"/>
    </xf>
    <xf numFmtId="179" fontId="52" fillId="0" borderId="0" xfId="0" applyNumberFormat="1" applyFont="1"/>
    <xf numFmtId="164" fontId="0" fillId="0" borderId="0" xfId="0" applyNumberFormat="1"/>
    <xf numFmtId="177" fontId="52" fillId="0" borderId="171" xfId="0" quotePrefix="1" applyNumberFormat="1" applyFont="1" applyBorder="1"/>
    <xf numFmtId="0" fontId="52" fillId="0" borderId="6" xfId="0" applyFont="1" applyBorder="1"/>
    <xf numFmtId="4" fontId="115" fillId="0" borderId="166" xfId="0" applyNumberFormat="1" applyFont="1" applyBorder="1"/>
    <xf numFmtId="4" fontId="115" fillId="0" borderId="0" xfId="0" applyNumberFormat="1" applyFont="1"/>
    <xf numFmtId="177" fontId="46" fillId="0" borderId="26" xfId="0" applyNumberFormat="1" applyFont="1" applyBorder="1"/>
    <xf numFmtId="0" fontId="52" fillId="0" borderId="9" xfId="0" applyFont="1" applyBorder="1"/>
    <xf numFmtId="4" fontId="52" fillId="0" borderId="2" xfId="0" applyNumberFormat="1" applyFont="1" applyBorder="1"/>
    <xf numFmtId="9" fontId="52" fillId="0" borderId="2" xfId="0" applyNumberFormat="1" applyFont="1" applyBorder="1"/>
    <xf numFmtId="4" fontId="52" fillId="0" borderId="27" xfId="0" applyNumberFormat="1" applyFont="1" applyBorder="1"/>
    <xf numFmtId="177" fontId="46" fillId="0" borderId="8" xfId="0" applyNumberFormat="1" applyFont="1" applyBorder="1"/>
    <xf numFmtId="0" fontId="46" fillId="0" borderId="0" xfId="0" applyFont="1"/>
    <xf numFmtId="0" fontId="52" fillId="0" borderId="0" xfId="0" applyFont="1"/>
    <xf numFmtId="4" fontId="52" fillId="0" borderId="28" xfId="0" applyNumberFormat="1" applyFont="1" applyBorder="1"/>
    <xf numFmtId="9" fontId="52" fillId="0" borderId="171" xfId="0" applyNumberFormat="1" applyFont="1" applyBorder="1"/>
    <xf numFmtId="177" fontId="54" fillId="0" borderId="166" xfId="0" applyNumberFormat="1" applyFont="1" applyBorder="1"/>
    <xf numFmtId="0" fontId="52" fillId="0" borderId="171" xfId="0" applyFont="1" applyBorder="1"/>
    <xf numFmtId="0" fontId="51" fillId="0" borderId="0" xfId="0" applyFont="1" applyAlignment="1">
      <alignment wrapText="1"/>
    </xf>
    <xf numFmtId="4" fontId="52" fillId="0" borderId="171" xfId="0" applyNumberFormat="1" applyFont="1" applyBorder="1"/>
    <xf numFmtId="177" fontId="46" fillId="0" borderId="171" xfId="0" applyNumberFormat="1" applyFont="1" applyBorder="1"/>
    <xf numFmtId="177" fontId="46" fillId="0" borderId="171" xfId="0" quotePrefix="1" applyNumberFormat="1" applyFont="1" applyBorder="1"/>
    <xf numFmtId="0" fontId="52" fillId="0" borderId="7" xfId="0" applyFont="1" applyBorder="1"/>
    <xf numFmtId="164" fontId="52" fillId="0" borderId="26" xfId="2" applyFont="1" applyBorder="1"/>
    <xf numFmtId="9" fontId="52" fillId="0" borderId="26" xfId="4" applyFont="1" applyBorder="1"/>
    <xf numFmtId="164" fontId="52" fillId="0" borderId="2" xfId="2" applyFont="1" applyBorder="1"/>
    <xf numFmtId="4" fontId="52" fillId="0" borderId="9" xfId="0" applyNumberFormat="1" applyFont="1" applyBorder="1"/>
    <xf numFmtId="9" fontId="52" fillId="0" borderId="0" xfId="4" applyFont="1" applyBorder="1"/>
    <xf numFmtId="164" fontId="52" fillId="0" borderId="7" xfId="2" applyFont="1" applyBorder="1"/>
    <xf numFmtId="4" fontId="52" fillId="0" borderId="5" xfId="0" applyNumberFormat="1" applyFont="1" applyBorder="1"/>
    <xf numFmtId="0" fontId="46" fillId="0" borderId="171" xfId="0" applyFont="1" applyBorder="1"/>
    <xf numFmtId="0" fontId="52" fillId="0" borderId="170" xfId="0" applyFont="1" applyBorder="1"/>
    <xf numFmtId="9" fontId="52" fillId="0" borderId="0" xfId="0" applyNumberFormat="1" applyFont="1"/>
    <xf numFmtId="4" fontId="52" fillId="0" borderId="7" xfId="0" applyNumberFormat="1" applyFont="1" applyBorder="1"/>
    <xf numFmtId="4" fontId="46" fillId="0" borderId="7" xfId="0" applyNumberFormat="1" applyFont="1" applyBorder="1"/>
    <xf numFmtId="4" fontId="46" fillId="0" borderId="0" xfId="0" applyNumberFormat="1" applyFont="1"/>
    <xf numFmtId="0" fontId="52" fillId="0" borderId="170" xfId="0" quotePrefix="1" applyFont="1" applyBorder="1"/>
    <xf numFmtId="4" fontId="46" fillId="0" borderId="2" xfId="0" applyNumberFormat="1" applyFont="1" applyBorder="1"/>
    <xf numFmtId="164" fontId="46" fillId="0" borderId="2" xfId="2" applyFont="1" applyBorder="1" applyAlignment="1">
      <alignment horizontal="right"/>
    </xf>
    <xf numFmtId="164" fontId="46" fillId="0" borderId="0" xfId="2" applyFont="1" applyBorder="1" applyAlignment="1">
      <alignment horizontal="right"/>
    </xf>
    <xf numFmtId="0" fontId="46" fillId="0" borderId="4" xfId="0" applyFont="1" applyBorder="1"/>
    <xf numFmtId="0" fontId="52" fillId="0" borderId="5" xfId="0" applyFont="1" applyBorder="1"/>
    <xf numFmtId="0" fontId="46" fillId="0" borderId="28" xfId="0" applyFont="1" applyBorder="1"/>
    <xf numFmtId="0" fontId="52" fillId="0" borderId="3" xfId="0" applyFont="1" applyBorder="1"/>
    <xf numFmtId="164" fontId="52" fillId="0" borderId="28" xfId="2" applyFont="1" applyBorder="1"/>
    <xf numFmtId="4" fontId="46" fillId="0" borderId="8" xfId="0" applyNumberFormat="1" applyFont="1" applyBorder="1"/>
    <xf numFmtId="164" fontId="52" fillId="0" borderId="171" xfId="2" applyFont="1" applyBorder="1"/>
    <xf numFmtId="4" fontId="46" fillId="0" borderId="166" xfId="0" applyNumberFormat="1" applyFont="1" applyBorder="1"/>
    <xf numFmtId="164" fontId="52" fillId="0" borderId="4" xfId="2" applyFont="1" applyBorder="1"/>
    <xf numFmtId="164" fontId="52" fillId="29" borderId="4" xfId="2" applyFont="1" applyFill="1" applyBorder="1"/>
    <xf numFmtId="164" fontId="46" fillId="29" borderId="7" xfId="2" applyFont="1" applyFill="1" applyBorder="1" applyAlignment="1">
      <alignment horizontal="right"/>
    </xf>
    <xf numFmtId="164" fontId="46" fillId="29" borderId="0" xfId="2" applyFont="1" applyFill="1" applyBorder="1" applyAlignment="1">
      <alignment horizontal="right"/>
    </xf>
    <xf numFmtId="8" fontId="92" fillId="0" borderId="3" xfId="0" applyNumberFormat="1" applyFont="1" applyBorder="1" applyAlignment="1">
      <alignment horizontal="left"/>
    </xf>
    <xf numFmtId="2" fontId="116" fillId="18" borderId="2" xfId="0" applyNumberFormat="1" applyFont="1" applyFill="1" applyBorder="1" applyAlignment="1">
      <alignment horizontal="center"/>
    </xf>
    <xf numFmtId="165" fontId="116" fillId="0" borderId="7" xfId="0" applyNumberFormat="1" applyFont="1" applyBorder="1" applyAlignment="1">
      <alignment horizontal="center"/>
    </xf>
    <xf numFmtId="2" fontId="116" fillId="21" borderId="2" xfId="0" applyNumberFormat="1" applyFont="1" applyFill="1" applyBorder="1" applyAlignment="1">
      <alignment horizontal="center"/>
    </xf>
    <xf numFmtId="173" fontId="116" fillId="21" borderId="2" xfId="0" applyNumberFormat="1" applyFont="1" applyFill="1" applyBorder="1" applyAlignment="1">
      <alignment horizontal="center"/>
    </xf>
    <xf numFmtId="165" fontId="116" fillId="21" borderId="2" xfId="4" applyNumberFormat="1" applyFont="1" applyFill="1" applyBorder="1" applyAlignment="1">
      <alignment horizontal="center"/>
    </xf>
    <xf numFmtId="2" fontId="116" fillId="21" borderId="26" xfId="0" applyNumberFormat="1" applyFont="1" applyFill="1" applyBorder="1" applyAlignment="1">
      <alignment horizontal="center"/>
    </xf>
    <xf numFmtId="2" fontId="116" fillId="18" borderId="7" xfId="0" applyNumberFormat="1" applyFont="1" applyFill="1" applyBorder="1" applyAlignment="1">
      <alignment horizontal="center"/>
    </xf>
    <xf numFmtId="0" fontId="40" fillId="0" borderId="5" xfId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0" fontId="0" fillId="21" borderId="0" xfId="0" applyFill="1" applyAlignment="1">
      <alignment wrapText="1"/>
    </xf>
    <xf numFmtId="49" fontId="0" fillId="0" borderId="27" xfId="0" applyNumberFormat="1" applyBorder="1" applyAlignment="1">
      <alignment vertical="top"/>
    </xf>
    <xf numFmtId="0" fontId="9" fillId="0" borderId="5" xfId="0" applyFont="1" applyBorder="1"/>
    <xf numFmtId="14" fontId="111" fillId="21" borderId="17" xfId="0" applyNumberFormat="1" applyFont="1" applyFill="1" applyBorder="1" applyAlignment="1">
      <alignment horizontal="left"/>
    </xf>
    <xf numFmtId="14" fontId="24" fillId="3" borderId="17" xfId="0" applyNumberFormat="1" applyFont="1" applyFill="1" applyBorder="1" applyAlignment="1">
      <alignment horizontal="left"/>
    </xf>
    <xf numFmtId="0" fontId="117" fillId="0" borderId="0" xfId="0" applyFont="1" applyAlignment="1">
      <alignment vertical="center"/>
    </xf>
    <xf numFmtId="0" fontId="40" fillId="0" borderId="0" xfId="1" applyAlignment="1" applyProtection="1">
      <alignment vertical="center"/>
    </xf>
    <xf numFmtId="0" fontId="0" fillId="0" borderId="28" xfId="0" applyNumberFormat="1" applyFont="1" applyBorder="1" applyAlignment="1">
      <alignment horizontal="left" wrapText="1"/>
    </xf>
    <xf numFmtId="0" fontId="0" fillId="0" borderId="3" xfId="0" applyNumberFormat="1" applyFont="1" applyBorder="1" applyAlignment="1">
      <alignment horizontal="left" wrapText="1"/>
    </xf>
    <xf numFmtId="0" fontId="0" fillId="0" borderId="29" xfId="0" applyNumberFormat="1" applyFont="1" applyBorder="1" applyAlignment="1">
      <alignment horizontal="left" wrapText="1"/>
    </xf>
    <xf numFmtId="0" fontId="0" fillId="0" borderId="109" xfId="0" applyNumberFormat="1" applyFont="1" applyBorder="1" applyAlignment="1">
      <alignment horizontal="left" wrapText="1"/>
    </xf>
    <xf numFmtId="0" fontId="0" fillId="0" borderId="110" xfId="0" applyNumberFormat="1" applyFont="1" applyBorder="1" applyAlignment="1">
      <alignment horizontal="left" wrapText="1"/>
    </xf>
    <xf numFmtId="0" fontId="0" fillId="0" borderId="144" xfId="0" applyNumberFormat="1" applyFont="1" applyBorder="1" applyAlignment="1">
      <alignment horizontal="left" wrapText="1"/>
    </xf>
    <xf numFmtId="0" fontId="7" fillId="0" borderId="0" xfId="0" applyFont="1" applyAlignment="1"/>
    <xf numFmtId="0" fontId="0" fillId="0" borderId="26" xfId="0" applyNumberFormat="1" applyBorder="1" applyAlignment="1">
      <alignment horizontal="left" wrapText="1"/>
    </xf>
    <xf numFmtId="0" fontId="0" fillId="0" borderId="9" xfId="0" applyNumberFormat="1" applyBorder="1" applyAlignment="1">
      <alignment horizontal="left" wrapText="1"/>
    </xf>
    <xf numFmtId="0" fontId="0" fillId="0" borderId="27" xfId="0" applyNumberFormat="1" applyBorder="1" applyAlignment="1">
      <alignment horizontal="left" wrapText="1"/>
    </xf>
    <xf numFmtId="0" fontId="0" fillId="0" borderId="26" xfId="0" applyNumberFormat="1" applyFont="1" applyBorder="1" applyAlignment="1">
      <alignment horizontal="left" wrapText="1"/>
    </xf>
    <xf numFmtId="0" fontId="0" fillId="0" borderId="9" xfId="0" applyNumberFormat="1" applyFont="1" applyBorder="1" applyAlignment="1">
      <alignment horizontal="left" wrapText="1"/>
    </xf>
    <xf numFmtId="0" fontId="0" fillId="0" borderId="27" xfId="0" applyNumberFormat="1" applyFont="1" applyBorder="1" applyAlignment="1">
      <alignment horizontal="left" wrapText="1"/>
    </xf>
    <xf numFmtId="0" fontId="0" fillId="0" borderId="26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0" fillId="0" borderId="27" xfId="0" applyNumberFormat="1" applyBorder="1" applyAlignment="1">
      <alignment horizontal="left"/>
    </xf>
    <xf numFmtId="0" fontId="0" fillId="0" borderId="120" xfId="0" applyNumberFormat="1" applyBorder="1" applyAlignment="1">
      <alignment horizontal="left"/>
    </xf>
    <xf numFmtId="0" fontId="0" fillId="0" borderId="145" xfId="0" applyNumberFormat="1" applyBorder="1" applyAlignment="1">
      <alignment horizontal="left"/>
    </xf>
    <xf numFmtId="0" fontId="0" fillId="0" borderId="132" xfId="0" applyNumberFormat="1" applyBorder="1" applyAlignment="1">
      <alignment horizontal="left"/>
    </xf>
    <xf numFmtId="0" fontId="0" fillId="0" borderId="135" xfId="0" applyNumberFormat="1" applyBorder="1" applyAlignment="1">
      <alignment horizontal="left"/>
    </xf>
    <xf numFmtId="0" fontId="0" fillId="0" borderId="134" xfId="0" applyNumberFormat="1" applyBorder="1" applyAlignment="1">
      <alignment horizontal="left"/>
    </xf>
    <xf numFmtId="0" fontId="118" fillId="2" borderId="0" xfId="0" applyFont="1" applyFill="1" applyAlignment="1">
      <alignment horizontal="center" vertical="center"/>
    </xf>
    <xf numFmtId="0" fontId="119" fillId="2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0" fillId="0" borderId="0" xfId="0" applyAlignment="1"/>
    <xf numFmtId="0" fontId="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34" fillId="0" borderId="0" xfId="0" applyNumberFormat="1" applyFont="1" applyAlignment="1">
      <alignment horizontal="left"/>
    </xf>
    <xf numFmtId="8" fontId="120" fillId="2" borderId="0" xfId="0" applyNumberFormat="1" applyFont="1" applyFill="1" applyAlignment="1">
      <alignment horizontal="center" vertical="center"/>
    </xf>
    <xf numFmtId="0" fontId="120" fillId="2" borderId="0" xfId="0" applyFont="1" applyFill="1" applyAlignment="1">
      <alignment horizontal="center" vertical="center"/>
    </xf>
    <xf numFmtId="0" fontId="121" fillId="2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0" fontId="34" fillId="0" borderId="2" xfId="0" applyFont="1" applyBorder="1" applyAlignment="1">
      <alignment horizontal="left" vertical="center"/>
    </xf>
    <xf numFmtId="0" fontId="35" fillId="0" borderId="2" xfId="0" applyFont="1" applyBorder="1" applyAlignment="1">
      <alignment horizontal="right" vertical="top"/>
    </xf>
    <xf numFmtId="0" fontId="109" fillId="0" borderId="2" xfId="0" applyFont="1" applyBorder="1" applyAlignment="1">
      <alignment horizontal="left" vertical="center" wrapText="1"/>
    </xf>
    <xf numFmtId="0" fontId="12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166" fontId="34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14" fillId="0" borderId="28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66" fillId="0" borderId="137" xfId="0" applyFont="1" applyBorder="1" applyAlignment="1">
      <alignment horizontal="center" wrapText="1"/>
    </xf>
    <xf numFmtId="0" fontId="66" fillId="21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33" fillId="0" borderId="0" xfId="0" applyFont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68" fillId="32" borderId="1" xfId="0" applyFont="1" applyFill="1" applyBorder="1" applyAlignment="1">
      <alignment horizontal="right"/>
    </xf>
    <xf numFmtId="0" fontId="99" fillId="27" borderId="210" xfId="0" applyFont="1" applyFill="1" applyBorder="1" applyAlignment="1">
      <alignment horizontal="center" vertical="center"/>
    </xf>
    <xf numFmtId="0" fontId="99" fillId="27" borderId="137" xfId="0" applyFont="1" applyFill="1" applyBorder="1" applyAlignment="1">
      <alignment horizontal="center" vertical="center"/>
    </xf>
    <xf numFmtId="0" fontId="99" fillId="27" borderId="211" xfId="0" applyFont="1" applyFill="1" applyBorder="1" applyAlignment="1">
      <alignment horizontal="center" vertical="center"/>
    </xf>
    <xf numFmtId="0" fontId="99" fillId="27" borderId="4" xfId="0" applyFont="1" applyFill="1" applyBorder="1" applyAlignment="1">
      <alignment horizontal="center" vertical="center"/>
    </xf>
    <xf numFmtId="0" fontId="99" fillId="27" borderId="5" xfId="0" applyFont="1" applyFill="1" applyBorder="1" applyAlignment="1">
      <alignment horizontal="center" vertical="center"/>
    </xf>
    <xf numFmtId="0" fontId="99" fillId="27" borderId="6" xfId="0" applyFont="1" applyFill="1" applyBorder="1" applyAlignment="1">
      <alignment horizontal="center" vertical="center"/>
    </xf>
    <xf numFmtId="0" fontId="99" fillId="32" borderId="210" xfId="0" applyFont="1" applyFill="1" applyBorder="1" applyAlignment="1">
      <alignment horizontal="center" vertical="center"/>
    </xf>
    <xf numFmtId="0" fontId="99" fillId="32" borderId="137" xfId="0" applyFont="1" applyFill="1" applyBorder="1" applyAlignment="1">
      <alignment horizontal="center" vertical="center"/>
    </xf>
    <xf numFmtId="0" fontId="99" fillId="32" borderId="211" xfId="0" applyFont="1" applyFill="1" applyBorder="1" applyAlignment="1">
      <alignment horizontal="center" vertical="center"/>
    </xf>
    <xf numFmtId="0" fontId="99" fillId="32" borderId="4" xfId="0" applyFont="1" applyFill="1" applyBorder="1" applyAlignment="1">
      <alignment horizontal="center" vertical="center"/>
    </xf>
    <xf numFmtId="0" fontId="99" fillId="32" borderId="5" xfId="0" applyFont="1" applyFill="1" applyBorder="1" applyAlignment="1">
      <alignment horizontal="center" vertical="center"/>
    </xf>
    <xf numFmtId="0" fontId="99" fillId="32" borderId="6" xfId="0" applyFont="1" applyFill="1" applyBorder="1" applyAlignment="1">
      <alignment horizontal="center" vertical="center"/>
    </xf>
    <xf numFmtId="0" fontId="0" fillId="32" borderId="5" xfId="0" applyFill="1" applyBorder="1" applyAlignment="1">
      <alignment horizontal="center"/>
    </xf>
    <xf numFmtId="0" fontId="0" fillId="32" borderId="129" xfId="0" applyFill="1" applyBorder="1" applyAlignment="1">
      <alignment horizontal="center"/>
    </xf>
    <xf numFmtId="17" fontId="33" fillId="0" borderId="0" xfId="0" applyNumberFormat="1" applyFont="1" applyAlignment="1" applyProtection="1">
      <protection locked="0"/>
    </xf>
    <xf numFmtId="0" fontId="33" fillId="0" borderId="0" xfId="0" applyFont="1" applyAlignment="1" applyProtection="1">
      <protection locked="0"/>
    </xf>
    <xf numFmtId="0" fontId="40" fillId="0" borderId="0" xfId="1" applyAlignment="1" applyProtection="1">
      <protection locked="0"/>
    </xf>
    <xf numFmtId="0" fontId="0" fillId="32" borderId="137" xfId="0" applyFill="1" applyBorder="1" applyAlignment="1">
      <alignment horizontal="center"/>
    </xf>
    <xf numFmtId="0" fontId="0" fillId="0" borderId="0" xfId="0" applyAlignment="1">
      <alignment horizontal="center"/>
    </xf>
    <xf numFmtId="0" fontId="21" fillId="7" borderId="12" xfId="0" applyFont="1" applyFill="1" applyBorder="1" applyAlignment="1" applyProtection="1">
      <alignment vertical="top" wrapText="1"/>
      <protection locked="0"/>
    </xf>
    <xf numFmtId="0" fontId="13" fillId="0" borderId="12" xfId="0" applyFont="1" applyBorder="1" applyAlignment="1" applyProtection="1">
      <alignment vertical="top" wrapText="1"/>
      <protection locked="0"/>
    </xf>
    <xf numFmtId="0" fontId="24" fillId="31" borderId="10" xfId="0" applyFont="1" applyFill="1" applyBorder="1" applyAlignment="1">
      <alignment horizontal="left" vertical="center"/>
    </xf>
    <xf numFmtId="0" fontId="24" fillId="7" borderId="10" xfId="0" applyFont="1" applyFill="1" applyBorder="1" applyAlignment="1">
      <alignment horizontal="left" vertical="top"/>
    </xf>
    <xf numFmtId="0" fontId="21" fillId="31" borderId="10" xfId="0" applyFont="1" applyFill="1" applyBorder="1" applyAlignment="1">
      <alignment horizontal="left" vertical="top"/>
    </xf>
    <xf numFmtId="0" fontId="52" fillId="31" borderId="10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top"/>
    </xf>
    <xf numFmtId="0" fontId="64" fillId="31" borderId="31" xfId="0" applyFont="1" applyFill="1" applyBorder="1" applyAlignment="1">
      <alignment horizontal="left" vertical="top"/>
    </xf>
    <xf numFmtId="0" fontId="21" fillId="31" borderId="10" xfId="0" applyFont="1" applyFill="1" applyBorder="1" applyAlignment="1">
      <alignment horizontal="left" vertical="center" wrapText="1"/>
    </xf>
    <xf numFmtId="0" fontId="21" fillId="7" borderId="12" xfId="0" applyFont="1" applyFill="1" applyBorder="1" applyAlignment="1">
      <alignment horizontal="left" vertical="top"/>
    </xf>
    <xf numFmtId="0" fontId="24" fillId="7" borderId="25" xfId="0" applyFont="1" applyFill="1" applyBorder="1" applyAlignment="1">
      <alignment horizontal="right" vertical="top" wrapText="1"/>
    </xf>
    <xf numFmtId="0" fontId="0" fillId="0" borderId="25" xfId="0" applyBorder="1" applyAlignment="1">
      <alignment horizontal="right" vertical="top" wrapText="1"/>
    </xf>
    <xf numFmtId="0" fontId="64" fillId="7" borderId="31" xfId="0" applyFont="1" applyFill="1" applyBorder="1" applyAlignment="1">
      <alignment horizontal="left" vertical="top"/>
    </xf>
    <xf numFmtId="0" fontId="65" fillId="0" borderId="31" xfId="0" applyFont="1" applyBorder="1" applyAlignment="1">
      <alignment horizontal="left" vertical="top"/>
    </xf>
    <xf numFmtId="0" fontId="21" fillId="6" borderId="52" xfId="0" applyFont="1" applyFill="1" applyBorder="1" applyAlignment="1" applyProtection="1">
      <alignment horizontal="center" vertical="top"/>
      <protection locked="0"/>
    </xf>
    <xf numFmtId="0" fontId="21" fillId="6" borderId="44" xfId="0" applyFont="1" applyFill="1" applyBorder="1" applyAlignment="1" applyProtection="1">
      <alignment horizontal="center" vertical="top"/>
      <protection locked="0"/>
    </xf>
    <xf numFmtId="0" fontId="21" fillId="6" borderId="53" xfId="0" applyFont="1" applyFill="1" applyBorder="1" applyAlignment="1" applyProtection="1">
      <alignment horizontal="center" vertical="top"/>
      <protection locked="0"/>
    </xf>
    <xf numFmtId="0" fontId="51" fillId="6" borderId="52" xfId="0" applyFont="1" applyFill="1" applyBorder="1" applyAlignment="1" applyProtection="1">
      <alignment horizontal="center" vertical="top"/>
      <protection locked="0"/>
    </xf>
    <xf numFmtId="0" fontId="51" fillId="6" borderId="44" xfId="0" applyFont="1" applyFill="1" applyBorder="1" applyAlignment="1" applyProtection="1">
      <alignment horizontal="center" vertical="top"/>
      <protection locked="0"/>
    </xf>
    <xf numFmtId="0" fontId="51" fillId="6" borderId="53" xfId="0" applyFont="1" applyFill="1" applyBorder="1" applyAlignment="1" applyProtection="1">
      <alignment horizontal="center" vertical="top"/>
      <protection locked="0"/>
    </xf>
    <xf numFmtId="0" fontId="21" fillId="6" borderId="52" xfId="0" applyFont="1" applyFill="1" applyBorder="1" applyAlignment="1" applyProtection="1">
      <alignment horizontal="left" vertical="top"/>
      <protection locked="0"/>
    </xf>
    <xf numFmtId="0" fontId="21" fillId="6" borderId="44" xfId="0" applyFont="1" applyFill="1" applyBorder="1" applyAlignment="1" applyProtection="1">
      <alignment horizontal="left" vertical="top"/>
      <protection locked="0"/>
    </xf>
    <xf numFmtId="0" fontId="21" fillId="6" borderId="53" xfId="0" applyFont="1" applyFill="1" applyBorder="1" applyAlignment="1" applyProtection="1">
      <alignment horizontal="left" vertical="top"/>
      <protection locked="0"/>
    </xf>
    <xf numFmtId="0" fontId="51" fillId="6" borderId="52" xfId="0" applyFont="1" applyFill="1" applyBorder="1" applyAlignment="1" applyProtection="1">
      <alignment horizontal="right" vertical="center"/>
      <protection locked="0"/>
    </xf>
    <xf numFmtId="0" fontId="51" fillId="6" borderId="44" xfId="0" applyFont="1" applyFill="1" applyBorder="1" applyAlignment="1" applyProtection="1">
      <alignment horizontal="right" vertical="center"/>
      <protection locked="0"/>
    </xf>
    <xf numFmtId="0" fontId="51" fillId="6" borderId="53" xfId="0" applyFont="1" applyFill="1" applyBorder="1" applyAlignment="1" applyProtection="1">
      <alignment horizontal="right" vertical="center"/>
      <protection locked="0"/>
    </xf>
    <xf numFmtId="0" fontId="21" fillId="31" borderId="10" xfId="0" applyFont="1" applyFill="1" applyBorder="1" applyAlignment="1">
      <alignment horizontal="left" vertical="center"/>
    </xf>
    <xf numFmtId="165" fontId="24" fillId="4" borderId="11" xfId="0" applyNumberFormat="1" applyFont="1" applyFill="1" applyBorder="1" applyAlignment="1"/>
    <xf numFmtId="0" fontId="0" fillId="0" borderId="30" xfId="0" applyBorder="1" applyAlignment="1"/>
    <xf numFmtId="0" fontId="17" fillId="4" borderId="0" xfId="0" applyFont="1" applyFill="1" applyAlignment="1">
      <alignment horizontal="center" wrapText="1"/>
    </xf>
    <xf numFmtId="1" fontId="24" fillId="4" borderId="11" xfId="0" applyNumberFormat="1" applyFont="1" applyFill="1" applyBorder="1" applyAlignment="1">
      <alignment horizontal="center" vertical="top" wrapText="1"/>
    </xf>
    <xf numFmtId="1" fontId="0" fillId="0" borderId="30" xfId="0" applyNumberFormat="1" applyBorder="1" applyAlignment="1">
      <alignment horizontal="center" wrapText="1"/>
    </xf>
    <xf numFmtId="165" fontId="38" fillId="2" borderId="12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4" fillId="4" borderId="11" xfId="0" applyFont="1" applyFill="1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24" fillId="4" borderId="11" xfId="0" applyFont="1" applyFill="1" applyBorder="1" applyAlignment="1">
      <alignment horizontal="center"/>
    </xf>
    <xf numFmtId="0" fontId="0" fillId="0" borderId="30" xfId="0" applyBorder="1" applyAlignment="1">
      <alignment horizontal="center" wrapText="1"/>
    </xf>
    <xf numFmtId="0" fontId="30" fillId="4" borderId="11" xfId="0" applyFont="1" applyFill="1" applyBorder="1" applyAlignment="1">
      <alignment horizontal="center" wrapText="1"/>
    </xf>
    <xf numFmtId="0" fontId="51" fillId="6" borderId="52" xfId="0" applyFont="1" applyFill="1" applyBorder="1" applyAlignment="1" applyProtection="1">
      <alignment horizontal="center" vertical="center"/>
      <protection locked="0"/>
    </xf>
    <xf numFmtId="0" fontId="51" fillId="6" borderId="44" xfId="0" applyFont="1" applyFill="1" applyBorder="1" applyAlignment="1" applyProtection="1">
      <alignment horizontal="center" vertical="center"/>
      <protection locked="0"/>
    </xf>
    <xf numFmtId="0" fontId="51" fillId="6" borderId="53" xfId="0" applyFont="1" applyFill="1" applyBorder="1" applyAlignment="1" applyProtection="1">
      <alignment horizontal="center" vertical="center"/>
      <protection locked="0"/>
    </xf>
    <xf numFmtId="0" fontId="21" fillId="7" borderId="10" xfId="0" applyFont="1" applyFill="1" applyBorder="1" applyAlignment="1">
      <alignment horizontal="left" vertical="top"/>
    </xf>
    <xf numFmtId="0" fontId="51" fillId="6" borderId="52" xfId="0" applyFont="1" applyFill="1" applyBorder="1" applyAlignment="1" applyProtection="1">
      <alignment horizontal="center"/>
      <protection locked="0"/>
    </xf>
    <xf numFmtId="0" fontId="51" fillId="6" borderId="44" xfId="0" applyFont="1" applyFill="1" applyBorder="1" applyAlignment="1" applyProtection="1">
      <alignment horizontal="center"/>
      <protection locked="0"/>
    </xf>
    <xf numFmtId="0" fontId="51" fillId="6" borderId="53" xfId="0" applyFont="1" applyFill="1" applyBorder="1" applyAlignment="1" applyProtection="1">
      <alignment horizontal="center"/>
      <protection locked="0"/>
    </xf>
    <xf numFmtId="0" fontId="24" fillId="7" borderId="10" xfId="0" applyFont="1" applyFill="1" applyBorder="1" applyAlignment="1">
      <alignment horizontal="left" vertical="center"/>
    </xf>
    <xf numFmtId="0" fontId="17" fillId="4" borderId="18" xfId="0" applyFont="1" applyFill="1" applyBorder="1" applyAlignment="1">
      <alignment vertical="top"/>
    </xf>
    <xf numFmtId="0" fontId="21" fillId="4" borderId="11" xfId="0" applyFont="1" applyFill="1" applyBorder="1" applyAlignment="1">
      <alignment vertical="top" wrapText="1"/>
    </xf>
    <xf numFmtId="0" fontId="0" fillId="0" borderId="30" xfId="0" applyFont="1" applyBorder="1" applyAlignment="1"/>
    <xf numFmtId="0" fontId="30" fillId="3" borderId="22" xfId="0" applyFont="1" applyFill="1" applyBorder="1" applyAlignment="1">
      <alignment horizontal="center"/>
    </xf>
    <xf numFmtId="0" fontId="30" fillId="3" borderId="24" xfId="0" applyFont="1" applyFill="1" applyBorder="1" applyAlignment="1">
      <alignment horizontal="center"/>
    </xf>
    <xf numFmtId="0" fontId="21" fillId="7" borderId="18" xfId="0" applyFont="1" applyFill="1" applyBorder="1" applyAlignment="1" applyProtection="1">
      <alignment vertical="top" wrapText="1"/>
      <protection locked="0"/>
    </xf>
    <xf numFmtId="0" fontId="13" fillId="0" borderId="18" xfId="0" applyFont="1" applyBorder="1" applyAlignment="1" applyProtection="1">
      <alignment vertical="top" wrapText="1"/>
      <protection locked="0"/>
    </xf>
    <xf numFmtId="0" fontId="17" fillId="3" borderId="22" xfId="0" applyFont="1" applyFill="1" applyBorder="1" applyAlignment="1">
      <alignment vertical="top" wrapText="1"/>
    </xf>
    <xf numFmtId="0" fontId="0" fillId="0" borderId="23" xfId="0" applyBorder="1" applyAlignment="1"/>
    <xf numFmtId="0" fontId="0" fillId="0" borderId="24" xfId="0" applyBorder="1" applyAlignment="1"/>
    <xf numFmtId="0" fontId="21" fillId="31" borderId="12" xfId="0" applyFont="1" applyFill="1" applyBorder="1" applyAlignment="1" applyProtection="1">
      <alignment vertical="top" wrapText="1"/>
      <protection locked="0"/>
    </xf>
    <xf numFmtId="0" fontId="13" fillId="31" borderId="12" xfId="0" applyFont="1" applyFill="1" applyBorder="1" applyAlignment="1" applyProtection="1">
      <alignment vertical="top" wrapText="1"/>
      <protection locked="0"/>
    </xf>
    <xf numFmtId="0" fontId="24" fillId="31" borderId="208" xfId="0" applyFont="1" applyFill="1" applyBorder="1" applyAlignment="1" applyProtection="1">
      <alignment vertical="top" wrapText="1"/>
      <protection locked="0"/>
    </xf>
    <xf numFmtId="0" fontId="17" fillId="31" borderId="208" xfId="0" applyFont="1" applyFill="1" applyBorder="1" applyAlignment="1" applyProtection="1">
      <alignment vertical="top" wrapText="1"/>
      <protection locked="0"/>
    </xf>
    <xf numFmtId="0" fontId="3" fillId="0" borderId="23" xfId="0" applyFont="1" applyBorder="1" applyAlignment="1">
      <alignment horizontal="left"/>
    </xf>
    <xf numFmtId="0" fontId="24" fillId="0" borderId="22" xfId="0" applyFont="1" applyFill="1" applyBorder="1" applyAlignment="1">
      <alignment vertical="center" wrapText="1"/>
    </xf>
    <xf numFmtId="0" fontId="24" fillId="0" borderId="23" xfId="0" applyFont="1" applyFill="1" applyBorder="1" applyAlignment="1">
      <alignment vertical="center" wrapText="1"/>
    </xf>
    <xf numFmtId="0" fontId="24" fillId="7" borderId="12" xfId="0" applyFont="1" applyFill="1" applyBorder="1" applyAlignment="1" applyProtection="1">
      <alignment horizontal="center" vertical="top" wrapText="1"/>
      <protection locked="0"/>
    </xf>
    <xf numFmtId="0" fontId="17" fillId="0" borderId="12" xfId="0" applyFont="1" applyBorder="1" applyAlignment="1" applyProtection="1">
      <alignment horizontal="center" vertical="top" wrapText="1"/>
      <protection locked="0"/>
    </xf>
    <xf numFmtId="165" fontId="13" fillId="8" borderId="5" xfId="0" applyNumberFormat="1" applyFont="1" applyFill="1" applyBorder="1" applyAlignment="1">
      <alignment horizontal="center" vertical="center" wrapText="1"/>
    </xf>
    <xf numFmtId="0" fontId="58" fillId="30" borderId="0" xfId="0" applyFont="1" applyFill="1" applyAlignment="1">
      <alignment horizontal="center" vertical="center" wrapText="1"/>
    </xf>
    <xf numFmtId="0" fontId="21" fillId="7" borderId="31" xfId="0" applyFont="1" applyFill="1" applyBorder="1" applyAlignment="1" applyProtection="1">
      <alignment vertical="top" wrapText="1"/>
      <protection locked="0"/>
    </xf>
    <xf numFmtId="0" fontId="24" fillId="40" borderId="26" xfId="0" applyFont="1" applyFill="1" applyBorder="1" applyAlignment="1" applyProtection="1">
      <alignment vertical="top" wrapText="1"/>
      <protection locked="0"/>
    </xf>
    <xf numFmtId="0" fontId="17" fillId="40" borderId="27" xfId="0" applyFont="1" applyFill="1" applyBorder="1" applyAlignment="1" applyProtection="1">
      <alignment vertical="top" wrapText="1"/>
      <protection locked="0"/>
    </xf>
    <xf numFmtId="0" fontId="21" fillId="31" borderId="158" xfId="0" applyFont="1" applyFill="1" applyBorder="1" applyAlignment="1" applyProtection="1">
      <alignment vertical="top" wrapText="1"/>
      <protection locked="0"/>
    </xf>
    <xf numFmtId="0" fontId="13" fillId="31" borderId="158" xfId="0" applyFont="1" applyFill="1" applyBorder="1" applyAlignment="1" applyProtection="1">
      <alignment vertical="top" wrapText="1"/>
      <protection locked="0"/>
    </xf>
    <xf numFmtId="0" fontId="21" fillId="7" borderId="0" xfId="0" applyFont="1" applyFill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21" fillId="7" borderId="208" xfId="0" applyFont="1" applyFill="1" applyBorder="1" applyAlignment="1" applyProtection="1">
      <alignment vertical="top" wrapText="1"/>
      <protection locked="0"/>
    </xf>
    <xf numFmtId="0" fontId="21" fillId="7" borderId="209" xfId="0" applyFont="1" applyFill="1" applyBorder="1" applyAlignment="1" applyProtection="1">
      <alignment vertical="top" wrapText="1"/>
      <protection locked="0"/>
    </xf>
    <xf numFmtId="0" fontId="43" fillId="0" borderId="0" xfId="0" applyFont="1" applyFill="1" applyBorder="1" applyAlignment="1">
      <alignment horizontal="center"/>
    </xf>
    <xf numFmtId="0" fontId="96" fillId="31" borderId="10" xfId="0" applyFont="1" applyFill="1" applyBorder="1" applyAlignment="1">
      <alignment horizontal="left" vertical="center" wrapText="1"/>
    </xf>
    <xf numFmtId="0" fontId="21" fillId="7" borderId="30" xfId="0" applyFont="1" applyFill="1" applyBorder="1" applyAlignment="1" applyProtection="1">
      <alignment vertical="top" wrapText="1"/>
      <protection locked="0"/>
    </xf>
    <xf numFmtId="0" fontId="13" fillId="0" borderId="30" xfId="0" applyFont="1" applyBorder="1" applyAlignment="1" applyProtection="1">
      <alignment vertical="top" wrapText="1"/>
      <protection locked="0"/>
    </xf>
    <xf numFmtId="0" fontId="0" fillId="0" borderId="0" xfId="0" applyFont="1" applyBorder="1" applyAlignment="1"/>
    <xf numFmtId="0" fontId="24" fillId="31" borderId="26" xfId="0" applyFont="1" applyFill="1" applyBorder="1" applyAlignment="1" applyProtection="1">
      <alignment vertical="top" wrapText="1"/>
      <protection locked="0"/>
    </xf>
    <xf numFmtId="0" fontId="17" fillId="31" borderId="27" xfId="0" applyFont="1" applyFill="1" applyBorder="1" applyAlignment="1" applyProtection="1">
      <alignment vertical="top" wrapText="1"/>
      <protection locked="0"/>
    </xf>
    <xf numFmtId="0" fontId="21" fillId="31" borderId="30" xfId="0" applyFont="1" applyFill="1" applyBorder="1" applyAlignment="1" applyProtection="1">
      <alignment vertical="top" wrapText="1"/>
      <protection locked="0"/>
    </xf>
    <xf numFmtId="0" fontId="13" fillId="31" borderId="30" xfId="0" applyFont="1" applyFill="1" applyBorder="1" applyAlignment="1" applyProtection="1">
      <alignment vertical="top" wrapText="1"/>
      <protection locked="0"/>
    </xf>
    <xf numFmtId="0" fontId="24" fillId="7" borderId="26" xfId="0" applyFont="1" applyFill="1" applyBorder="1" applyAlignment="1" applyProtection="1">
      <alignment horizontal="center" vertical="top" wrapText="1"/>
      <protection locked="0"/>
    </xf>
    <xf numFmtId="0" fontId="17" fillId="0" borderId="27" xfId="0" applyFont="1" applyBorder="1" applyAlignment="1" applyProtection="1">
      <alignment horizontal="center" vertical="top" wrapText="1"/>
      <protection locked="0"/>
    </xf>
    <xf numFmtId="167" fontId="44" fillId="6" borderId="52" xfId="0" applyNumberFormat="1" applyFont="1" applyFill="1" applyBorder="1" applyAlignment="1">
      <alignment horizontal="center"/>
    </xf>
    <xf numFmtId="167" fontId="44" fillId="6" borderId="44" xfId="0" applyNumberFormat="1" applyFont="1" applyFill="1" applyBorder="1" applyAlignment="1">
      <alignment horizontal="center"/>
    </xf>
    <xf numFmtId="167" fontId="44" fillId="6" borderId="53" xfId="0" applyNumberFormat="1" applyFont="1" applyFill="1" applyBorder="1" applyAlignment="1">
      <alignment horizontal="center"/>
    </xf>
    <xf numFmtId="0" fontId="24" fillId="3" borderId="52" xfId="0" applyNumberFormat="1" applyFont="1" applyFill="1" applyBorder="1" applyAlignment="1">
      <alignment horizontal="center"/>
    </xf>
    <xf numFmtId="0" fontId="24" fillId="3" borderId="44" xfId="0" applyNumberFormat="1" applyFont="1" applyFill="1" applyBorder="1" applyAlignment="1">
      <alignment horizontal="center"/>
    </xf>
    <xf numFmtId="0" fontId="24" fillId="3" borderId="53" xfId="0" applyNumberFormat="1" applyFont="1" applyFill="1" applyBorder="1" applyAlignment="1">
      <alignment horizontal="center"/>
    </xf>
    <xf numFmtId="0" fontId="0" fillId="0" borderId="59" xfId="0" applyNumberFormat="1" applyBorder="1" applyAlignment="1">
      <alignment horizontal="center"/>
    </xf>
    <xf numFmtId="0" fontId="0" fillId="0" borderId="86" xfId="0" applyNumberFormat="1" applyBorder="1" applyAlignment="1">
      <alignment horizontal="center"/>
    </xf>
    <xf numFmtId="0" fontId="0" fillId="0" borderId="66" xfId="0" applyNumberFormat="1" applyBorder="1" applyAlignment="1">
      <alignment horizontal="center"/>
    </xf>
    <xf numFmtId="14" fontId="0" fillId="0" borderId="159" xfId="0" applyNumberFormat="1" applyBorder="1" applyAlignment="1">
      <alignment horizontal="center"/>
    </xf>
    <xf numFmtId="0" fontId="0" fillId="0" borderId="42" xfId="0" applyNumberFormat="1" applyBorder="1" applyAlignment="1">
      <alignment horizontal="center"/>
    </xf>
    <xf numFmtId="0" fontId="0" fillId="0" borderId="160" xfId="0" applyNumberFormat="1" applyBorder="1" applyAlignment="1">
      <alignment horizontal="center"/>
    </xf>
    <xf numFmtId="0" fontId="0" fillId="0" borderId="161" xfId="0" applyNumberFormat="1" applyBorder="1" applyAlignment="1">
      <alignment horizontal="center"/>
    </xf>
    <xf numFmtId="0" fontId="49" fillId="3" borderId="109" xfId="0" applyFont="1" applyFill="1" applyBorder="1" applyAlignment="1">
      <alignment horizontal="center" wrapText="1"/>
    </xf>
    <xf numFmtId="0" fontId="49" fillId="3" borderId="110" xfId="0" applyFont="1" applyFill="1" applyBorder="1" applyAlignment="1">
      <alignment horizontal="center" wrapText="1"/>
    </xf>
    <xf numFmtId="0" fontId="49" fillId="3" borderId="111" xfId="0" applyFont="1" applyFill="1" applyBorder="1" applyAlignment="1">
      <alignment horizontal="center" wrapText="1"/>
    </xf>
    <xf numFmtId="0" fontId="24" fillId="5" borderId="52" xfId="0" applyFont="1" applyFill="1" applyBorder="1" applyAlignment="1">
      <alignment horizontal="center" vertical="distributed"/>
    </xf>
    <xf numFmtId="0" fontId="24" fillId="5" borderId="44" xfId="0" applyFont="1" applyFill="1" applyBorder="1" applyAlignment="1">
      <alignment horizontal="center" vertical="distributed"/>
    </xf>
    <xf numFmtId="0" fontId="24" fillId="5" borderId="53" xfId="0" applyFont="1" applyFill="1" applyBorder="1" applyAlignment="1">
      <alignment horizontal="center" vertical="distributed"/>
    </xf>
    <xf numFmtId="10" fontId="46" fillId="3" borderId="52" xfId="4" applyNumberFormat="1" applyFont="1" applyFill="1" applyBorder="1" applyAlignment="1">
      <alignment horizontal="center"/>
    </xf>
    <xf numFmtId="10" fontId="46" fillId="3" borderId="44" xfId="4" applyNumberFormat="1" applyFont="1" applyFill="1" applyBorder="1" applyAlignment="1">
      <alignment horizontal="center"/>
    </xf>
    <xf numFmtId="10" fontId="46" fillId="3" borderId="53" xfId="4" applyNumberFormat="1" applyFont="1" applyFill="1" applyBorder="1" applyAlignment="1">
      <alignment horizontal="center"/>
    </xf>
    <xf numFmtId="170" fontId="52" fillId="3" borderId="52" xfId="0" applyNumberFormat="1" applyFont="1" applyFill="1" applyBorder="1" applyAlignment="1">
      <alignment horizontal="center"/>
    </xf>
    <xf numFmtId="170" fontId="52" fillId="3" borderId="44" xfId="0" applyNumberFormat="1" applyFont="1" applyFill="1" applyBorder="1" applyAlignment="1">
      <alignment horizontal="center"/>
    </xf>
    <xf numFmtId="170" fontId="52" fillId="3" borderId="53" xfId="0" applyNumberFormat="1" applyFont="1" applyFill="1" applyBorder="1" applyAlignment="1">
      <alignment horizontal="center"/>
    </xf>
    <xf numFmtId="170" fontId="46" fillId="22" borderId="52" xfId="4" applyNumberFormat="1" applyFont="1" applyFill="1" applyBorder="1" applyAlignment="1">
      <alignment horizontal="center"/>
    </xf>
    <xf numFmtId="170" fontId="46" fillId="22" borderId="44" xfId="4" applyNumberFormat="1" applyFont="1" applyFill="1" applyBorder="1" applyAlignment="1">
      <alignment horizontal="center"/>
    </xf>
    <xf numFmtId="170" fontId="46" fillId="22" borderId="53" xfId="4" applyNumberFormat="1" applyFont="1" applyFill="1" applyBorder="1" applyAlignment="1">
      <alignment horizontal="center"/>
    </xf>
    <xf numFmtId="0" fontId="52" fillId="0" borderId="4" xfId="0" applyFont="1" applyBorder="1" applyAlignment="1">
      <alignment horizontal="center"/>
    </xf>
    <xf numFmtId="0" fontId="52" fillId="0" borderId="6" xfId="0" applyFont="1" applyBorder="1" applyAlignment="1">
      <alignment horizontal="center"/>
    </xf>
    <xf numFmtId="0" fontId="52" fillId="0" borderId="171" xfId="0" applyFont="1" applyBorder="1" applyAlignment="1">
      <alignment horizontal="left" wrapText="1"/>
    </xf>
    <xf numFmtId="0" fontId="52" fillId="0" borderId="170" xfId="0" applyFont="1" applyBorder="1" applyAlignment="1">
      <alignment horizontal="left" wrapText="1"/>
    </xf>
    <xf numFmtId="0" fontId="52" fillId="0" borderId="171" xfId="0" applyFont="1" applyBorder="1" applyAlignment="1">
      <alignment horizontal="center" wrapText="1"/>
    </xf>
    <xf numFmtId="0" fontId="52" fillId="0" borderId="170" xfId="0" applyFont="1" applyBorder="1" applyAlignment="1">
      <alignment horizontal="center" wrapText="1"/>
    </xf>
    <xf numFmtId="0" fontId="21" fillId="0" borderId="171" xfId="0" applyFont="1" applyBorder="1" applyAlignment="1">
      <alignment horizontal="center"/>
    </xf>
    <xf numFmtId="0" fontId="21" fillId="0" borderId="170" xfId="0" applyFont="1" applyBorder="1" applyAlignment="1">
      <alignment horizontal="center"/>
    </xf>
    <xf numFmtId="0" fontId="28" fillId="0" borderId="3" xfId="0" applyFont="1" applyBorder="1" applyAlignment="1">
      <alignment horizontal="left"/>
    </xf>
    <xf numFmtId="0" fontId="28" fillId="0" borderId="29" xfId="0" applyFont="1" applyBorder="1" applyAlignment="1">
      <alignment horizontal="left"/>
    </xf>
    <xf numFmtId="14" fontId="42" fillId="0" borderId="5" xfId="0" applyNumberFormat="1" applyFont="1" applyBorder="1" applyAlignment="1">
      <alignment horizontal="left"/>
    </xf>
    <xf numFmtId="0" fontId="42" fillId="0" borderId="5" xfId="0" applyFont="1" applyBorder="1" applyAlignment="1">
      <alignment horizontal="left"/>
    </xf>
  </cellXfs>
  <cellStyles count="6">
    <cellStyle name="Lien hypertexte" xfId="1" builtinId="8"/>
    <cellStyle name="Milliers" xfId="2" builtinId="3"/>
    <cellStyle name="Monétaire" xfId="3" builtinId="4"/>
    <cellStyle name="Normal" xfId="0" builtinId="0"/>
    <cellStyle name="Normal 2 2" xfId="5" xr:uid="{9534E6C5-B492-4556-A60A-2C5EA0B8A5CF}"/>
    <cellStyle name="Pourcentage" xfId="4" builtinId="5"/>
  </cellStyles>
  <dxfs count="0"/>
  <tableStyles count="0" defaultTableStyle="TableStyleMedium9" defaultPivotStyle="PivotStyleLight16"/>
  <colors>
    <mruColors>
      <color rgb="FF008000"/>
      <color rgb="FF8000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40</xdr:row>
      <xdr:rowOff>66675</xdr:rowOff>
    </xdr:from>
    <xdr:to>
      <xdr:col>4</xdr:col>
      <xdr:colOff>181240</xdr:colOff>
      <xdr:row>46</xdr:row>
      <xdr:rowOff>9525</xdr:rowOff>
    </xdr:to>
    <xdr:pic>
      <xdr:nvPicPr>
        <xdr:cNvPr id="1028" name="Picture 1" descr="auto0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650" y="7362825"/>
          <a:ext cx="252439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752475</xdr:colOff>
      <xdr:row>4</xdr:row>
      <xdr:rowOff>19049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1FED17B6-FDA9-44BA-B07D-FD5B33943574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667" r="55051" b="23886"/>
        <a:stretch/>
      </xdr:blipFill>
      <xdr:spPr bwMode="auto">
        <a:xfrm>
          <a:off x="0" y="0"/>
          <a:ext cx="3343275" cy="77152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Soudex%20Metal/Documents%20de%20travail/CALCUL%20DE%20SOUMISS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Soudex%20Metal/Documents%20de%20travail/Fardeau%20de%20la%20Main%20d'oeuvre%20AN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MISSION SOMMAIRE"/>
      <sheetName val="RAPPORT DE VARIANCE"/>
    </sheetNames>
    <sheetDataSet>
      <sheetData sheetId="0">
        <row r="51">
          <cell r="F51">
            <v>0.28000000000000003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rdeau de la Main d'oeuvre"/>
      <sheetName val="Break-Even Main d'oeuvre"/>
      <sheetName val="Sheet3"/>
    </sheetNames>
    <sheetDataSet>
      <sheetData sheetId="0">
        <row r="11">
          <cell r="Z11" t="str">
            <v/>
          </cell>
        </row>
        <row r="16">
          <cell r="C16" t="str">
            <v>Taux horaire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umission@soudexmetal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zoomScaleNormal="100" workbookViewId="0">
      <selection activeCell="H26" sqref="H26"/>
    </sheetView>
  </sheetViews>
  <sheetFormatPr baseColWidth="10" defaultColWidth="11.42578125" defaultRowHeight="15" x14ac:dyDescent="0.25"/>
  <cols>
    <col min="1" max="1" width="5.7109375" customWidth="1"/>
    <col min="2" max="2" width="10.28515625" customWidth="1"/>
    <col min="5" max="5" width="12.85546875" customWidth="1"/>
    <col min="6" max="6" width="13.140625" customWidth="1"/>
    <col min="7" max="7" width="10.7109375" customWidth="1"/>
    <col min="8" max="8" width="7.85546875" customWidth="1"/>
    <col min="9" max="9" width="14" customWidth="1"/>
  </cols>
  <sheetData>
    <row r="1" spans="1:9" ht="20.25" customHeight="1" x14ac:dyDescent="0.25"/>
    <row r="2" spans="1:9" ht="15" customHeight="1" x14ac:dyDescent="0.25">
      <c r="F2" s="1179" t="s">
        <v>1</v>
      </c>
      <c r="G2" s="1180"/>
      <c r="H2" s="1180"/>
      <c r="I2" s="1180"/>
    </row>
    <row r="3" spans="1:9" ht="12" customHeight="1" x14ac:dyDescent="0.25">
      <c r="C3" s="1"/>
      <c r="F3" s="1180"/>
      <c r="G3" s="1180"/>
      <c r="H3" s="1180"/>
      <c r="I3" s="1180"/>
    </row>
    <row r="4" spans="1:9" ht="12" customHeight="1" x14ac:dyDescent="0.25">
      <c r="C4" s="1"/>
      <c r="F4" s="1186" t="str">
        <f>Sommaire!M2</f>
        <v>SM-0</v>
      </c>
      <c r="G4" s="1187"/>
      <c r="H4" s="1187"/>
      <c r="I4" s="1187"/>
    </row>
    <row r="5" spans="1:9" ht="12" customHeight="1" x14ac:dyDescent="0.25">
      <c r="C5" s="1156" t="s">
        <v>433</v>
      </c>
      <c r="F5" s="1187"/>
      <c r="G5" s="1187"/>
      <c r="H5" s="1187"/>
      <c r="I5" s="1187"/>
    </row>
    <row r="6" spans="1:9" ht="12" customHeight="1" x14ac:dyDescent="0.25">
      <c r="C6" s="1156" t="s">
        <v>434</v>
      </c>
      <c r="F6" s="1188" t="s">
        <v>0</v>
      </c>
      <c r="G6" s="1188"/>
      <c r="H6" s="1188"/>
      <c r="I6" s="1188"/>
    </row>
    <row r="7" spans="1:9" ht="12" customHeight="1" x14ac:dyDescent="0.25">
      <c r="C7" s="1156" t="s">
        <v>435</v>
      </c>
      <c r="F7" s="1188" t="s">
        <v>2</v>
      </c>
      <c r="G7" s="1188"/>
      <c r="H7" s="1188"/>
      <c r="I7" s="1188"/>
    </row>
    <row r="8" spans="1:9" ht="12" customHeight="1" x14ac:dyDescent="0.25">
      <c r="C8" s="1157" t="s">
        <v>436</v>
      </c>
    </row>
    <row r="9" spans="1:9" x14ac:dyDescent="0.25">
      <c r="F9" s="94" t="s">
        <v>57</v>
      </c>
      <c r="G9" s="93" t="s">
        <v>12</v>
      </c>
    </row>
    <row r="10" spans="1:9" x14ac:dyDescent="0.25">
      <c r="A10" s="1181" t="s">
        <v>3</v>
      </c>
      <c r="B10" s="1182"/>
      <c r="C10" s="1183" t="str">
        <f>Sommaire!F1</f>
        <v>-</v>
      </c>
      <c r="D10" s="1183"/>
      <c r="E10" s="1183"/>
      <c r="F10" s="94" t="s">
        <v>58</v>
      </c>
      <c r="G10" s="92" t="str">
        <f>Sommaire!I2</f>
        <v>-</v>
      </c>
    </row>
    <row r="11" spans="1:9" x14ac:dyDescent="0.25">
      <c r="A11" s="1181" t="s">
        <v>4</v>
      </c>
      <c r="B11" s="1182"/>
      <c r="C11" s="1183" t="str">
        <f>Sommaire!C1</f>
        <v>-</v>
      </c>
      <c r="D11" s="1183"/>
      <c r="E11" s="1183"/>
      <c r="F11" s="94" t="s">
        <v>9</v>
      </c>
      <c r="G11" s="1185" t="str">
        <f>Sommaire!M1</f>
        <v>2020-00-00</v>
      </c>
      <c r="H11" s="1185"/>
    </row>
    <row r="12" spans="1:9" x14ac:dyDescent="0.25">
      <c r="A12" s="1181" t="s">
        <v>6</v>
      </c>
      <c r="B12" s="1182"/>
      <c r="C12" s="1184" t="str">
        <f>Sommaire!C2</f>
        <v>-</v>
      </c>
      <c r="D12" s="1184"/>
      <c r="E12" s="1184"/>
      <c r="F12" s="94" t="s">
        <v>10</v>
      </c>
      <c r="G12" s="906" t="s">
        <v>55</v>
      </c>
      <c r="H12" s="127"/>
    </row>
    <row r="13" spans="1:9" x14ac:dyDescent="0.25">
      <c r="A13" s="992"/>
      <c r="B13" s="993"/>
      <c r="C13" s="1184" t="str">
        <f>Sommaire!C3</f>
        <v>-</v>
      </c>
      <c r="D13" s="1184"/>
      <c r="E13" s="1184"/>
      <c r="F13" s="94"/>
      <c r="G13" s="993"/>
      <c r="H13" s="993"/>
    </row>
    <row r="14" spans="1:9" x14ac:dyDescent="0.25">
      <c r="A14" s="1181" t="s">
        <v>7</v>
      </c>
      <c r="B14" s="1182"/>
      <c r="C14" s="1195">
        <f>Sommaire!F3</f>
        <v>0</v>
      </c>
      <c r="D14" s="1195"/>
      <c r="F14" s="1191" t="s">
        <v>14</v>
      </c>
      <c r="G14" s="1190" t="str">
        <f>Sommaire!I1</f>
        <v>.</v>
      </c>
      <c r="H14" s="1190"/>
      <c r="I14" s="1190"/>
    </row>
    <row r="15" spans="1:9" x14ac:dyDescent="0.25">
      <c r="A15" s="1181" t="s">
        <v>8</v>
      </c>
      <c r="B15" s="1182"/>
      <c r="C15" s="1195">
        <f>Sommaire!F4</f>
        <v>0</v>
      </c>
      <c r="D15" s="1195"/>
      <c r="F15" s="1191"/>
      <c r="G15" s="1190"/>
      <c r="H15" s="1190"/>
      <c r="I15" s="1190"/>
    </row>
    <row r="16" spans="1:9" x14ac:dyDescent="0.25">
      <c r="A16" s="1181" t="s">
        <v>5</v>
      </c>
      <c r="B16" s="1182"/>
      <c r="C16" s="1196" t="str">
        <f>Sommaire!F5</f>
        <v>-</v>
      </c>
      <c r="D16" s="1196"/>
      <c r="E16" s="1196"/>
      <c r="F16" s="1191" t="s">
        <v>11</v>
      </c>
      <c r="G16" s="1192" t="str">
        <f>Sommaire!C4</f>
        <v>.</v>
      </c>
      <c r="H16" s="1192"/>
      <c r="I16" s="1192"/>
    </row>
    <row r="17" spans="1:9" ht="5.25" hidden="1" customHeight="1" thickBot="1" x14ac:dyDescent="0.3">
      <c r="A17" s="3"/>
      <c r="B17" s="3"/>
      <c r="C17" s="3"/>
      <c r="D17" s="3"/>
      <c r="E17" s="3"/>
      <c r="F17" s="1191"/>
      <c r="G17" s="1192"/>
      <c r="H17" s="1192"/>
      <c r="I17" s="1192"/>
    </row>
    <row r="18" spans="1:9" ht="11.25" customHeight="1" x14ac:dyDescent="0.25">
      <c r="F18" s="1191"/>
      <c r="G18" s="1192"/>
      <c r="H18" s="1192"/>
      <c r="I18" s="1192"/>
    </row>
    <row r="19" spans="1:9" x14ac:dyDescent="0.25">
      <c r="A19" s="1193" t="s">
        <v>427</v>
      </c>
      <c r="B19" s="1194"/>
      <c r="F19" s="995" t="s">
        <v>374</v>
      </c>
      <c r="G19" s="1189"/>
      <c r="H19" s="1189"/>
      <c r="I19" s="1189"/>
    </row>
    <row r="20" spans="1:9" x14ac:dyDescent="0.25">
      <c r="A20" s="644" t="s">
        <v>375</v>
      </c>
      <c r="B20" s="644"/>
      <c r="C20" s="500"/>
      <c r="D20" s="500"/>
      <c r="E20" s="500"/>
      <c r="F20" s="994"/>
      <c r="G20" s="500"/>
      <c r="H20" s="500"/>
      <c r="I20" s="500"/>
    </row>
    <row r="21" spans="1:9" x14ac:dyDescent="0.25">
      <c r="A21" s="644" t="s">
        <v>376</v>
      </c>
      <c r="B21" s="500"/>
      <c r="C21" s="500"/>
      <c r="D21" s="500"/>
      <c r="E21" s="500"/>
      <c r="F21" s="994"/>
      <c r="G21" s="500"/>
      <c r="H21" s="500"/>
      <c r="I21" s="500"/>
    </row>
    <row r="22" spans="1:9" ht="9.75" customHeight="1" x14ac:dyDescent="0.25"/>
    <row r="23" spans="1:9" ht="23.25" x14ac:dyDescent="0.35">
      <c r="A23" s="13" t="s">
        <v>13</v>
      </c>
      <c r="B23" s="1197" t="s">
        <v>17</v>
      </c>
      <c r="C23" s="1198"/>
      <c r="D23" s="1198"/>
      <c r="E23" s="1199"/>
      <c r="F23" s="13" t="s">
        <v>25</v>
      </c>
      <c r="G23" s="13" t="s">
        <v>24</v>
      </c>
      <c r="H23" s="996" t="s">
        <v>18</v>
      </c>
      <c r="I23" s="13" t="s">
        <v>16</v>
      </c>
    </row>
    <row r="24" spans="1:9" x14ac:dyDescent="0.25">
      <c r="A24" s="11"/>
      <c r="B24" s="7"/>
      <c r="C24" s="8"/>
      <c r="D24" s="8"/>
      <c r="E24" s="10"/>
      <c r="F24" s="11"/>
      <c r="G24" s="11"/>
      <c r="H24" s="8"/>
      <c r="I24" s="14" t="s">
        <v>15</v>
      </c>
    </row>
    <row r="25" spans="1:9" ht="15" customHeight="1" x14ac:dyDescent="0.25">
      <c r="A25" s="128">
        <f>Sommaire!A7</f>
        <v>1</v>
      </c>
      <c r="B25" s="1165" t="str">
        <f>Sommaire!C7</f>
        <v>.</v>
      </c>
      <c r="C25" s="1166"/>
      <c r="D25" s="1166"/>
      <c r="E25" s="1167"/>
      <c r="F25" s="131" t="str">
        <f>Sommaire!D7</f>
        <v>.</v>
      </c>
      <c r="G25" s="130" t="str">
        <f>Sommaire!E7</f>
        <v>.</v>
      </c>
      <c r="H25" s="495"/>
      <c r="I25" s="900" t="e">
        <f>Sommaire!M7*Estimation!M$52</f>
        <v>#DIV/0!</v>
      </c>
    </row>
    <row r="26" spans="1:9" ht="16.5" customHeight="1" x14ac:dyDescent="0.25">
      <c r="A26" s="132">
        <f>Sommaire!A8</f>
        <v>2</v>
      </c>
      <c r="B26" s="1168" t="str">
        <f>Sommaire!C8</f>
        <v>.</v>
      </c>
      <c r="C26" s="1169"/>
      <c r="D26" s="1169"/>
      <c r="E26" s="1170"/>
      <c r="F26" s="131" t="str">
        <f>Sommaire!D8</f>
        <v>.</v>
      </c>
      <c r="G26" s="130" t="str">
        <f>Sommaire!E8</f>
        <v>.</v>
      </c>
      <c r="H26" s="495"/>
      <c r="I26" s="900" t="e">
        <f>Sommaire!M8*Estimation!M$52</f>
        <v>#DIV/0!</v>
      </c>
    </row>
    <row r="27" spans="1:9" x14ac:dyDescent="0.25">
      <c r="A27" s="6">
        <f>Sommaire!A9</f>
        <v>3</v>
      </c>
      <c r="B27" s="1171" t="str">
        <f>Sommaire!C9</f>
        <v>.</v>
      </c>
      <c r="C27" s="1172"/>
      <c r="D27" s="1172"/>
      <c r="E27" s="1173"/>
      <c r="F27" s="131" t="str">
        <f>Sommaire!D9</f>
        <v>.</v>
      </c>
      <c r="G27" s="130" t="str">
        <f>Sommaire!E9</f>
        <v>.</v>
      </c>
      <c r="H27" s="496"/>
      <c r="I27" s="900" t="e">
        <f>Sommaire!M9*Estimation!M$52</f>
        <v>#DIV/0!</v>
      </c>
    </row>
    <row r="28" spans="1:9" ht="15" customHeight="1" x14ac:dyDescent="0.25">
      <c r="A28" s="128">
        <f>Sommaire!A10</f>
        <v>4</v>
      </c>
      <c r="B28" s="1168" t="str">
        <f>Sommaire!C10</f>
        <v>.</v>
      </c>
      <c r="C28" s="1169"/>
      <c r="D28" s="1169"/>
      <c r="E28" s="1170"/>
      <c r="F28" s="131" t="str">
        <f>Sommaire!D10</f>
        <v>.</v>
      </c>
      <c r="G28" s="130" t="str">
        <f>Sommaire!E10</f>
        <v>.</v>
      </c>
      <c r="H28" s="496"/>
      <c r="I28" s="900" t="e">
        <f>Sommaire!M10*Estimation!M$52</f>
        <v>#DIV/0!</v>
      </c>
    </row>
    <row r="29" spans="1:9" x14ac:dyDescent="0.25">
      <c r="A29" s="6">
        <f>Sommaire!A11</f>
        <v>5</v>
      </c>
      <c r="B29" s="1168" t="str">
        <f>Sommaire!C11</f>
        <v>.</v>
      </c>
      <c r="C29" s="1169"/>
      <c r="D29" s="1169"/>
      <c r="E29" s="1170"/>
      <c r="F29" s="131" t="str">
        <f>Sommaire!D11</f>
        <v>.</v>
      </c>
      <c r="G29" s="130" t="str">
        <f>Sommaire!E11</f>
        <v>.</v>
      </c>
      <c r="H29" s="497"/>
      <c r="I29" s="900" t="e">
        <f>Sommaire!M11*Estimation!M$52</f>
        <v>#DIV/0!</v>
      </c>
    </row>
    <row r="30" spans="1:9" x14ac:dyDescent="0.25">
      <c r="A30" s="6">
        <f>Sommaire!A12</f>
        <v>6</v>
      </c>
      <c r="B30" s="1168" t="str">
        <f>Sommaire!C12</f>
        <v>.</v>
      </c>
      <c r="C30" s="1169"/>
      <c r="D30" s="1169"/>
      <c r="E30" s="1170"/>
      <c r="F30" s="131" t="str">
        <f>Sommaire!D12</f>
        <v>.</v>
      </c>
      <c r="G30" s="130" t="str">
        <f>Sommaire!E12</f>
        <v>.</v>
      </c>
      <c r="H30" s="496"/>
      <c r="I30" s="900" t="e">
        <f>Sommaire!M12*Estimation!M$52</f>
        <v>#DIV/0!</v>
      </c>
    </row>
    <row r="31" spans="1:9" ht="15" customHeight="1" x14ac:dyDescent="0.25">
      <c r="A31" s="128">
        <f>Sommaire!A13</f>
        <v>7</v>
      </c>
      <c r="B31" s="1168" t="str">
        <f>Sommaire!C13</f>
        <v>.</v>
      </c>
      <c r="C31" s="1169"/>
      <c r="D31" s="1169"/>
      <c r="E31" s="1170"/>
      <c r="F31" s="131" t="str">
        <f>Sommaire!D13</f>
        <v>.</v>
      </c>
      <c r="G31" s="130" t="str">
        <f>Sommaire!E13</f>
        <v>.</v>
      </c>
      <c r="H31" s="495"/>
      <c r="I31" s="900" t="e">
        <f>Sommaire!M13*Estimation!M$52</f>
        <v>#DIV/0!</v>
      </c>
    </row>
    <row r="32" spans="1:9" ht="13.5" customHeight="1" x14ac:dyDescent="0.25">
      <c r="A32" s="6">
        <f>Sommaire!A14</f>
        <v>8</v>
      </c>
      <c r="B32" s="1168" t="str">
        <f>Sommaire!C14</f>
        <v>.</v>
      </c>
      <c r="C32" s="1169"/>
      <c r="D32" s="1169"/>
      <c r="E32" s="1170"/>
      <c r="F32" s="131" t="str">
        <f>Sommaire!D14</f>
        <v>.</v>
      </c>
      <c r="G32" s="130" t="str">
        <f>Sommaire!E14</f>
        <v>.</v>
      </c>
      <c r="H32" s="496"/>
      <c r="I32" s="900" t="e">
        <f>Sommaire!M14*Estimation!M$52</f>
        <v>#DIV/0!</v>
      </c>
    </row>
    <row r="33" spans="1:9" ht="14.25" customHeight="1" thickBot="1" x14ac:dyDescent="0.3">
      <c r="A33" s="6">
        <v>9</v>
      </c>
      <c r="B33" s="1158" t="str">
        <f>Sommaire!C15</f>
        <v>.</v>
      </c>
      <c r="C33" s="1159"/>
      <c r="D33" s="1159"/>
      <c r="E33" s="1160"/>
      <c r="F33" s="131" t="str">
        <f>Sommaire!D15</f>
        <v>.</v>
      </c>
      <c r="G33" s="130" t="str">
        <f>Sommaire!E15</f>
        <v>.</v>
      </c>
      <c r="H33" s="496"/>
      <c r="I33" s="900" t="e">
        <f>Sommaire!M15*Estimation!M$52</f>
        <v>#DIV/0!</v>
      </c>
    </row>
    <row r="34" spans="1:9" ht="15" customHeight="1" x14ac:dyDescent="0.25">
      <c r="A34" s="1059"/>
      <c r="B34" s="1161" t="s">
        <v>432</v>
      </c>
      <c r="C34" s="1162"/>
      <c r="D34" s="1162"/>
      <c r="E34" s="1163"/>
      <c r="F34" s="1152" t="str">
        <f>Sommaire!D16</f>
        <v>.</v>
      </c>
      <c r="G34" s="130" t="str">
        <f>Sommaire!E16</f>
        <v>.</v>
      </c>
      <c r="H34" s="496"/>
      <c r="I34" s="900" t="e">
        <f>Sommaire!M16*Estimation!M$52</f>
        <v>#DIV/0!</v>
      </c>
    </row>
    <row r="35" spans="1:9" x14ac:dyDescent="0.25">
      <c r="A35" s="1059"/>
      <c r="B35" s="1174"/>
      <c r="C35" s="1172"/>
      <c r="D35" s="1172"/>
      <c r="E35" s="1175"/>
      <c r="F35" s="1152" t="str">
        <f>Sommaire!D17</f>
        <v>.</v>
      </c>
      <c r="G35" s="6" t="str">
        <f>Sommaire!E17</f>
        <v>.</v>
      </c>
      <c r="H35" s="6"/>
      <c r="I35" s="900" t="e">
        <f>Sommaire!M17*Estimation!M$52</f>
        <v>#DIV/0!</v>
      </c>
    </row>
    <row r="36" spans="1:9" ht="15.75" thickBot="1" x14ac:dyDescent="0.3">
      <c r="A36" s="1059"/>
      <c r="B36" s="1176"/>
      <c r="C36" s="1177"/>
      <c r="D36" s="1177"/>
      <c r="E36" s="1178"/>
      <c r="F36" s="1152" t="str">
        <f>Sommaire!D18</f>
        <v>.</v>
      </c>
      <c r="G36" s="6" t="str">
        <f>Sommaire!E18</f>
        <v>.</v>
      </c>
      <c r="H36" s="6"/>
      <c r="I36" s="900" t="e">
        <f>Sommaire!M18*Estimation!M$52</f>
        <v>#DIV/0!</v>
      </c>
    </row>
    <row r="37" spans="1:9" ht="19.5" customHeight="1" x14ac:dyDescent="0.25">
      <c r="A37" s="6"/>
      <c r="B37" s="1153"/>
      <c r="C37" s="8"/>
      <c r="D37" s="8"/>
      <c r="E37" s="8"/>
      <c r="F37" s="6"/>
      <c r="G37" s="129" t="s">
        <v>68</v>
      </c>
      <c r="H37" s="6"/>
      <c r="I37" s="639" t="e">
        <f>SUM(I25:I36)</f>
        <v>#DIV/0!</v>
      </c>
    </row>
    <row r="38" spans="1:9" ht="14.25" customHeight="1" x14ac:dyDescent="0.25">
      <c r="A38" s="997" t="s">
        <v>18</v>
      </c>
      <c r="B38" t="s">
        <v>67</v>
      </c>
    </row>
    <row r="39" spans="1:9" ht="15" customHeight="1" x14ac:dyDescent="0.25"/>
    <row r="40" spans="1:9" x14ac:dyDescent="0.25">
      <c r="A40" s="644" t="s">
        <v>428</v>
      </c>
    </row>
    <row r="41" spans="1:9" x14ac:dyDescent="0.25">
      <c r="A41" s="4" t="s">
        <v>27</v>
      </c>
    </row>
    <row r="44" spans="1:9" x14ac:dyDescent="0.25">
      <c r="B44" s="8"/>
      <c r="C44" s="8"/>
      <c r="D44" s="8"/>
    </row>
    <row r="45" spans="1:9" x14ac:dyDescent="0.25">
      <c r="B45" s="12" t="s">
        <v>26</v>
      </c>
    </row>
    <row r="46" spans="1:9" hidden="1" x14ac:dyDescent="0.25"/>
    <row r="47" spans="1:9" ht="12" customHeight="1" x14ac:dyDescent="0.25">
      <c r="A47" s="1164" t="s">
        <v>59</v>
      </c>
      <c r="B47" s="1164"/>
      <c r="C47" s="1164"/>
      <c r="D47" s="1164"/>
      <c r="E47" s="1164"/>
      <c r="F47" s="1164"/>
      <c r="G47" s="1164"/>
      <c r="H47" s="1164"/>
      <c r="I47" s="1164"/>
    </row>
    <row r="48" spans="1:9" ht="12" customHeight="1" x14ac:dyDescent="0.25">
      <c r="A48" s="1164" t="s">
        <v>19</v>
      </c>
      <c r="B48" s="1164"/>
      <c r="C48" s="1164"/>
      <c r="D48" s="1164"/>
      <c r="E48" s="1164"/>
      <c r="F48" s="1164"/>
      <c r="G48" s="1164"/>
      <c r="H48" s="1164"/>
      <c r="I48" s="1164"/>
    </row>
    <row r="49" spans="1:9" ht="7.5" customHeight="1" x14ac:dyDescent="0.25">
      <c r="A49" s="1164"/>
      <c r="B49" s="1164"/>
      <c r="C49" s="1164"/>
      <c r="D49" s="1164"/>
      <c r="E49" s="1164"/>
      <c r="F49" s="1164"/>
      <c r="G49" s="1164"/>
      <c r="H49" s="1164"/>
      <c r="I49" s="1164"/>
    </row>
    <row r="50" spans="1:9" ht="12" customHeight="1" x14ac:dyDescent="0.25">
      <c r="A50" s="1164" t="s">
        <v>20</v>
      </c>
      <c r="B50" s="1164"/>
      <c r="C50" s="1164"/>
      <c r="D50" s="1164"/>
      <c r="E50" s="1164"/>
      <c r="F50" s="1164"/>
      <c r="G50" s="1164"/>
      <c r="H50" s="1164"/>
      <c r="I50" s="1164"/>
    </row>
    <row r="51" spans="1:9" ht="12" customHeight="1" x14ac:dyDescent="0.25">
      <c r="A51" s="1164" t="s">
        <v>21</v>
      </c>
      <c r="B51" s="1164"/>
      <c r="C51" s="1164"/>
      <c r="D51" s="1164"/>
      <c r="E51" s="1164"/>
      <c r="F51" s="1164"/>
      <c r="G51" s="1164"/>
      <c r="H51" s="1164"/>
      <c r="I51" s="1164"/>
    </row>
    <row r="52" spans="1:9" ht="12" customHeight="1" x14ac:dyDescent="0.25">
      <c r="A52" s="1164" t="s">
        <v>22</v>
      </c>
      <c r="B52" s="1164"/>
      <c r="C52" s="1164"/>
      <c r="D52" s="1164"/>
      <c r="E52" s="1164"/>
      <c r="F52" s="1164"/>
      <c r="G52" s="1164"/>
      <c r="H52" s="1164"/>
      <c r="I52" s="1164"/>
    </row>
    <row r="53" spans="1:9" ht="12" customHeight="1" x14ac:dyDescent="0.25">
      <c r="A53" s="1164" t="s">
        <v>23</v>
      </c>
      <c r="B53" s="1164"/>
      <c r="C53" s="1164"/>
      <c r="D53" s="1164"/>
      <c r="E53" s="1164"/>
      <c r="F53" s="1164"/>
      <c r="G53" s="1164"/>
      <c r="H53" s="1164"/>
      <c r="I53" s="1164"/>
    </row>
  </sheetData>
  <mergeCells count="44">
    <mergeCell ref="C13:E13"/>
    <mergeCell ref="C14:D14"/>
    <mergeCell ref="C15:D15"/>
    <mergeCell ref="C16:E16"/>
    <mergeCell ref="B23:E23"/>
    <mergeCell ref="G19:I19"/>
    <mergeCell ref="A14:B14"/>
    <mergeCell ref="A15:B15"/>
    <mergeCell ref="A16:B16"/>
    <mergeCell ref="G14:I15"/>
    <mergeCell ref="F14:F15"/>
    <mergeCell ref="G16:I18"/>
    <mergeCell ref="F16:F18"/>
    <mergeCell ref="A19:B19"/>
    <mergeCell ref="F2:I3"/>
    <mergeCell ref="A10:B10"/>
    <mergeCell ref="A11:B11"/>
    <mergeCell ref="A12:B12"/>
    <mergeCell ref="C10:E10"/>
    <mergeCell ref="C11:E11"/>
    <mergeCell ref="C12:E12"/>
    <mergeCell ref="G11:H11"/>
    <mergeCell ref="F4:I5"/>
    <mergeCell ref="F6:I6"/>
    <mergeCell ref="F7:I7"/>
    <mergeCell ref="A53:I53"/>
    <mergeCell ref="B35:E35"/>
    <mergeCell ref="B36:E36"/>
    <mergeCell ref="A49:I49"/>
    <mergeCell ref="A50:I50"/>
    <mergeCell ref="A48:I48"/>
    <mergeCell ref="A47:I47"/>
    <mergeCell ref="B33:E33"/>
    <mergeCell ref="B34:E34"/>
    <mergeCell ref="A51:I51"/>
    <mergeCell ref="A52:I52"/>
    <mergeCell ref="B25:E25"/>
    <mergeCell ref="B26:E26"/>
    <mergeCell ref="B30:E30"/>
    <mergeCell ref="B31:E31"/>
    <mergeCell ref="B32:E32"/>
    <mergeCell ref="B29:E29"/>
    <mergeCell ref="B27:E27"/>
    <mergeCell ref="B28:E28"/>
  </mergeCells>
  <phoneticPr fontId="0" type="noConversion"/>
  <hyperlinks>
    <hyperlink ref="C8" r:id="rId1" display="mailto:soumission@soudexmetal.ca" xr:uid="{C9A82B96-4B02-4A46-AFD3-C135E448630B}"/>
  </hyperlinks>
  <pageMargins left="0.39370078740157483" right="0.39370078740157483" top="0.59055118110236227" bottom="0.39370078740157483" header="0.31496062992125984" footer="0.31496062992125984"/>
  <pageSetup scale="9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43"/>
  <sheetViews>
    <sheetView topLeftCell="A22" workbookViewId="0">
      <selection activeCell="N1" sqref="N1:N1048576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Sommaire!D14</f>
        <v>.</v>
      </c>
      <c r="D5" s="118"/>
      <c r="E5" s="63"/>
      <c r="F5" s="73" t="s">
        <v>9</v>
      </c>
      <c r="G5" s="87" t="str">
        <f>Sommaire!M1</f>
        <v>2020-00-00</v>
      </c>
      <c r="H5" s="76"/>
      <c r="I5" s="64"/>
      <c r="J5" s="65"/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Sommaire!A14</f>
        <v>8</v>
      </c>
      <c r="D6" s="119" t="s">
        <v>29</v>
      </c>
      <c r="E6" s="89">
        <f>Sommaire!B14</f>
        <v>1</v>
      </c>
      <c r="F6" s="114" t="s">
        <v>64</v>
      </c>
      <c r="G6" s="1286" t="str">
        <f>Sommaire!C14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.75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.75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.75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.75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.75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4.25" customHeight="1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5.75" customHeight="1" thickBot="1" x14ac:dyDescent="0.25">
      <c r="A68" s="687">
        <v>5120</v>
      </c>
      <c r="B68" s="1230" t="s">
        <v>341</v>
      </c>
      <c r="C68" s="1230"/>
      <c r="D68" s="1230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26.25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3.5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3.5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B49:C49"/>
    <mergeCell ref="O56:P56"/>
    <mergeCell ref="Q56:Q59"/>
    <mergeCell ref="B79:J79"/>
    <mergeCell ref="L55:M55"/>
    <mergeCell ref="F57:K57"/>
    <mergeCell ref="F58:K58"/>
    <mergeCell ref="G8:G9"/>
    <mergeCell ref="H8:H9"/>
    <mergeCell ref="L8:L9"/>
    <mergeCell ref="K8:K9"/>
    <mergeCell ref="I8:I9"/>
    <mergeCell ref="J8:J9"/>
    <mergeCell ref="B10:C10"/>
    <mergeCell ref="B56:D56"/>
    <mergeCell ref="B57:D57"/>
    <mergeCell ref="B58:D58"/>
    <mergeCell ref="B54:C54"/>
    <mergeCell ref="B51:C51"/>
    <mergeCell ref="B64:D64"/>
    <mergeCell ref="F64:K64"/>
    <mergeCell ref="B65:D65"/>
    <mergeCell ref="F65:K65"/>
    <mergeCell ref="F59:K59"/>
    <mergeCell ref="A8:A9"/>
    <mergeCell ref="B8:C9"/>
    <mergeCell ref="E8:E9"/>
    <mergeCell ref="F8:F9"/>
    <mergeCell ref="D8:D9"/>
    <mergeCell ref="B46:C46"/>
    <mergeCell ref="B45:C45"/>
    <mergeCell ref="B43:C43"/>
    <mergeCell ref="B44:C44"/>
    <mergeCell ref="B32:C32"/>
    <mergeCell ref="B41:C41"/>
    <mergeCell ref="B42:C42"/>
    <mergeCell ref="B23:C23"/>
    <mergeCell ref="B24:C24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G3:I3"/>
    <mergeCell ref="G4:H4"/>
    <mergeCell ref="B47:C47"/>
    <mergeCell ref="B48:C48"/>
    <mergeCell ref="B50:C50"/>
    <mergeCell ref="B31:C31"/>
    <mergeCell ref="B11:C11"/>
    <mergeCell ref="B12:C12"/>
    <mergeCell ref="B13:C13"/>
    <mergeCell ref="B14:C14"/>
    <mergeCell ref="B33:C33"/>
    <mergeCell ref="B34:C34"/>
    <mergeCell ref="B35:C35"/>
    <mergeCell ref="B36:C36"/>
    <mergeCell ref="C3:E3"/>
    <mergeCell ref="G6:K6"/>
    <mergeCell ref="B15:C15"/>
    <mergeCell ref="B16:C16"/>
    <mergeCell ref="B17:C17"/>
    <mergeCell ref="B18:C18"/>
    <mergeCell ref="B19:C19"/>
    <mergeCell ref="B20:C20"/>
    <mergeCell ref="B21:C21"/>
    <mergeCell ref="B22:C22"/>
    <mergeCell ref="F61:K61"/>
    <mergeCell ref="F62:K62"/>
    <mergeCell ref="F63:K63"/>
    <mergeCell ref="B59:D59"/>
    <mergeCell ref="B60:D60"/>
    <mergeCell ref="B61:D61"/>
    <mergeCell ref="B62:D62"/>
    <mergeCell ref="B63:D63"/>
    <mergeCell ref="F60:K60"/>
    <mergeCell ref="B66:D66"/>
    <mergeCell ref="F66:K66"/>
    <mergeCell ref="B67:D67"/>
    <mergeCell ref="F67:K67"/>
    <mergeCell ref="B68:D68"/>
    <mergeCell ref="F68:K68"/>
    <mergeCell ref="B75:D75"/>
    <mergeCell ref="F75:K75"/>
    <mergeCell ref="B69:D69"/>
    <mergeCell ref="F69:K69"/>
    <mergeCell ref="B70:D70"/>
    <mergeCell ref="F70:K70"/>
    <mergeCell ref="B71:D71"/>
    <mergeCell ref="F71:K71"/>
    <mergeCell ref="B72:D72"/>
    <mergeCell ref="F72:K72"/>
    <mergeCell ref="B73:D73"/>
    <mergeCell ref="F73:K73"/>
    <mergeCell ref="B74:D74"/>
    <mergeCell ref="F74:K74"/>
  </mergeCells>
  <phoneticPr fontId="0" type="noConversion"/>
  <hyperlinks>
    <hyperlink ref="A75" location="Sommaire!A1" display="Sommaire!A1" xr:uid="{00000000-0004-0000-09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43"/>
  <sheetViews>
    <sheetView topLeftCell="A19" workbookViewId="0">
      <selection activeCell="N39" sqref="N39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Sommaire!D15</f>
        <v>.</v>
      </c>
      <c r="D5" s="118"/>
      <c r="E5" s="63"/>
      <c r="F5" s="73" t="s">
        <v>9</v>
      </c>
      <c r="G5" s="87" t="str">
        <f>Sommaire!M1</f>
        <v>2020-00-00</v>
      </c>
      <c r="H5" s="76"/>
      <c r="I5" s="64"/>
      <c r="J5" s="65"/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Sommaire!A15</f>
        <v>9</v>
      </c>
      <c r="D6" s="119" t="s">
        <v>29</v>
      </c>
      <c r="E6" s="89">
        <f>Sommaire!B15</f>
        <v>1</v>
      </c>
      <c r="F6" s="114" t="s">
        <v>64</v>
      </c>
      <c r="G6" s="1286" t="str">
        <f>Sommaire!C15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.75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.75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.75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.75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.75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4.25" customHeight="1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5.75" customHeight="1" thickBot="1" x14ac:dyDescent="0.25">
      <c r="A68" s="687">
        <v>5120</v>
      </c>
      <c r="B68" s="1230" t="s">
        <v>341</v>
      </c>
      <c r="C68" s="1230"/>
      <c r="D68" s="1230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26.25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3.5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3.5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B49:C49"/>
    <mergeCell ref="O56:P56"/>
    <mergeCell ref="Q56:Q59"/>
    <mergeCell ref="B79:J79"/>
    <mergeCell ref="L55:M55"/>
    <mergeCell ref="F57:K57"/>
    <mergeCell ref="F58:K58"/>
    <mergeCell ref="G8:G9"/>
    <mergeCell ref="H8:H9"/>
    <mergeCell ref="L8:L9"/>
    <mergeCell ref="K8:K9"/>
    <mergeCell ref="I8:I9"/>
    <mergeCell ref="J8:J9"/>
    <mergeCell ref="B10:C10"/>
    <mergeCell ref="B56:D56"/>
    <mergeCell ref="B57:D57"/>
    <mergeCell ref="B58:D58"/>
    <mergeCell ref="B54:C54"/>
    <mergeCell ref="B51:C51"/>
    <mergeCell ref="B64:D64"/>
    <mergeCell ref="F64:K64"/>
    <mergeCell ref="B65:D65"/>
    <mergeCell ref="F65:K65"/>
    <mergeCell ref="F59:K59"/>
    <mergeCell ref="A8:A9"/>
    <mergeCell ref="B8:C9"/>
    <mergeCell ref="E8:E9"/>
    <mergeCell ref="F8:F9"/>
    <mergeCell ref="D8:D9"/>
    <mergeCell ref="B46:C46"/>
    <mergeCell ref="B45:C45"/>
    <mergeCell ref="B43:C43"/>
    <mergeCell ref="B44:C44"/>
    <mergeCell ref="B32:C32"/>
    <mergeCell ref="B41:C41"/>
    <mergeCell ref="B42:C42"/>
    <mergeCell ref="B23:C23"/>
    <mergeCell ref="B24:C24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G3:I3"/>
    <mergeCell ref="G4:H4"/>
    <mergeCell ref="B47:C47"/>
    <mergeCell ref="B48:C48"/>
    <mergeCell ref="B50:C50"/>
    <mergeCell ref="B31:C31"/>
    <mergeCell ref="B11:C11"/>
    <mergeCell ref="B12:C12"/>
    <mergeCell ref="B13:C13"/>
    <mergeCell ref="B14:C14"/>
    <mergeCell ref="B33:C33"/>
    <mergeCell ref="B34:C34"/>
    <mergeCell ref="B35:C35"/>
    <mergeCell ref="B36:C36"/>
    <mergeCell ref="C3:E3"/>
    <mergeCell ref="G6:K6"/>
    <mergeCell ref="B15:C15"/>
    <mergeCell ref="B16:C16"/>
    <mergeCell ref="B17:C17"/>
    <mergeCell ref="B18:C18"/>
    <mergeCell ref="B19:C19"/>
    <mergeCell ref="B20:C20"/>
    <mergeCell ref="B21:C21"/>
    <mergeCell ref="B22:C22"/>
    <mergeCell ref="F61:K61"/>
    <mergeCell ref="F62:K62"/>
    <mergeCell ref="F63:K63"/>
    <mergeCell ref="B59:D59"/>
    <mergeCell ref="B60:D60"/>
    <mergeCell ref="B61:D61"/>
    <mergeCell ref="B62:D62"/>
    <mergeCell ref="B63:D63"/>
    <mergeCell ref="F60:K60"/>
    <mergeCell ref="B66:D66"/>
    <mergeCell ref="F66:K66"/>
    <mergeCell ref="B67:D67"/>
    <mergeCell ref="F67:K67"/>
    <mergeCell ref="B68:D68"/>
    <mergeCell ref="F68:K68"/>
    <mergeCell ref="B75:D75"/>
    <mergeCell ref="F75:K75"/>
    <mergeCell ref="B69:D69"/>
    <mergeCell ref="F69:K69"/>
    <mergeCell ref="B70:D70"/>
    <mergeCell ref="F70:K70"/>
    <mergeCell ref="B71:D71"/>
    <mergeCell ref="F71:K71"/>
    <mergeCell ref="B72:D72"/>
    <mergeCell ref="F72:K72"/>
    <mergeCell ref="B73:D73"/>
    <mergeCell ref="F73:K73"/>
    <mergeCell ref="B74:D74"/>
    <mergeCell ref="F74:K74"/>
  </mergeCells>
  <phoneticPr fontId="0" type="noConversion"/>
  <hyperlinks>
    <hyperlink ref="A75" location="Sommaire!A1" display="Sommaire!A1" xr:uid="{00000000-0004-0000-0A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43"/>
  <sheetViews>
    <sheetView topLeftCell="A34" workbookViewId="0">
      <selection activeCell="N1" sqref="N1:N1048576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Sommaire!D16</f>
        <v>.</v>
      </c>
      <c r="D5" s="118"/>
      <c r="E5" s="63"/>
      <c r="F5" s="73" t="s">
        <v>9</v>
      </c>
      <c r="G5" s="87" t="str">
        <f>Sommaire!M1</f>
        <v>2020-00-00</v>
      </c>
      <c r="H5" s="76"/>
      <c r="I5" s="64"/>
      <c r="J5" s="65"/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Sommaire!A16</f>
        <v>10</v>
      </c>
      <c r="D6" s="119" t="s">
        <v>29</v>
      </c>
      <c r="E6" s="89">
        <f>Sommaire!B16</f>
        <v>1</v>
      </c>
      <c r="F6" s="114" t="s">
        <v>64</v>
      </c>
      <c r="G6" s="1286" t="str">
        <f>Sommaire!C16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.75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.75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.75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.75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.75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5" customHeight="1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6.5" customHeight="1" thickBot="1" x14ac:dyDescent="0.25">
      <c r="A68" s="687">
        <v>5120</v>
      </c>
      <c r="B68" s="1251" t="s">
        <v>341</v>
      </c>
      <c r="C68" s="1251"/>
      <c r="D68" s="1251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30" customHeight="1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21" customHeight="1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3.5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O56:P56"/>
    <mergeCell ref="Q56:Q59"/>
    <mergeCell ref="B79:J79"/>
    <mergeCell ref="F60:K60"/>
    <mergeCell ref="A8:A9"/>
    <mergeCell ref="B8:C9"/>
    <mergeCell ref="E8:E9"/>
    <mergeCell ref="F8:F9"/>
    <mergeCell ref="D8:D9"/>
    <mergeCell ref="B11:C11"/>
    <mergeCell ref="B12:C12"/>
    <mergeCell ref="B13:C13"/>
    <mergeCell ref="B14:C14"/>
    <mergeCell ref="B46:C46"/>
    <mergeCell ref="B15:C15"/>
    <mergeCell ref="B16:C16"/>
    <mergeCell ref="B17:C17"/>
    <mergeCell ref="B18:C18"/>
    <mergeCell ref="B19:C19"/>
    <mergeCell ref="G8:G9"/>
    <mergeCell ref="H8:H9"/>
    <mergeCell ref="L8:L9"/>
    <mergeCell ref="K8:K9"/>
    <mergeCell ref="I8:I9"/>
    <mergeCell ref="J8:J9"/>
    <mergeCell ref="B20:C20"/>
    <mergeCell ref="B21:C21"/>
    <mergeCell ref="B22:C22"/>
    <mergeCell ref="B23:C23"/>
    <mergeCell ref="B24:C24"/>
    <mergeCell ref="B25:C25"/>
    <mergeCell ref="B56:D56"/>
    <mergeCell ref="B49:C49"/>
    <mergeCell ref="G3:I3"/>
    <mergeCell ref="G4:H4"/>
    <mergeCell ref="G6:K6"/>
    <mergeCell ref="B47:C47"/>
    <mergeCell ref="B48:C48"/>
    <mergeCell ref="B45:C45"/>
    <mergeCell ref="B43:C43"/>
    <mergeCell ref="B44:C44"/>
    <mergeCell ref="B32:C32"/>
    <mergeCell ref="C3:E3"/>
    <mergeCell ref="B33:C33"/>
    <mergeCell ref="B34:C34"/>
    <mergeCell ref="B35:C35"/>
    <mergeCell ref="B36:C36"/>
    <mergeCell ref="B10:C10"/>
    <mergeCell ref="B31:C31"/>
    <mergeCell ref="B26:C26"/>
    <mergeCell ref="B27:C27"/>
    <mergeCell ref="B28:C28"/>
    <mergeCell ref="B29:C29"/>
    <mergeCell ref="B30:C30"/>
    <mergeCell ref="B42:C42"/>
    <mergeCell ref="B37:C37"/>
    <mergeCell ref="B38:C38"/>
    <mergeCell ref="L55:M55"/>
    <mergeCell ref="B64:D64"/>
    <mergeCell ref="F64:K64"/>
    <mergeCell ref="B65:D65"/>
    <mergeCell ref="F65:K65"/>
    <mergeCell ref="F59:K59"/>
    <mergeCell ref="F61:K61"/>
    <mergeCell ref="F62:K62"/>
    <mergeCell ref="F63:K63"/>
    <mergeCell ref="F57:K57"/>
    <mergeCell ref="F58:K58"/>
    <mergeCell ref="B59:D59"/>
    <mergeCell ref="B60:D60"/>
    <mergeCell ref="B61:D61"/>
    <mergeCell ref="B62:D62"/>
    <mergeCell ref="B63:D63"/>
    <mergeCell ref="B57:D57"/>
    <mergeCell ref="B58:D58"/>
    <mergeCell ref="B66:D66"/>
    <mergeCell ref="F66:K66"/>
    <mergeCell ref="B67:D67"/>
    <mergeCell ref="F67:K67"/>
    <mergeCell ref="B68:D68"/>
    <mergeCell ref="F68:K68"/>
    <mergeCell ref="B39:C39"/>
    <mergeCell ref="B40:C40"/>
    <mergeCell ref="B41:C41"/>
    <mergeCell ref="B54:C54"/>
    <mergeCell ref="B50:C50"/>
    <mergeCell ref="B51:C51"/>
    <mergeCell ref="B75:D75"/>
    <mergeCell ref="F75:K75"/>
    <mergeCell ref="B69:D69"/>
    <mergeCell ref="F69:K69"/>
    <mergeCell ref="B70:D70"/>
    <mergeCell ref="F70:K70"/>
    <mergeCell ref="B71:D71"/>
    <mergeCell ref="F71:K71"/>
    <mergeCell ref="B72:D72"/>
    <mergeCell ref="F72:K72"/>
    <mergeCell ref="B73:D73"/>
    <mergeCell ref="F73:K73"/>
    <mergeCell ref="B74:D74"/>
    <mergeCell ref="F74:K74"/>
  </mergeCells>
  <phoneticPr fontId="0" type="noConversion"/>
  <hyperlinks>
    <hyperlink ref="A75" location="Sommaire!A1" display="Sommaire!A1" xr:uid="{00000000-0004-0000-0B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143"/>
  <sheetViews>
    <sheetView topLeftCell="A19" workbookViewId="0">
      <selection activeCell="N1" sqref="N1:N1048576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Sommaire!D17</f>
        <v>.</v>
      </c>
      <c r="D5" s="118"/>
      <c r="E5" s="63"/>
      <c r="F5" s="73" t="s">
        <v>9</v>
      </c>
      <c r="G5" s="87" t="str">
        <f>Sommaire!M1</f>
        <v>2020-00-00</v>
      </c>
      <c r="H5" s="76"/>
      <c r="I5" s="64"/>
      <c r="J5" s="65"/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Sommaire!A17</f>
        <v>11</v>
      </c>
      <c r="D6" s="119" t="s">
        <v>29</v>
      </c>
      <c r="E6" s="89">
        <f>Sommaire!B17</f>
        <v>1</v>
      </c>
      <c r="F6" s="114" t="s">
        <v>64</v>
      </c>
      <c r="G6" s="1286" t="str">
        <f>Sommaire!C17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.75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.75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.75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.75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.75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4.25" customHeight="1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8" customHeight="1" thickBot="1" x14ac:dyDescent="0.25">
      <c r="A68" s="687">
        <v>5120</v>
      </c>
      <c r="B68" s="1251" t="s">
        <v>341</v>
      </c>
      <c r="C68" s="1251"/>
      <c r="D68" s="1251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30.75" customHeight="1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7.25" customHeight="1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3.5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B49:C49"/>
    <mergeCell ref="O56:P56"/>
    <mergeCell ref="Q56:Q59"/>
    <mergeCell ref="B79:J79"/>
    <mergeCell ref="L55:M55"/>
    <mergeCell ref="F57:K57"/>
    <mergeCell ref="F58:K58"/>
    <mergeCell ref="G8:G9"/>
    <mergeCell ref="H8:H9"/>
    <mergeCell ref="L8:L9"/>
    <mergeCell ref="K8:K9"/>
    <mergeCell ref="I8:I9"/>
    <mergeCell ref="J8:J9"/>
    <mergeCell ref="B10:C10"/>
    <mergeCell ref="B57:D57"/>
    <mergeCell ref="B58:D58"/>
    <mergeCell ref="B54:C54"/>
    <mergeCell ref="B51:C51"/>
    <mergeCell ref="B56:D56"/>
    <mergeCell ref="B64:D64"/>
    <mergeCell ref="F64:K64"/>
    <mergeCell ref="B65:D65"/>
    <mergeCell ref="F65:K65"/>
    <mergeCell ref="F59:K59"/>
    <mergeCell ref="A8:A9"/>
    <mergeCell ref="B8:C9"/>
    <mergeCell ref="E8:E9"/>
    <mergeCell ref="F8:F9"/>
    <mergeCell ref="D8:D9"/>
    <mergeCell ref="B46:C46"/>
    <mergeCell ref="B45:C45"/>
    <mergeCell ref="B43:C43"/>
    <mergeCell ref="B44:C44"/>
    <mergeCell ref="B32:C32"/>
    <mergeCell ref="B41:C41"/>
    <mergeCell ref="B42:C42"/>
    <mergeCell ref="B23:C23"/>
    <mergeCell ref="B24:C24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G3:I3"/>
    <mergeCell ref="G4:H4"/>
    <mergeCell ref="B47:C47"/>
    <mergeCell ref="B48:C48"/>
    <mergeCell ref="B50:C50"/>
    <mergeCell ref="B31:C31"/>
    <mergeCell ref="B11:C11"/>
    <mergeCell ref="B12:C12"/>
    <mergeCell ref="B13:C13"/>
    <mergeCell ref="B14:C14"/>
    <mergeCell ref="B33:C33"/>
    <mergeCell ref="B34:C34"/>
    <mergeCell ref="B35:C35"/>
    <mergeCell ref="B36:C36"/>
    <mergeCell ref="C3:E3"/>
    <mergeCell ref="G6:K6"/>
    <mergeCell ref="B15:C15"/>
    <mergeCell ref="B16:C16"/>
    <mergeCell ref="B17:C17"/>
    <mergeCell ref="B18:C18"/>
    <mergeCell ref="B19:C19"/>
    <mergeCell ref="B20:C20"/>
    <mergeCell ref="B21:C21"/>
    <mergeCell ref="B22:C22"/>
    <mergeCell ref="F62:K62"/>
    <mergeCell ref="F63:K63"/>
    <mergeCell ref="B59:D59"/>
    <mergeCell ref="B60:D60"/>
    <mergeCell ref="B61:D61"/>
    <mergeCell ref="B62:D62"/>
    <mergeCell ref="B63:D63"/>
    <mergeCell ref="F60:K60"/>
    <mergeCell ref="F61:K61"/>
    <mergeCell ref="B66:D66"/>
    <mergeCell ref="F66:K66"/>
    <mergeCell ref="B67:D67"/>
    <mergeCell ref="F67:K67"/>
    <mergeCell ref="B68:D68"/>
    <mergeCell ref="F68:K68"/>
    <mergeCell ref="B75:D75"/>
    <mergeCell ref="F75:K75"/>
    <mergeCell ref="B69:D69"/>
    <mergeCell ref="F69:K69"/>
    <mergeCell ref="B70:D70"/>
    <mergeCell ref="F70:K70"/>
    <mergeCell ref="B71:D71"/>
    <mergeCell ref="F71:K71"/>
    <mergeCell ref="B72:D72"/>
    <mergeCell ref="F72:K72"/>
    <mergeCell ref="B73:D73"/>
    <mergeCell ref="F73:K73"/>
    <mergeCell ref="B74:D74"/>
    <mergeCell ref="F74:K74"/>
  </mergeCells>
  <phoneticPr fontId="0" type="noConversion"/>
  <hyperlinks>
    <hyperlink ref="A75" location="Sommaire!A1" display="Sommaire!A1" xr:uid="{00000000-0004-0000-0C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S143"/>
  <sheetViews>
    <sheetView topLeftCell="A28" workbookViewId="0">
      <selection activeCell="N1" sqref="N1:N1048576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Sommaire!D18</f>
        <v>.</v>
      </c>
      <c r="D5" s="118"/>
      <c r="E5" s="63"/>
      <c r="F5" s="73" t="s">
        <v>9</v>
      </c>
      <c r="G5" s="87" t="str">
        <f>Sommaire!M1</f>
        <v>2020-00-00</v>
      </c>
      <c r="H5" s="76"/>
      <c r="I5" s="64"/>
      <c r="J5" s="65"/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Sommaire!A18</f>
        <v>12</v>
      </c>
      <c r="D6" s="119" t="s">
        <v>29</v>
      </c>
      <c r="E6" s="89">
        <f>Sommaire!B18</f>
        <v>1</v>
      </c>
      <c r="F6" s="114" t="s">
        <v>64</v>
      </c>
      <c r="G6" s="1286" t="str">
        <f>Sommaire!C18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306"/>
      <c r="C9" s="1306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311" t="s">
        <v>362</v>
      </c>
      <c r="C10" s="1312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304"/>
      <c r="C11" s="1305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>F17*E17</f>
        <v>0</v>
      </c>
      <c r="H17" s="512"/>
      <c r="I17" s="81">
        <f>H17*G17</f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307" t="s">
        <v>363</v>
      </c>
      <c r="C37" s="1308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309"/>
      <c r="C38" s="1310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.75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.75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.75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.75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.75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77">
        <f>O58+O59</f>
        <v>0</v>
      </c>
      <c r="P57" s="978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5" customHeight="1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23.25" customHeight="1" thickBot="1" x14ac:dyDescent="0.25">
      <c r="A68" s="687">
        <v>5120</v>
      </c>
      <c r="B68" s="1251" t="s">
        <v>341</v>
      </c>
      <c r="C68" s="1251"/>
      <c r="D68" s="1251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34.5" customHeight="1" thickBot="1" x14ac:dyDescent="0.25">
      <c r="A69" s="704">
        <v>5110</v>
      </c>
      <c r="B69" s="1303" t="s">
        <v>372</v>
      </c>
      <c r="C69" s="1303"/>
      <c r="D69" s="130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7.25" customHeight="1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3.5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B49:C49"/>
    <mergeCell ref="O56:P56"/>
    <mergeCell ref="Q56:Q59"/>
    <mergeCell ref="B79:J79"/>
    <mergeCell ref="L55:M55"/>
    <mergeCell ref="F57:K57"/>
    <mergeCell ref="F58:K58"/>
    <mergeCell ref="G8:G9"/>
    <mergeCell ref="H8:H9"/>
    <mergeCell ref="L8:L9"/>
    <mergeCell ref="K8:K9"/>
    <mergeCell ref="I8:I9"/>
    <mergeCell ref="J8:J9"/>
    <mergeCell ref="B10:C10"/>
    <mergeCell ref="B57:D57"/>
    <mergeCell ref="B58:D58"/>
    <mergeCell ref="B54:C54"/>
    <mergeCell ref="B51:C51"/>
    <mergeCell ref="B56:D56"/>
    <mergeCell ref="B64:D64"/>
    <mergeCell ref="F64:K64"/>
    <mergeCell ref="B65:D65"/>
    <mergeCell ref="F65:K65"/>
    <mergeCell ref="F59:K59"/>
    <mergeCell ref="A8:A9"/>
    <mergeCell ref="B8:C9"/>
    <mergeCell ref="E8:E9"/>
    <mergeCell ref="F8:F9"/>
    <mergeCell ref="D8:D9"/>
    <mergeCell ref="B46:C46"/>
    <mergeCell ref="B45:C45"/>
    <mergeCell ref="B43:C43"/>
    <mergeCell ref="B44:C44"/>
    <mergeCell ref="B32:C32"/>
    <mergeCell ref="B41:C41"/>
    <mergeCell ref="B42:C42"/>
    <mergeCell ref="B23:C23"/>
    <mergeCell ref="B24:C24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G3:I3"/>
    <mergeCell ref="G4:H4"/>
    <mergeCell ref="B47:C47"/>
    <mergeCell ref="B48:C48"/>
    <mergeCell ref="B50:C50"/>
    <mergeCell ref="B31:C31"/>
    <mergeCell ref="B11:C11"/>
    <mergeCell ref="B12:C12"/>
    <mergeCell ref="B13:C13"/>
    <mergeCell ref="B14:C14"/>
    <mergeCell ref="B33:C33"/>
    <mergeCell ref="B34:C34"/>
    <mergeCell ref="B35:C35"/>
    <mergeCell ref="B36:C36"/>
    <mergeCell ref="C3:E3"/>
    <mergeCell ref="G6:K6"/>
    <mergeCell ref="B15:C15"/>
    <mergeCell ref="B16:C16"/>
    <mergeCell ref="B17:C17"/>
    <mergeCell ref="B18:C18"/>
    <mergeCell ref="B19:C19"/>
    <mergeCell ref="B20:C20"/>
    <mergeCell ref="B21:C21"/>
    <mergeCell ref="B22:C22"/>
    <mergeCell ref="F62:K62"/>
    <mergeCell ref="F63:K63"/>
    <mergeCell ref="B59:D59"/>
    <mergeCell ref="B60:D60"/>
    <mergeCell ref="B61:D61"/>
    <mergeCell ref="B62:D62"/>
    <mergeCell ref="B63:D63"/>
    <mergeCell ref="F60:K60"/>
    <mergeCell ref="F61:K61"/>
    <mergeCell ref="B66:D66"/>
    <mergeCell ref="F66:K66"/>
    <mergeCell ref="B67:D67"/>
    <mergeCell ref="F67:K67"/>
    <mergeCell ref="B68:D68"/>
    <mergeCell ref="F68:K68"/>
    <mergeCell ref="B75:D75"/>
    <mergeCell ref="F75:K75"/>
    <mergeCell ref="B69:D69"/>
    <mergeCell ref="F69:K69"/>
    <mergeCell ref="B70:D70"/>
    <mergeCell ref="F70:K70"/>
    <mergeCell ref="B71:D71"/>
    <mergeCell ref="F71:K71"/>
    <mergeCell ref="B72:D72"/>
    <mergeCell ref="F72:K72"/>
    <mergeCell ref="B73:D73"/>
    <mergeCell ref="F73:K73"/>
    <mergeCell ref="B74:D74"/>
    <mergeCell ref="F74:K74"/>
  </mergeCells>
  <phoneticPr fontId="0" type="noConversion"/>
  <hyperlinks>
    <hyperlink ref="A75" location="Sommaire!A1" display="Sommaire!A1" xr:uid="{00000000-0004-0000-0D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54"/>
  <sheetViews>
    <sheetView topLeftCell="A34" workbookViewId="0">
      <selection activeCell="K53" sqref="K53"/>
    </sheetView>
  </sheetViews>
  <sheetFormatPr baseColWidth="10" defaultColWidth="9.140625" defaultRowHeight="15" x14ac:dyDescent="0.25"/>
  <cols>
    <col min="1" max="1" width="9.42578125" customWidth="1"/>
    <col min="2" max="2" width="42.42578125" customWidth="1"/>
    <col min="3" max="3" width="7.42578125" customWidth="1"/>
    <col min="4" max="4" width="12.5703125" customWidth="1"/>
    <col min="5" max="5" width="19.28515625" customWidth="1"/>
    <col min="6" max="6" width="16.42578125" customWidth="1"/>
    <col min="7" max="7" width="11.85546875" customWidth="1"/>
    <col min="8" max="8" width="13.5703125" customWidth="1"/>
    <col min="9" max="9" width="25.85546875" customWidth="1"/>
    <col min="10" max="10" width="9.7109375" customWidth="1"/>
    <col min="11" max="11" width="17.28515625" customWidth="1"/>
    <col min="13" max="13" width="9.5703125" bestFit="1" customWidth="1"/>
    <col min="14" max="14" width="11" bestFit="1" customWidth="1"/>
  </cols>
  <sheetData>
    <row r="1" spans="1:12" ht="15.75" thickBot="1" x14ac:dyDescent="0.3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2" ht="17.25" thickTop="1" thickBot="1" x14ac:dyDescent="0.3">
      <c r="A2" s="134"/>
      <c r="B2" s="135"/>
      <c r="C2" s="136"/>
      <c r="D2" s="135" t="s">
        <v>69</v>
      </c>
      <c r="E2" s="136"/>
      <c r="F2" s="136"/>
      <c r="G2" s="137"/>
      <c r="H2" s="137"/>
      <c r="I2" s="136"/>
      <c r="J2" s="136"/>
      <c r="K2" s="138"/>
      <c r="L2" s="133"/>
    </row>
    <row r="3" spans="1:12" ht="17.25" thickTop="1" thickBot="1" x14ac:dyDescent="0.3">
      <c r="A3" s="139" t="s">
        <v>28</v>
      </c>
      <c r="B3" s="140" t="str">
        <f>Sommaire!C1</f>
        <v>-</v>
      </c>
      <c r="C3" s="141"/>
      <c r="D3" s="141"/>
      <c r="E3" s="142"/>
      <c r="F3" s="143"/>
      <c r="G3" s="144"/>
      <c r="H3" s="145"/>
      <c r="I3" s="146" t="s">
        <v>9</v>
      </c>
      <c r="J3" s="1322" t="str">
        <f>Sommaire!M1</f>
        <v>2020-00-00</v>
      </c>
      <c r="K3" s="1323"/>
      <c r="L3" s="133"/>
    </row>
    <row r="4" spans="1:12" ht="16.5" thickBot="1" x14ac:dyDescent="0.3">
      <c r="A4" s="147" t="s">
        <v>70</v>
      </c>
      <c r="B4" s="148" t="str">
        <f>Sommaire!C4</f>
        <v>.</v>
      </c>
      <c r="C4" s="149"/>
      <c r="D4" s="149"/>
      <c r="E4" s="150"/>
      <c r="F4" s="151"/>
      <c r="G4" s="144"/>
      <c r="H4" s="152"/>
      <c r="I4" s="153" t="s">
        <v>71</v>
      </c>
      <c r="J4" s="1324" t="str">
        <f>Sommaire!M2</f>
        <v>SM-0</v>
      </c>
      <c r="K4" s="1325"/>
      <c r="L4" s="133"/>
    </row>
    <row r="5" spans="1:12" ht="16.5" thickBot="1" x14ac:dyDescent="0.3">
      <c r="A5" s="155"/>
      <c r="B5" s="156"/>
      <c r="C5" s="157"/>
      <c r="D5" s="157" t="s">
        <v>72</v>
      </c>
      <c r="E5" s="157"/>
      <c r="F5" s="158"/>
      <c r="G5" s="144"/>
      <c r="H5" s="159"/>
      <c r="I5" s="1313" t="s">
        <v>73</v>
      </c>
      <c r="J5" s="1314"/>
      <c r="K5" s="1315"/>
      <c r="L5" s="133"/>
    </row>
    <row r="6" spans="1:12" ht="16.5" thickBot="1" x14ac:dyDescent="0.3">
      <c r="A6" s="160"/>
      <c r="B6" s="161"/>
      <c r="C6" s="162"/>
      <c r="D6" s="162"/>
      <c r="E6" s="162"/>
      <c r="F6" s="163"/>
      <c r="G6" s="164"/>
      <c r="H6" s="165"/>
      <c r="I6" s="166"/>
      <c r="J6" s="167"/>
      <c r="K6" s="168"/>
      <c r="L6" s="133"/>
    </row>
    <row r="7" spans="1:12" x14ac:dyDescent="0.25">
      <c r="A7" s="250"/>
      <c r="B7" s="251"/>
      <c r="C7" s="252"/>
      <c r="D7" s="252" t="s">
        <v>343</v>
      </c>
      <c r="E7" s="253"/>
      <c r="F7" s="251"/>
      <c r="G7" s="254"/>
      <c r="H7" s="221" t="s">
        <v>75</v>
      </c>
      <c r="I7" s="255"/>
      <c r="J7" s="255" t="s">
        <v>74</v>
      </c>
      <c r="K7" s="256"/>
      <c r="L7" s="133"/>
    </row>
    <row r="8" spans="1:12" ht="15.75" thickBot="1" x14ac:dyDescent="0.3">
      <c r="A8" s="216" t="s">
        <v>261</v>
      </c>
      <c r="B8" s="217" t="s">
        <v>76</v>
      </c>
      <c r="C8" s="218" t="s">
        <v>77</v>
      </c>
      <c r="D8" s="219" t="s">
        <v>78</v>
      </c>
      <c r="E8" s="217" t="s">
        <v>79</v>
      </c>
      <c r="F8" s="220" t="s">
        <v>80</v>
      </c>
      <c r="G8" s="207"/>
      <c r="H8" s="222" t="s">
        <v>81</v>
      </c>
      <c r="I8" s="257" t="s">
        <v>82</v>
      </c>
      <c r="J8" s="258"/>
      <c r="K8" s="259" t="s">
        <v>83</v>
      </c>
      <c r="L8" s="133"/>
    </row>
    <row r="9" spans="1:12" x14ac:dyDescent="0.25">
      <c r="A9" s="590">
        <f>+Sommaire!A7</f>
        <v>1</v>
      </c>
      <c r="B9" s="261" t="str">
        <f>IF(Sommaire!C7="","",Sommaire!C7)</f>
        <v>.</v>
      </c>
      <c r="C9" s="177"/>
      <c r="D9" s="178">
        <f>+IF(Sommaire!B7="","",Sommaire!B7)</f>
        <v>1</v>
      </c>
      <c r="E9" s="601" t="str">
        <f>IF(Sommaire!F7+Sommaire!G7=0,"",Sommaire!F7+Sommaire!G7)</f>
        <v/>
      </c>
      <c r="F9" s="602" t="str">
        <f>IF(E9="","",D9*E9)</f>
        <v/>
      </c>
      <c r="G9" s="144"/>
      <c r="H9" s="542">
        <v>0.1</v>
      </c>
      <c r="I9" s="180" t="e">
        <f>+IF(H9="",E9,E9*(1+H9))</f>
        <v>#VALUE!</v>
      </c>
      <c r="J9" s="181"/>
      <c r="K9" s="182" t="e">
        <f>IF(I9="","",I9*D9)</f>
        <v>#VALUE!</v>
      </c>
      <c r="L9" s="133"/>
    </row>
    <row r="10" spans="1:12" x14ac:dyDescent="0.25">
      <c r="A10" s="590">
        <f>+Sommaire!A8</f>
        <v>2</v>
      </c>
      <c r="B10" s="261" t="str">
        <f>IF(Sommaire!C8="","",Sommaire!C8)</f>
        <v>.</v>
      </c>
      <c r="C10" s="177"/>
      <c r="D10" s="178">
        <f>+IF(Sommaire!B8="","",Sommaire!B8)</f>
        <v>1</v>
      </c>
      <c r="E10" s="601" t="str">
        <f>IF(Sommaire!F8+Sommaire!G8=0,"",Sommaire!F8+Sommaire!G8)</f>
        <v/>
      </c>
      <c r="F10" s="602" t="str">
        <f t="shared" ref="F10:F32" si="0">IF(E10="","",D10*E10)</f>
        <v/>
      </c>
      <c r="G10" s="144"/>
      <c r="H10" s="542"/>
      <c r="I10" s="180" t="str">
        <f t="shared" ref="I10:I20" si="1">+IF(H10="",E10,E10*(1+H10))</f>
        <v/>
      </c>
      <c r="J10" s="181"/>
      <c r="K10" s="182" t="str">
        <f t="shared" ref="K10:K31" si="2">IF(I10="","",I10*D10)</f>
        <v/>
      </c>
      <c r="L10" s="133"/>
    </row>
    <row r="11" spans="1:12" x14ac:dyDescent="0.25">
      <c r="A11" s="590">
        <f>+Sommaire!A9</f>
        <v>3</v>
      </c>
      <c r="B11" s="261" t="str">
        <f>IF(Sommaire!C9="","",Sommaire!C9)</f>
        <v>.</v>
      </c>
      <c r="C11" s="177"/>
      <c r="D11" s="178">
        <f>+IF(Sommaire!B9="","",Sommaire!B9)</f>
        <v>1</v>
      </c>
      <c r="E11" s="601" t="str">
        <f>IF(Sommaire!F9+Sommaire!G9=0,"",Sommaire!F9+Sommaire!G9)</f>
        <v/>
      </c>
      <c r="F11" s="602" t="str">
        <f t="shared" si="0"/>
        <v/>
      </c>
      <c r="G11" s="144"/>
      <c r="H11" s="542"/>
      <c r="I11" s="180" t="str">
        <f t="shared" si="1"/>
        <v/>
      </c>
      <c r="J11" s="181"/>
      <c r="K11" s="182" t="str">
        <f t="shared" si="2"/>
        <v/>
      </c>
      <c r="L11" s="133"/>
    </row>
    <row r="12" spans="1:12" x14ac:dyDescent="0.25">
      <c r="A12" s="590">
        <f>+Sommaire!A10</f>
        <v>4</v>
      </c>
      <c r="B12" s="261" t="str">
        <f>IF(Sommaire!C10="","",Sommaire!C10)</f>
        <v>.</v>
      </c>
      <c r="C12" s="177"/>
      <c r="D12" s="178">
        <f>+IF(Sommaire!B10="","",Sommaire!B10)</f>
        <v>1</v>
      </c>
      <c r="E12" s="601" t="str">
        <f>IF(Sommaire!F10+Sommaire!G10=0,"",Sommaire!F10+Sommaire!G10)</f>
        <v/>
      </c>
      <c r="F12" s="602" t="str">
        <f t="shared" si="0"/>
        <v/>
      </c>
      <c r="G12" s="144"/>
      <c r="H12" s="542"/>
      <c r="I12" s="180" t="str">
        <f t="shared" si="1"/>
        <v/>
      </c>
      <c r="J12" s="181"/>
      <c r="K12" s="182" t="str">
        <f t="shared" si="2"/>
        <v/>
      </c>
      <c r="L12" s="133"/>
    </row>
    <row r="13" spans="1:12" x14ac:dyDescent="0.25">
      <c r="A13" s="590">
        <f>+Sommaire!A11</f>
        <v>5</v>
      </c>
      <c r="B13" s="261" t="str">
        <f>IF(Sommaire!C11="","",Sommaire!C11)</f>
        <v>.</v>
      </c>
      <c r="C13" s="177"/>
      <c r="D13" s="178">
        <f>+IF(Sommaire!B11="","",Sommaire!B11)</f>
        <v>1</v>
      </c>
      <c r="E13" s="601" t="str">
        <f>IF(Sommaire!F11+Sommaire!G11=0,"",Sommaire!F11+Sommaire!G11)</f>
        <v/>
      </c>
      <c r="F13" s="602" t="str">
        <f t="shared" si="0"/>
        <v/>
      </c>
      <c r="G13" s="144"/>
      <c r="H13" s="542"/>
      <c r="I13" s="180" t="str">
        <f t="shared" si="1"/>
        <v/>
      </c>
      <c r="J13" s="181"/>
      <c r="K13" s="182" t="str">
        <f t="shared" si="2"/>
        <v/>
      </c>
      <c r="L13" s="133"/>
    </row>
    <row r="14" spans="1:12" x14ac:dyDescent="0.25">
      <c r="A14" s="590">
        <f>+Sommaire!A12</f>
        <v>6</v>
      </c>
      <c r="B14" s="261" t="str">
        <f>IF(Sommaire!C12="","",Sommaire!C12)</f>
        <v>.</v>
      </c>
      <c r="C14" s="177"/>
      <c r="D14" s="178">
        <f>+IF(Sommaire!B12="","",Sommaire!B12)</f>
        <v>1</v>
      </c>
      <c r="E14" s="601" t="str">
        <f>IF(Sommaire!F12+Sommaire!G12=0,"",Sommaire!F12+Sommaire!G12)</f>
        <v/>
      </c>
      <c r="F14" s="602" t="str">
        <f t="shared" si="0"/>
        <v/>
      </c>
      <c r="G14" s="144"/>
      <c r="H14" s="542"/>
      <c r="I14" s="180" t="str">
        <f t="shared" si="1"/>
        <v/>
      </c>
      <c r="J14" s="181"/>
      <c r="K14" s="182" t="str">
        <f t="shared" si="2"/>
        <v/>
      </c>
      <c r="L14" s="133"/>
    </row>
    <row r="15" spans="1:12" x14ac:dyDescent="0.25">
      <c r="A15" s="590">
        <f>+Sommaire!A13</f>
        <v>7</v>
      </c>
      <c r="B15" s="261" t="str">
        <f>IF(Sommaire!C13="","",Sommaire!C13)</f>
        <v>.</v>
      </c>
      <c r="C15" s="177"/>
      <c r="D15" s="178">
        <f>+IF(Sommaire!B13="","",Sommaire!B13)</f>
        <v>1</v>
      </c>
      <c r="E15" s="601" t="str">
        <f>IF(Sommaire!F13+Sommaire!G13=0,"",Sommaire!F13+Sommaire!G13)</f>
        <v/>
      </c>
      <c r="F15" s="602" t="str">
        <f t="shared" si="0"/>
        <v/>
      </c>
      <c r="G15" s="144"/>
      <c r="H15" s="542"/>
      <c r="I15" s="180" t="str">
        <f t="shared" si="1"/>
        <v/>
      </c>
      <c r="J15" s="181"/>
      <c r="K15" s="182" t="str">
        <f t="shared" si="2"/>
        <v/>
      </c>
      <c r="L15" s="133"/>
    </row>
    <row r="16" spans="1:12" x14ac:dyDescent="0.25">
      <c r="A16" s="590">
        <f>+Sommaire!A14</f>
        <v>8</v>
      </c>
      <c r="B16" s="261" t="str">
        <f>IF(Sommaire!C14="","",Sommaire!C14)</f>
        <v>.</v>
      </c>
      <c r="C16" s="177"/>
      <c r="D16" s="178">
        <f>+IF(Sommaire!B14="","",Sommaire!B14)</f>
        <v>1</v>
      </c>
      <c r="E16" s="601" t="str">
        <f>IF(Sommaire!F14+Sommaire!G14=0,"",Sommaire!F14+Sommaire!G14)</f>
        <v/>
      </c>
      <c r="F16" s="602" t="str">
        <f t="shared" si="0"/>
        <v/>
      </c>
      <c r="G16" s="144"/>
      <c r="H16" s="542"/>
      <c r="I16" s="180" t="str">
        <f t="shared" si="1"/>
        <v/>
      </c>
      <c r="J16" s="181"/>
      <c r="K16" s="182" t="str">
        <f t="shared" si="2"/>
        <v/>
      </c>
      <c r="L16" s="133"/>
    </row>
    <row r="17" spans="1:12" x14ac:dyDescent="0.25">
      <c r="A17" s="590">
        <f>+Sommaire!A15</f>
        <v>9</v>
      </c>
      <c r="B17" s="261" t="str">
        <f>IF(Sommaire!C15="","",Sommaire!C15)</f>
        <v>.</v>
      </c>
      <c r="C17" s="177"/>
      <c r="D17" s="178">
        <f>+IF(Sommaire!B15="","",Sommaire!B15)</f>
        <v>1</v>
      </c>
      <c r="E17" s="601" t="str">
        <f>IF(Sommaire!F15+Sommaire!G15=0,"",Sommaire!F15+Sommaire!G15)</f>
        <v/>
      </c>
      <c r="F17" s="602" t="str">
        <f t="shared" si="0"/>
        <v/>
      </c>
      <c r="G17" s="144"/>
      <c r="H17" s="542"/>
      <c r="I17" s="180" t="str">
        <f t="shared" si="1"/>
        <v/>
      </c>
      <c r="J17" s="181"/>
      <c r="K17" s="182" t="str">
        <f t="shared" si="2"/>
        <v/>
      </c>
      <c r="L17" s="133"/>
    </row>
    <row r="18" spans="1:12" x14ac:dyDescent="0.25">
      <c r="A18" s="590">
        <f>+Sommaire!A16</f>
        <v>10</v>
      </c>
      <c r="B18" s="261" t="str">
        <f>IF(Sommaire!C16="","",Sommaire!C16)</f>
        <v>.</v>
      </c>
      <c r="C18" s="177"/>
      <c r="D18" s="178">
        <f>+IF(Sommaire!B16="","",Sommaire!B16)</f>
        <v>1</v>
      </c>
      <c r="E18" s="601" t="str">
        <f>IF(Sommaire!F16+Sommaire!G16=0,"",Sommaire!F16+Sommaire!G16)</f>
        <v/>
      </c>
      <c r="F18" s="602" t="str">
        <f t="shared" si="0"/>
        <v/>
      </c>
      <c r="G18" s="144"/>
      <c r="H18" s="542"/>
      <c r="I18" s="180" t="str">
        <f t="shared" si="1"/>
        <v/>
      </c>
      <c r="J18" s="181"/>
      <c r="K18" s="182" t="str">
        <f t="shared" si="2"/>
        <v/>
      </c>
      <c r="L18" s="133"/>
    </row>
    <row r="19" spans="1:12" x14ac:dyDescent="0.25">
      <c r="A19" s="590">
        <f>+Sommaire!A17</f>
        <v>11</v>
      </c>
      <c r="B19" s="261" t="str">
        <f>IF(Sommaire!C17="","",Sommaire!C17)</f>
        <v>.</v>
      </c>
      <c r="C19" s="177"/>
      <c r="D19" s="178">
        <f>+IF(Sommaire!B17="","",Sommaire!B17)</f>
        <v>1</v>
      </c>
      <c r="E19" s="601" t="str">
        <f>IF(Sommaire!F17+Sommaire!G17=0,"",Sommaire!F17+Sommaire!G17)</f>
        <v/>
      </c>
      <c r="F19" s="602" t="str">
        <f t="shared" si="0"/>
        <v/>
      </c>
      <c r="G19" s="144"/>
      <c r="H19" s="542"/>
      <c r="I19" s="180" t="str">
        <f t="shared" si="1"/>
        <v/>
      </c>
      <c r="J19" s="181"/>
      <c r="K19" s="182" t="str">
        <f>IF(I19="","",I19*D19)</f>
        <v/>
      </c>
      <c r="L19" s="133"/>
    </row>
    <row r="20" spans="1:12" x14ac:dyDescent="0.25">
      <c r="A20" s="590">
        <f>+Sommaire!A18</f>
        <v>12</v>
      </c>
      <c r="B20" s="261" t="str">
        <f>IF(Sommaire!C18="","",Sommaire!C18)</f>
        <v>.</v>
      </c>
      <c r="C20" s="177"/>
      <c r="D20" s="178">
        <f>+IF(Sommaire!B18="","",Sommaire!B18)</f>
        <v>1</v>
      </c>
      <c r="E20" s="601" t="str">
        <f>IF(Sommaire!F18+Sommaire!G18=0,"",Sommaire!F18+Sommaire!G18)</f>
        <v/>
      </c>
      <c r="F20" s="602" t="str">
        <f t="shared" si="0"/>
        <v/>
      </c>
      <c r="G20" s="144"/>
      <c r="H20" s="542"/>
      <c r="I20" s="180" t="str">
        <f t="shared" si="1"/>
        <v/>
      </c>
      <c r="J20" s="181"/>
      <c r="K20" s="182" t="str">
        <f t="shared" si="2"/>
        <v/>
      </c>
      <c r="L20" s="133"/>
    </row>
    <row r="21" spans="1:12" x14ac:dyDescent="0.25">
      <c r="A21" s="590"/>
      <c r="B21" s="261"/>
      <c r="C21" s="177"/>
      <c r="D21" s="178"/>
      <c r="E21" s="603"/>
      <c r="F21" s="602" t="str">
        <f t="shared" si="0"/>
        <v/>
      </c>
      <c r="G21" s="144"/>
      <c r="H21" s="542"/>
      <c r="I21" s="180"/>
      <c r="J21" s="181"/>
      <c r="K21" s="182"/>
      <c r="L21" s="133"/>
    </row>
    <row r="22" spans="1:12" x14ac:dyDescent="0.25">
      <c r="A22" s="590"/>
      <c r="B22" s="261"/>
      <c r="C22" s="177"/>
      <c r="D22" s="178"/>
      <c r="E22" s="603"/>
      <c r="F22" s="602" t="str">
        <f t="shared" si="0"/>
        <v/>
      </c>
      <c r="G22" s="144"/>
      <c r="H22" s="542"/>
      <c r="I22" s="180" t="str">
        <f t="shared" ref="I22:I31" si="3">IF(E22="","",E22*(1=H22))</f>
        <v/>
      </c>
      <c r="J22" s="181"/>
      <c r="K22" s="182" t="str">
        <f t="shared" si="2"/>
        <v/>
      </c>
      <c r="L22" s="133"/>
    </row>
    <row r="23" spans="1:12" x14ac:dyDescent="0.25">
      <c r="A23" s="260"/>
      <c r="B23" s="261"/>
      <c r="C23" s="185"/>
      <c r="D23" s="178"/>
      <c r="E23" s="603"/>
      <c r="F23" s="602" t="str">
        <f t="shared" si="0"/>
        <v/>
      </c>
      <c r="G23" s="144"/>
      <c r="H23" s="542"/>
      <c r="I23" s="180" t="str">
        <f t="shared" si="3"/>
        <v/>
      </c>
      <c r="J23" s="181"/>
      <c r="K23" s="182" t="str">
        <f t="shared" si="2"/>
        <v/>
      </c>
      <c r="L23" s="133"/>
    </row>
    <row r="24" spans="1:12" x14ac:dyDescent="0.25">
      <c r="A24" s="260"/>
      <c r="B24" s="261"/>
      <c r="C24" s="185"/>
      <c r="D24" s="178"/>
      <c r="E24" s="603"/>
      <c r="F24" s="602" t="str">
        <f t="shared" si="0"/>
        <v/>
      </c>
      <c r="G24" s="144"/>
      <c r="H24" s="543"/>
      <c r="I24" s="180" t="str">
        <f t="shared" si="3"/>
        <v/>
      </c>
      <c r="J24" s="181"/>
      <c r="K24" s="182" t="str">
        <f t="shared" si="2"/>
        <v/>
      </c>
      <c r="L24" s="133"/>
    </row>
    <row r="25" spans="1:12" x14ac:dyDescent="0.25">
      <c r="A25" s="260"/>
      <c r="B25" s="261"/>
      <c r="C25" s="185"/>
      <c r="D25" s="178"/>
      <c r="E25" s="603"/>
      <c r="F25" s="602" t="str">
        <f t="shared" si="0"/>
        <v/>
      </c>
      <c r="G25" s="144"/>
      <c r="H25" s="543"/>
      <c r="I25" s="180" t="str">
        <f t="shared" si="3"/>
        <v/>
      </c>
      <c r="J25" s="181"/>
      <c r="K25" s="182" t="str">
        <f t="shared" si="2"/>
        <v/>
      </c>
      <c r="L25" s="133"/>
    </row>
    <row r="26" spans="1:12" x14ac:dyDescent="0.25">
      <c r="A26" s="260"/>
      <c r="B26" s="261"/>
      <c r="C26" s="185"/>
      <c r="D26" s="184"/>
      <c r="E26" s="603"/>
      <c r="F26" s="602" t="str">
        <f t="shared" si="0"/>
        <v/>
      </c>
      <c r="G26" s="144"/>
      <c r="H26" s="543"/>
      <c r="I26" s="180" t="str">
        <f t="shared" si="3"/>
        <v/>
      </c>
      <c r="J26" s="181"/>
      <c r="K26" s="182" t="str">
        <f t="shared" si="2"/>
        <v/>
      </c>
      <c r="L26" s="133"/>
    </row>
    <row r="27" spans="1:12" x14ac:dyDescent="0.25">
      <c r="A27" s="260"/>
      <c r="B27" s="261"/>
      <c r="C27" s="185"/>
      <c r="D27" s="184"/>
      <c r="E27" s="603"/>
      <c r="F27" s="602" t="str">
        <f t="shared" si="0"/>
        <v/>
      </c>
      <c r="G27" s="144"/>
      <c r="H27" s="543"/>
      <c r="I27" s="180" t="str">
        <f t="shared" si="3"/>
        <v/>
      </c>
      <c r="J27" s="181"/>
      <c r="K27" s="182" t="str">
        <f t="shared" si="2"/>
        <v/>
      </c>
      <c r="L27" s="133"/>
    </row>
    <row r="28" spans="1:12" x14ac:dyDescent="0.25">
      <c r="A28" s="260"/>
      <c r="B28" s="261"/>
      <c r="C28" s="185"/>
      <c r="D28" s="184"/>
      <c r="E28" s="603"/>
      <c r="F28" s="602" t="str">
        <f t="shared" si="0"/>
        <v/>
      </c>
      <c r="G28" s="144"/>
      <c r="H28" s="543"/>
      <c r="I28" s="180" t="str">
        <f t="shared" si="3"/>
        <v/>
      </c>
      <c r="J28" s="181"/>
      <c r="K28" s="182" t="str">
        <f t="shared" si="2"/>
        <v/>
      </c>
      <c r="L28" s="133"/>
    </row>
    <row r="29" spans="1:12" x14ac:dyDescent="0.25">
      <c r="A29" s="260"/>
      <c r="B29" s="261"/>
      <c r="C29" s="185"/>
      <c r="D29" s="184"/>
      <c r="E29" s="603"/>
      <c r="F29" s="602" t="str">
        <f t="shared" si="0"/>
        <v/>
      </c>
      <c r="G29" s="144"/>
      <c r="H29" s="543"/>
      <c r="I29" s="180" t="str">
        <f t="shared" si="3"/>
        <v/>
      </c>
      <c r="J29" s="181"/>
      <c r="K29" s="182" t="str">
        <f t="shared" si="2"/>
        <v/>
      </c>
      <c r="L29" s="133"/>
    </row>
    <row r="30" spans="1:12" x14ac:dyDescent="0.25">
      <c r="A30" s="260"/>
      <c r="B30" s="261"/>
      <c r="C30" s="185"/>
      <c r="D30" s="184"/>
      <c r="E30" s="603"/>
      <c r="F30" s="602" t="str">
        <f t="shared" si="0"/>
        <v/>
      </c>
      <c r="G30" s="144"/>
      <c r="H30" s="543"/>
      <c r="I30" s="180" t="str">
        <f t="shared" si="3"/>
        <v/>
      </c>
      <c r="J30" s="181"/>
      <c r="K30" s="182" t="str">
        <f t="shared" si="2"/>
        <v/>
      </c>
      <c r="L30" s="133"/>
    </row>
    <row r="31" spans="1:12" x14ac:dyDescent="0.25">
      <c r="A31" s="260"/>
      <c r="B31" s="261"/>
      <c r="C31" s="185"/>
      <c r="D31" s="184"/>
      <c r="E31" s="603"/>
      <c r="F31" s="602" t="str">
        <f t="shared" si="0"/>
        <v/>
      </c>
      <c r="G31" s="144"/>
      <c r="H31" s="543"/>
      <c r="I31" s="180" t="str">
        <f t="shared" si="3"/>
        <v/>
      </c>
      <c r="J31" s="181"/>
      <c r="K31" s="182" t="str">
        <f t="shared" si="2"/>
        <v/>
      </c>
      <c r="L31" s="133"/>
    </row>
    <row r="32" spans="1:12" x14ac:dyDescent="0.25">
      <c r="A32" s="186"/>
      <c r="B32" s="187"/>
      <c r="C32" s="188"/>
      <c r="D32" s="189"/>
      <c r="E32" s="604"/>
      <c r="F32" s="602" t="str">
        <f t="shared" si="0"/>
        <v/>
      </c>
      <c r="G32" s="164"/>
      <c r="H32" s="544"/>
      <c r="I32" s="190"/>
      <c r="J32" s="191"/>
      <c r="K32" s="192"/>
      <c r="L32" s="133"/>
    </row>
    <row r="33" spans="1:14" ht="15.75" thickBot="1" x14ac:dyDescent="0.3">
      <c r="A33" s="249"/>
      <c r="B33" s="215"/>
      <c r="C33" s="205"/>
      <c r="D33" s="206"/>
      <c r="E33" s="605" t="s">
        <v>84</v>
      </c>
      <c r="F33" s="606">
        <f>SUM(F9:F32)</f>
        <v>0</v>
      </c>
      <c r="G33" s="144"/>
      <c r="H33" s="208"/>
      <c r="I33" s="209"/>
      <c r="J33" s="210" t="s">
        <v>85</v>
      </c>
      <c r="K33" s="194" t="e">
        <f>SUM(K9:K32)</f>
        <v>#VALUE!</v>
      </c>
      <c r="L33" s="133"/>
    </row>
    <row r="34" spans="1:14" ht="16.5" thickBot="1" x14ac:dyDescent="0.3">
      <c r="A34" s="250"/>
      <c r="B34" s="251"/>
      <c r="C34" s="252"/>
      <c r="D34" s="252" t="s">
        <v>86</v>
      </c>
      <c r="E34" s="607"/>
      <c r="F34" s="608"/>
      <c r="G34" s="164"/>
      <c r="H34" s="221" t="s">
        <v>75</v>
      </c>
      <c r="I34" s="1316" t="s">
        <v>87</v>
      </c>
      <c r="J34" s="1317"/>
      <c r="K34" s="1318"/>
      <c r="L34" s="133"/>
    </row>
    <row r="35" spans="1:14" ht="15.75" thickBot="1" x14ac:dyDescent="0.3">
      <c r="A35" s="548" t="s">
        <v>88</v>
      </c>
      <c r="B35" s="549" t="s">
        <v>76</v>
      </c>
      <c r="C35" s="550" t="s">
        <v>77</v>
      </c>
      <c r="D35" s="551" t="s">
        <v>78</v>
      </c>
      <c r="E35" s="609" t="s">
        <v>79</v>
      </c>
      <c r="F35" s="610" t="s">
        <v>80</v>
      </c>
      <c r="H35" s="545" t="s">
        <v>81</v>
      </c>
      <c r="I35" s="469" t="s">
        <v>82</v>
      </c>
      <c r="J35" s="224"/>
      <c r="K35" s="225" t="s">
        <v>83</v>
      </c>
      <c r="L35" s="133"/>
    </row>
    <row r="36" spans="1:14" x14ac:dyDescent="0.25">
      <c r="A36" s="558">
        <v>1</v>
      </c>
      <c r="B36" s="930" t="str">
        <f>Sommaire!H6</f>
        <v>Heures Dessins</v>
      </c>
      <c r="C36" s="556" t="s">
        <v>89</v>
      </c>
      <c r="D36" s="563">
        <f>+Sommaire!G56</f>
        <v>0</v>
      </c>
      <c r="E36" s="611">
        <f>+'taux horaire '!D25</f>
        <v>50.937075517464415</v>
      </c>
      <c r="F36" s="612">
        <f>+D36*E36</f>
        <v>0</v>
      </c>
      <c r="H36" s="546"/>
      <c r="I36" s="471"/>
      <c r="J36" s="191">
        <v>83</v>
      </c>
      <c r="K36" s="472">
        <f>D36*J36</f>
        <v>0</v>
      </c>
      <c r="L36" s="133"/>
    </row>
    <row r="37" spans="1:14" x14ac:dyDescent="0.25">
      <c r="A37" s="559">
        <v>2</v>
      </c>
      <c r="B37" s="929" t="str">
        <f>Sommaire!I6</f>
        <v>Heures Fabrication</v>
      </c>
      <c r="C37" s="185" t="s">
        <v>89</v>
      </c>
      <c r="D37" s="562">
        <f>+Sommaire!H56+Sommaire!L56</f>
        <v>0</v>
      </c>
      <c r="E37" s="613">
        <f>+'taux horaire '!D35</f>
        <v>40.943325026559677</v>
      </c>
      <c r="F37" s="614">
        <f>+D37*E37</f>
        <v>0</v>
      </c>
      <c r="H37" s="546"/>
      <c r="I37" s="471"/>
      <c r="J37" s="191">
        <v>68</v>
      </c>
      <c r="K37" s="472">
        <f>D37*J37</f>
        <v>0</v>
      </c>
      <c r="L37" s="133"/>
    </row>
    <row r="38" spans="1:14" x14ac:dyDescent="0.25">
      <c r="A38" s="559">
        <v>3</v>
      </c>
      <c r="B38" s="928" t="str">
        <f>Sommaire!J6</f>
        <v>Heures Installation</v>
      </c>
      <c r="C38" s="185" t="s">
        <v>89</v>
      </c>
      <c r="D38" s="562">
        <f>+Sommaire!K56</f>
        <v>0</v>
      </c>
      <c r="E38" s="613">
        <f>+'taux horaire '!D38</f>
        <v>80.555459389671356</v>
      </c>
      <c r="F38" s="614">
        <f t="shared" ref="F38" si="4">+D38*E38</f>
        <v>0</v>
      </c>
      <c r="H38" s="546"/>
      <c r="I38" s="471"/>
      <c r="J38" s="191">
        <v>116.49</v>
      </c>
      <c r="K38" s="472">
        <f>D38*J38</f>
        <v>0</v>
      </c>
      <c r="L38" s="133"/>
    </row>
    <row r="39" spans="1:14" ht="15.75" thickBot="1" x14ac:dyDescent="0.3">
      <c r="A39" s="560">
        <v>4</v>
      </c>
      <c r="B39" s="564"/>
      <c r="C39" s="185"/>
      <c r="D39" s="562"/>
      <c r="E39" s="613"/>
      <c r="F39" s="614">
        <f>+D39*E39</f>
        <v>0</v>
      </c>
      <c r="H39" s="546"/>
      <c r="I39" s="471"/>
      <c r="J39" s="191" t="str">
        <f t="shared" ref="J39:J40" si="5">+IF(K39=0,"",+K39/D39)</f>
        <v/>
      </c>
      <c r="K39" s="472">
        <f t="shared" ref="K39:K40" si="6">+I39</f>
        <v>0</v>
      </c>
      <c r="L39" s="133"/>
    </row>
    <row r="40" spans="1:14" ht="15.75" thickBot="1" x14ac:dyDescent="0.3">
      <c r="A40" s="561">
        <v>5</v>
      </c>
      <c r="B40" s="565"/>
      <c r="C40" s="557"/>
      <c r="D40" s="566"/>
      <c r="E40" s="615"/>
      <c r="F40" s="616">
        <f>+D40*E40</f>
        <v>0</v>
      </c>
      <c r="H40" s="546"/>
      <c r="I40" s="471"/>
      <c r="J40" s="191" t="str">
        <f t="shared" si="5"/>
        <v/>
      </c>
      <c r="K40" s="472">
        <f t="shared" si="6"/>
        <v>0</v>
      </c>
      <c r="L40" s="133"/>
    </row>
    <row r="41" spans="1:14" ht="15.75" thickBot="1" x14ac:dyDescent="0.3">
      <c r="A41" s="552"/>
      <c r="B41" s="553"/>
      <c r="C41" s="554"/>
      <c r="D41" s="555"/>
      <c r="E41" s="617" t="s">
        <v>90</v>
      </c>
      <c r="F41" s="602">
        <f>SUM(F36:F40)</f>
        <v>0</v>
      </c>
      <c r="G41" s="207"/>
      <c r="H41" s="541"/>
      <c r="I41" s="470"/>
      <c r="J41" s="210" t="s">
        <v>91</v>
      </c>
      <c r="K41" s="473">
        <f>SUM(K36:K40)</f>
        <v>0</v>
      </c>
      <c r="L41" s="133"/>
      <c r="N41" s="630"/>
    </row>
    <row r="42" spans="1:14" ht="16.5" thickBot="1" x14ac:dyDescent="0.3">
      <c r="A42" s="169"/>
      <c r="B42" s="170"/>
      <c r="C42" s="171"/>
      <c r="D42" s="171" t="s">
        <v>92</v>
      </c>
      <c r="E42" s="618"/>
      <c r="F42" s="619"/>
      <c r="G42" s="164"/>
      <c r="H42" s="221" t="s">
        <v>75</v>
      </c>
      <c r="I42" s="1316" t="s">
        <v>92</v>
      </c>
      <c r="J42" s="1317"/>
      <c r="K42" s="1318"/>
      <c r="L42" s="133"/>
    </row>
    <row r="43" spans="1:14" ht="15.75" thickBot="1" x14ac:dyDescent="0.3">
      <c r="A43" s="216" t="s">
        <v>88</v>
      </c>
      <c r="B43" s="217" t="s">
        <v>76</v>
      </c>
      <c r="C43" s="218" t="s">
        <v>77</v>
      </c>
      <c r="D43" s="219" t="s">
        <v>78</v>
      </c>
      <c r="E43" s="620" t="s">
        <v>79</v>
      </c>
      <c r="F43" s="620" t="s">
        <v>80</v>
      </c>
      <c r="G43" s="144"/>
      <c r="H43" s="222" t="s">
        <v>81</v>
      </c>
      <c r="I43" s="223" t="s">
        <v>82</v>
      </c>
      <c r="J43" s="224"/>
      <c r="K43" s="225" t="s">
        <v>93</v>
      </c>
      <c r="L43" s="133"/>
    </row>
    <row r="44" spans="1:14" x14ac:dyDescent="0.25">
      <c r="A44" s="183">
        <v>1</v>
      </c>
      <c r="B44" s="927" t="str">
        <f>Sommaire!K6</f>
        <v>Divers Fabrication</v>
      </c>
      <c r="C44" s="185" t="s">
        <v>94</v>
      </c>
      <c r="D44" s="184">
        <v>1</v>
      </c>
      <c r="E44" s="603">
        <f>Sommaire!D54</f>
        <v>0</v>
      </c>
      <c r="F44" s="606">
        <f>+D44*E44</f>
        <v>0</v>
      </c>
      <c r="G44" s="144"/>
      <c r="H44" s="543">
        <v>0.05</v>
      </c>
      <c r="I44" s="596">
        <f>E44*(1+H44)</f>
        <v>0</v>
      </c>
      <c r="J44" s="597"/>
      <c r="K44" s="472">
        <f>I44*D44</f>
        <v>0</v>
      </c>
      <c r="L44" s="133"/>
    </row>
    <row r="45" spans="1:14" x14ac:dyDescent="0.25">
      <c r="A45" s="183">
        <v>2</v>
      </c>
      <c r="B45" s="262" t="s">
        <v>95</v>
      </c>
      <c r="C45" s="185" t="s">
        <v>94</v>
      </c>
      <c r="D45" s="184">
        <v>1</v>
      </c>
      <c r="E45" s="603">
        <v>0</v>
      </c>
      <c r="F45" s="606">
        <f>+D45*E45</f>
        <v>0</v>
      </c>
      <c r="G45" s="144"/>
      <c r="H45" s="543">
        <v>0.05</v>
      </c>
      <c r="I45" s="596">
        <f>E45*(1+H45)</f>
        <v>0</v>
      </c>
      <c r="J45" s="597"/>
      <c r="K45" s="472">
        <f>I45*D45</f>
        <v>0</v>
      </c>
      <c r="L45" s="133"/>
    </row>
    <row r="46" spans="1:14" x14ac:dyDescent="0.25">
      <c r="A46" s="183">
        <v>3</v>
      </c>
      <c r="B46" s="699" t="str">
        <f>Sommaire!L6</f>
        <v>Divers Installation</v>
      </c>
      <c r="C46" s="185" t="s">
        <v>94</v>
      </c>
      <c r="D46" s="184">
        <v>1</v>
      </c>
      <c r="E46" s="603">
        <f>Sommaire!I54</f>
        <v>0</v>
      </c>
      <c r="F46" s="606">
        <f>+D46*E46</f>
        <v>0</v>
      </c>
      <c r="G46" s="144"/>
      <c r="H46" s="543">
        <v>0.05</v>
      </c>
      <c r="I46" s="596">
        <f>E46*(1+H46)</f>
        <v>0</v>
      </c>
      <c r="J46" s="597"/>
      <c r="K46" s="472">
        <f>I46*D46</f>
        <v>0</v>
      </c>
      <c r="L46" s="133"/>
    </row>
    <row r="47" spans="1:14" x14ac:dyDescent="0.25">
      <c r="A47" s="183">
        <v>4</v>
      </c>
      <c r="B47" s="262"/>
      <c r="C47" s="185"/>
      <c r="D47" s="184"/>
      <c r="E47" s="603"/>
      <c r="F47" s="606">
        <f>+D47*E47</f>
        <v>0</v>
      </c>
      <c r="G47" s="144"/>
      <c r="H47" s="543"/>
      <c r="I47" s="596">
        <f t="shared" ref="I47:I48" si="7">E47*(1+H47)</f>
        <v>0</v>
      </c>
      <c r="J47" s="597"/>
      <c r="K47" s="472">
        <f t="shared" ref="K47:K48" si="8">I47*D47</f>
        <v>0</v>
      </c>
      <c r="L47" s="133"/>
    </row>
    <row r="48" spans="1:14" x14ac:dyDescent="0.25">
      <c r="A48" s="183">
        <v>5</v>
      </c>
      <c r="B48" s="262"/>
      <c r="C48" s="185"/>
      <c r="D48" s="184"/>
      <c r="E48" s="603"/>
      <c r="F48" s="606">
        <f>+D48*E48</f>
        <v>0</v>
      </c>
      <c r="G48" s="144"/>
      <c r="H48" s="543"/>
      <c r="I48" s="596">
        <f t="shared" si="7"/>
        <v>0</v>
      </c>
      <c r="J48" s="597"/>
      <c r="K48" s="472">
        <f t="shared" si="8"/>
        <v>0</v>
      </c>
      <c r="L48" s="133"/>
    </row>
    <row r="49" spans="1:14" ht="15.75" thickBot="1" x14ac:dyDescent="0.3">
      <c r="A49" s="193"/>
      <c r="B49" s="215"/>
      <c r="C49" s="205"/>
      <c r="D49" s="206"/>
      <c r="E49" s="605" t="s">
        <v>96</v>
      </c>
      <c r="F49" s="621">
        <f>SUM(F44:F48)</f>
        <v>0</v>
      </c>
      <c r="G49" s="211"/>
      <c r="H49" s="212"/>
      <c r="I49" s="213"/>
      <c r="J49" s="214" t="s">
        <v>97</v>
      </c>
      <c r="K49" s="598">
        <f>SUM(K44:K48)</f>
        <v>0</v>
      </c>
      <c r="L49" s="133"/>
      <c r="N49" s="9"/>
    </row>
    <row r="50" spans="1:14" ht="15.75" thickBot="1" x14ac:dyDescent="0.3">
      <c r="A50" s="196"/>
      <c r="B50" s="197"/>
      <c r="C50" s="198"/>
      <c r="D50" s="199"/>
      <c r="E50" s="622"/>
      <c r="F50" s="623"/>
      <c r="G50" s="144"/>
      <c r="H50" s="1319"/>
      <c r="I50" s="243"/>
      <c r="J50" s="244" t="s">
        <v>98</v>
      </c>
      <c r="K50" s="1013" t="e">
        <f>K33+K41+K49</f>
        <v>#VALUE!</v>
      </c>
      <c r="L50" s="133"/>
    </row>
    <row r="51" spans="1:14" ht="15.75" thickBot="1" x14ac:dyDescent="0.3">
      <c r="A51" s="238"/>
      <c r="B51" s="226"/>
      <c r="C51" s="227"/>
      <c r="D51" s="228"/>
      <c r="E51" s="624" t="s">
        <v>99</v>
      </c>
      <c r="F51" s="625">
        <f>F33+F41+F49</f>
        <v>0</v>
      </c>
      <c r="G51" s="144"/>
      <c r="H51" s="1320"/>
      <c r="I51" s="245"/>
      <c r="J51" s="246" t="s">
        <v>100</v>
      </c>
      <c r="K51" s="626">
        <v>0</v>
      </c>
      <c r="L51" s="133"/>
      <c r="M51" t="s">
        <v>191</v>
      </c>
      <c r="N51" s="9"/>
    </row>
    <row r="52" spans="1:14" ht="15.75" thickBot="1" x14ac:dyDescent="0.3">
      <c r="A52" s="240"/>
      <c r="B52" s="229"/>
      <c r="C52" s="230"/>
      <c r="D52" s="231"/>
      <c r="E52" s="232" t="s">
        <v>101</v>
      </c>
      <c r="F52" s="903">
        <v>0.12</v>
      </c>
      <c r="G52" s="144"/>
      <c r="H52" s="1320"/>
      <c r="I52" s="245"/>
      <c r="J52" s="247" t="s">
        <v>102</v>
      </c>
      <c r="K52" s="633" t="e">
        <f>K50*(1+K51)</f>
        <v>#VALUE!</v>
      </c>
      <c r="L52" s="133"/>
      <c r="M52" s="589" t="e">
        <f>K53/F51</f>
        <v>#DIV/0!</v>
      </c>
    </row>
    <row r="53" spans="1:14" ht="15.75" thickBot="1" x14ac:dyDescent="0.3">
      <c r="A53" s="241"/>
      <c r="B53" s="233"/>
      <c r="C53" s="234"/>
      <c r="D53" s="234"/>
      <c r="E53" s="235" t="s">
        <v>103</v>
      </c>
      <c r="F53" s="625">
        <f>F51/(1-F52)</f>
        <v>0</v>
      </c>
      <c r="G53" s="144"/>
      <c r="H53" s="1320"/>
      <c r="I53" s="245"/>
      <c r="J53" s="247" t="s">
        <v>104</v>
      </c>
      <c r="K53" s="642"/>
      <c r="L53" s="640"/>
    </row>
    <row r="54" spans="1:14" ht="15.75" thickBot="1" x14ac:dyDescent="0.3">
      <c r="A54" s="242"/>
      <c r="B54" s="233"/>
      <c r="C54" s="234"/>
      <c r="D54" s="236"/>
      <c r="E54" s="237" t="s">
        <v>105</v>
      </c>
      <c r="F54" s="547">
        <v>0.12</v>
      </c>
      <c r="G54" s="144"/>
      <c r="H54" s="1320"/>
      <c r="I54" s="248" t="s">
        <v>106</v>
      </c>
      <c r="J54" s="247">
        <v>0.05</v>
      </c>
      <c r="K54" s="632">
        <f>J54*K53</f>
        <v>0</v>
      </c>
      <c r="L54" s="133"/>
    </row>
    <row r="55" spans="1:14" ht="15.75" thickBot="1" x14ac:dyDescent="0.3">
      <c r="A55" s="241"/>
      <c r="B55" s="233"/>
      <c r="C55" s="234"/>
      <c r="D55" s="234"/>
      <c r="E55" s="235" t="s">
        <v>107</v>
      </c>
      <c r="F55" s="625">
        <f>F53/(1-F54)</f>
        <v>0</v>
      </c>
      <c r="G55" s="144"/>
      <c r="H55" s="1320"/>
      <c r="I55" s="248" t="s">
        <v>108</v>
      </c>
      <c r="J55" s="247">
        <v>9.5000000000000001E-2</v>
      </c>
      <c r="K55" s="598">
        <f>J55*(K54+K53)</f>
        <v>0</v>
      </c>
      <c r="L55" s="133"/>
    </row>
    <row r="56" spans="1:14" ht="16.5" thickBot="1" x14ac:dyDescent="0.3">
      <c r="A56" s="241"/>
      <c r="B56" s="233"/>
      <c r="C56" s="234"/>
      <c r="D56" s="234"/>
      <c r="E56" s="235" t="s">
        <v>109</v>
      </c>
      <c r="F56" s="643">
        <f>K53</f>
        <v>0</v>
      </c>
      <c r="G56" s="144"/>
      <c r="H56" s="1320"/>
      <c r="I56" s="245"/>
      <c r="J56" s="246" t="s">
        <v>110</v>
      </c>
      <c r="K56" s="599">
        <f>SUM(K53:K55)</f>
        <v>0</v>
      </c>
      <c r="L56" s="133"/>
      <c r="M56" s="9"/>
    </row>
    <row r="57" spans="1:14" ht="15.75" customHeight="1" thickBot="1" x14ac:dyDescent="0.3">
      <c r="A57" s="241"/>
      <c r="B57" s="233"/>
      <c r="C57" s="234"/>
      <c r="D57" s="234"/>
      <c r="E57" s="237" t="s">
        <v>111</v>
      </c>
      <c r="F57" s="625">
        <f>F56-F53</f>
        <v>0</v>
      </c>
      <c r="G57" s="144"/>
      <c r="H57" s="1320"/>
      <c r="I57" s="592"/>
      <c r="J57" s="593"/>
      <c r="K57" s="600"/>
      <c r="L57" s="133"/>
    </row>
    <row r="58" spans="1:14" ht="15.75" customHeight="1" thickBot="1" x14ac:dyDescent="0.3">
      <c r="A58" s="241"/>
      <c r="B58" s="233"/>
      <c r="C58" s="234"/>
      <c r="D58" s="234"/>
      <c r="E58" s="237" t="s">
        <v>112</v>
      </c>
      <c r="F58" s="204" t="str">
        <f>IF(F56=0,"",F57/F56)</f>
        <v/>
      </c>
      <c r="G58" s="144"/>
      <c r="H58" s="1321"/>
      <c r="I58" s="594" t="s">
        <v>190</v>
      </c>
      <c r="J58" s="595"/>
      <c r="K58" s="908" t="e">
        <f>+K53-K50</f>
        <v>#VALUE!</v>
      </c>
      <c r="L58" s="133"/>
    </row>
    <row r="59" spans="1:14" x14ac:dyDescent="0.25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</row>
    <row r="60" spans="1:14" x14ac:dyDescent="0.25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</row>
    <row r="61" spans="1:14" x14ac:dyDescent="0.25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</row>
    <row r="62" spans="1:14" x14ac:dyDescent="0.25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</row>
    <row r="63" spans="1:14" x14ac:dyDescent="0.25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</row>
    <row r="64" spans="1:14" x14ac:dyDescent="0.25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</row>
    <row r="65" spans="1:12" x14ac:dyDescent="0.25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</row>
    <row r="66" spans="1:12" x14ac:dyDescent="0.25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</row>
    <row r="67" spans="1:12" x14ac:dyDescent="0.25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</row>
    <row r="68" spans="1:12" x14ac:dyDescent="0.25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</row>
    <row r="69" spans="1:12" x14ac:dyDescent="0.25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</row>
    <row r="70" spans="1:12" x14ac:dyDescent="0.25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</row>
    <row r="71" spans="1:12" x14ac:dyDescent="0.25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</row>
    <row r="72" spans="1:12" x14ac:dyDescent="0.25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</row>
    <row r="73" spans="1:12" x14ac:dyDescent="0.25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</row>
    <row r="74" spans="1:12" x14ac:dyDescent="0.25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</row>
    <row r="75" spans="1:12" x14ac:dyDescent="0.25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</row>
    <row r="76" spans="1:12" x14ac:dyDescent="0.25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</row>
    <row r="77" spans="1:12" x14ac:dyDescent="0.25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</row>
    <row r="78" spans="1:12" x14ac:dyDescent="0.25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</row>
    <row r="79" spans="1:12" x14ac:dyDescent="0.25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</row>
    <row r="80" spans="1:12" x14ac:dyDescent="0.25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</row>
    <row r="81" spans="1:12" x14ac:dyDescent="0.25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</row>
    <row r="82" spans="1:12" x14ac:dyDescent="0.25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</row>
    <row r="83" spans="1:12" x14ac:dyDescent="0.25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</row>
    <row r="84" spans="1:12" x14ac:dyDescent="0.25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</row>
    <row r="85" spans="1:12" x14ac:dyDescent="0.25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</row>
    <row r="86" spans="1:12" x14ac:dyDescent="0.25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</row>
    <row r="87" spans="1:12" x14ac:dyDescent="0.25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</row>
    <row r="88" spans="1:12" x14ac:dyDescent="0.25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</row>
    <row r="89" spans="1:12" x14ac:dyDescent="0.25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</row>
    <row r="90" spans="1:12" x14ac:dyDescent="0.25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</row>
    <row r="91" spans="1:12" x14ac:dyDescent="0.25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</row>
    <row r="92" spans="1:12" x14ac:dyDescent="0.25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</row>
    <row r="93" spans="1:12" x14ac:dyDescent="0.25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</row>
    <row r="94" spans="1:12" x14ac:dyDescent="0.25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</row>
    <row r="95" spans="1:12" x14ac:dyDescent="0.25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</row>
    <row r="96" spans="1:12" x14ac:dyDescent="0.25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</row>
    <row r="97" spans="1:12" x14ac:dyDescent="0.25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</row>
    <row r="98" spans="1:12" x14ac:dyDescent="0.25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</row>
    <row r="99" spans="1:12" x14ac:dyDescent="0.25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</row>
    <row r="100" spans="1:12" x14ac:dyDescent="0.25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</row>
    <row r="101" spans="1:12" x14ac:dyDescent="0.25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</row>
    <row r="102" spans="1:12" x14ac:dyDescent="0.25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</row>
    <row r="103" spans="1:12" x14ac:dyDescent="0.25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</row>
    <row r="104" spans="1:12" x14ac:dyDescent="0.25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</row>
    <row r="105" spans="1:12" x14ac:dyDescent="0.25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</row>
    <row r="106" spans="1:12" x14ac:dyDescent="0.25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</row>
    <row r="107" spans="1:12" x14ac:dyDescent="0.25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</row>
    <row r="108" spans="1:12" x14ac:dyDescent="0.25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</row>
    <row r="109" spans="1:12" x14ac:dyDescent="0.25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</row>
    <row r="110" spans="1:12" x14ac:dyDescent="0.25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</row>
    <row r="111" spans="1:12" x14ac:dyDescent="0.25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</row>
    <row r="112" spans="1:12" x14ac:dyDescent="0.25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</row>
    <row r="113" spans="1:12" x14ac:dyDescent="0.25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</row>
    <row r="114" spans="1:12" x14ac:dyDescent="0.25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</row>
    <row r="115" spans="1:12" x14ac:dyDescent="0.25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</row>
    <row r="116" spans="1:12" x14ac:dyDescent="0.25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</row>
    <row r="117" spans="1:12" x14ac:dyDescent="0.25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</row>
    <row r="118" spans="1:12" x14ac:dyDescent="0.25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</row>
    <row r="119" spans="1:12" x14ac:dyDescent="0.25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</row>
    <row r="120" spans="1:12" x14ac:dyDescent="0.25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</row>
    <row r="121" spans="1:12" x14ac:dyDescent="0.25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</row>
    <row r="122" spans="1:12" x14ac:dyDescent="0.25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</row>
    <row r="123" spans="1:12" x14ac:dyDescent="0.25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</row>
    <row r="124" spans="1:12" x14ac:dyDescent="0.25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</row>
    <row r="125" spans="1:12" x14ac:dyDescent="0.2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</row>
    <row r="126" spans="1:12" x14ac:dyDescent="0.25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</row>
    <row r="127" spans="1:12" x14ac:dyDescent="0.25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</row>
    <row r="128" spans="1:12" x14ac:dyDescent="0.25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</row>
    <row r="129" spans="1:12" x14ac:dyDescent="0.25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</row>
    <row r="130" spans="1:12" x14ac:dyDescent="0.25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</row>
    <row r="131" spans="1:12" x14ac:dyDescent="0.25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</row>
    <row r="132" spans="1:12" x14ac:dyDescent="0.25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</row>
    <row r="133" spans="1:12" x14ac:dyDescent="0.25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</row>
    <row r="134" spans="1:12" x14ac:dyDescent="0.25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</row>
    <row r="135" spans="1:12" x14ac:dyDescent="0.25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</row>
    <row r="136" spans="1:12" x14ac:dyDescent="0.25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</row>
    <row r="137" spans="1:12" x14ac:dyDescent="0.25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</row>
    <row r="138" spans="1:12" x14ac:dyDescent="0.25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</row>
    <row r="139" spans="1:12" x14ac:dyDescent="0.25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</row>
    <row r="140" spans="1:12" x14ac:dyDescent="0.25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</row>
    <row r="141" spans="1:12" x14ac:dyDescent="0.25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</row>
    <row r="142" spans="1:12" x14ac:dyDescent="0.25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</row>
    <row r="143" spans="1:12" x14ac:dyDescent="0.25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</row>
    <row r="144" spans="1:12" x14ac:dyDescent="0.25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</row>
    <row r="145" spans="1:12" x14ac:dyDescent="0.25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</row>
    <row r="146" spans="1:12" x14ac:dyDescent="0.25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</row>
    <row r="147" spans="1:12" x14ac:dyDescent="0.25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</row>
    <row r="148" spans="1:12" x14ac:dyDescent="0.25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</row>
    <row r="149" spans="1:12" x14ac:dyDescent="0.25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</row>
    <row r="150" spans="1:12" x14ac:dyDescent="0.25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</row>
    <row r="151" spans="1:12" x14ac:dyDescent="0.25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</row>
    <row r="152" spans="1:12" x14ac:dyDescent="0.25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</row>
    <row r="153" spans="1:12" x14ac:dyDescent="0.25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</row>
    <row r="154" spans="1:12" x14ac:dyDescent="0.25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</row>
    <row r="155" spans="1:12" x14ac:dyDescent="0.25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</row>
    <row r="156" spans="1:12" x14ac:dyDescent="0.25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</row>
    <row r="157" spans="1:12" x14ac:dyDescent="0.25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</row>
    <row r="158" spans="1:12" x14ac:dyDescent="0.25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</row>
    <row r="159" spans="1:12" x14ac:dyDescent="0.25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</row>
    <row r="160" spans="1:12" x14ac:dyDescent="0.25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</row>
    <row r="161" spans="1:12" x14ac:dyDescent="0.25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</row>
    <row r="162" spans="1:12" x14ac:dyDescent="0.25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</row>
    <row r="163" spans="1:12" x14ac:dyDescent="0.25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</row>
    <row r="164" spans="1:12" x14ac:dyDescent="0.25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</row>
    <row r="165" spans="1:12" x14ac:dyDescent="0.25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</row>
    <row r="166" spans="1:12" x14ac:dyDescent="0.25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</row>
    <row r="167" spans="1:12" x14ac:dyDescent="0.25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</row>
    <row r="168" spans="1:12" x14ac:dyDescent="0.25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</row>
    <row r="169" spans="1:12" x14ac:dyDescent="0.25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</row>
    <row r="170" spans="1:12" x14ac:dyDescent="0.25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</row>
    <row r="171" spans="1:12" x14ac:dyDescent="0.25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</row>
    <row r="172" spans="1:12" x14ac:dyDescent="0.25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</row>
    <row r="173" spans="1:12" x14ac:dyDescent="0.25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</row>
    <row r="174" spans="1:12" x14ac:dyDescent="0.25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</row>
    <row r="175" spans="1:12" x14ac:dyDescent="0.25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</row>
    <row r="176" spans="1:12" x14ac:dyDescent="0.25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</row>
    <row r="177" spans="1:12" x14ac:dyDescent="0.25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</row>
    <row r="178" spans="1:12" x14ac:dyDescent="0.25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</row>
    <row r="179" spans="1:12" x14ac:dyDescent="0.25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</row>
    <row r="180" spans="1:12" x14ac:dyDescent="0.25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</row>
    <row r="181" spans="1:12" x14ac:dyDescent="0.25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</row>
    <row r="182" spans="1:12" x14ac:dyDescent="0.25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</row>
    <row r="183" spans="1:12" x14ac:dyDescent="0.25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</row>
    <row r="184" spans="1:12" x14ac:dyDescent="0.25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</row>
    <row r="185" spans="1:12" x14ac:dyDescent="0.25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</row>
    <row r="186" spans="1:12" x14ac:dyDescent="0.25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</row>
    <row r="187" spans="1:12" x14ac:dyDescent="0.25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</row>
    <row r="188" spans="1:12" x14ac:dyDescent="0.25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</row>
    <row r="189" spans="1:12" x14ac:dyDescent="0.25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</row>
    <row r="190" spans="1:12" x14ac:dyDescent="0.25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</row>
    <row r="191" spans="1:12" x14ac:dyDescent="0.25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</row>
    <row r="192" spans="1:12" x14ac:dyDescent="0.25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</row>
    <row r="193" spans="1:12" x14ac:dyDescent="0.25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</row>
    <row r="194" spans="1:12" x14ac:dyDescent="0.25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</row>
    <row r="195" spans="1:12" x14ac:dyDescent="0.25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</row>
    <row r="196" spans="1:12" x14ac:dyDescent="0.25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</row>
    <row r="197" spans="1:12" x14ac:dyDescent="0.25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</row>
    <row r="198" spans="1:12" x14ac:dyDescent="0.25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</row>
    <row r="199" spans="1:12" x14ac:dyDescent="0.25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</row>
    <row r="200" spans="1:12" x14ac:dyDescent="0.25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</row>
    <row r="201" spans="1:12" x14ac:dyDescent="0.25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</row>
    <row r="202" spans="1:12" x14ac:dyDescent="0.25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</row>
    <row r="203" spans="1:12" x14ac:dyDescent="0.25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</row>
    <row r="204" spans="1:12" x14ac:dyDescent="0.25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</row>
    <row r="205" spans="1:12" x14ac:dyDescent="0.25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</row>
    <row r="206" spans="1:12" x14ac:dyDescent="0.25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</row>
    <row r="207" spans="1:12" x14ac:dyDescent="0.25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</row>
    <row r="208" spans="1:12" x14ac:dyDescent="0.25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</row>
    <row r="209" spans="1:12" x14ac:dyDescent="0.25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</row>
    <row r="210" spans="1:12" x14ac:dyDescent="0.25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</row>
    <row r="211" spans="1:12" x14ac:dyDescent="0.25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</row>
    <row r="212" spans="1:12" x14ac:dyDescent="0.25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</row>
    <row r="213" spans="1:12" x14ac:dyDescent="0.25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</row>
    <row r="214" spans="1:12" x14ac:dyDescent="0.25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</row>
    <row r="215" spans="1:12" x14ac:dyDescent="0.25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</row>
    <row r="216" spans="1:12" x14ac:dyDescent="0.25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</row>
    <row r="217" spans="1:12" x14ac:dyDescent="0.25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</row>
    <row r="218" spans="1:12" x14ac:dyDescent="0.25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</row>
    <row r="219" spans="1:12" x14ac:dyDescent="0.25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</row>
    <row r="220" spans="1:12" x14ac:dyDescent="0.25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</row>
    <row r="221" spans="1:12" x14ac:dyDescent="0.25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</row>
    <row r="222" spans="1:12" x14ac:dyDescent="0.25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</row>
    <row r="223" spans="1:12" x14ac:dyDescent="0.25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</row>
    <row r="224" spans="1:12" x14ac:dyDescent="0.25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</row>
    <row r="225" spans="1:12" x14ac:dyDescent="0.25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</row>
    <row r="226" spans="1:12" x14ac:dyDescent="0.25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</row>
    <row r="227" spans="1:12" x14ac:dyDescent="0.25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</row>
    <row r="228" spans="1:12" x14ac:dyDescent="0.25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</row>
    <row r="229" spans="1:12" x14ac:dyDescent="0.25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</row>
    <row r="230" spans="1:12" x14ac:dyDescent="0.25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</row>
    <row r="231" spans="1:12" x14ac:dyDescent="0.25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</row>
    <row r="232" spans="1:12" x14ac:dyDescent="0.25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</row>
    <row r="233" spans="1:12" x14ac:dyDescent="0.25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</row>
    <row r="234" spans="1:12" x14ac:dyDescent="0.25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</row>
    <row r="235" spans="1:12" x14ac:dyDescent="0.25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</row>
    <row r="236" spans="1:12" x14ac:dyDescent="0.25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</row>
    <row r="237" spans="1:12" x14ac:dyDescent="0.25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</row>
    <row r="238" spans="1:12" x14ac:dyDescent="0.25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</row>
    <row r="239" spans="1:12" x14ac:dyDescent="0.25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</row>
    <row r="240" spans="1:12" x14ac:dyDescent="0.25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</row>
    <row r="241" spans="1:12" x14ac:dyDescent="0.25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</row>
    <row r="242" spans="1:12" x14ac:dyDescent="0.25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</row>
    <row r="243" spans="1:12" x14ac:dyDescent="0.25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</row>
    <row r="244" spans="1:12" x14ac:dyDescent="0.25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</row>
    <row r="245" spans="1:12" x14ac:dyDescent="0.25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</row>
    <row r="246" spans="1:12" x14ac:dyDescent="0.25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</row>
    <row r="247" spans="1:12" x14ac:dyDescent="0.25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</row>
    <row r="248" spans="1:12" x14ac:dyDescent="0.25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</row>
    <row r="249" spans="1:12" x14ac:dyDescent="0.25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</row>
    <row r="250" spans="1:12" x14ac:dyDescent="0.25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</row>
    <row r="251" spans="1:12" x14ac:dyDescent="0.25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</row>
    <row r="252" spans="1:12" x14ac:dyDescent="0.25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</row>
    <row r="253" spans="1:12" x14ac:dyDescent="0.25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</row>
    <row r="254" spans="1:12" x14ac:dyDescent="0.25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</row>
    <row r="255" spans="1:12" x14ac:dyDescent="0.25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</row>
    <row r="256" spans="1:12" x14ac:dyDescent="0.25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</row>
    <row r="257" spans="1:12" x14ac:dyDescent="0.25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</row>
    <row r="258" spans="1:12" x14ac:dyDescent="0.25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</row>
    <row r="259" spans="1:12" x14ac:dyDescent="0.25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</row>
    <row r="260" spans="1:12" x14ac:dyDescent="0.25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</row>
    <row r="261" spans="1:12" x14ac:dyDescent="0.25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</row>
    <row r="262" spans="1:12" x14ac:dyDescent="0.25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</row>
    <row r="263" spans="1:12" x14ac:dyDescent="0.25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</row>
    <row r="264" spans="1:12" x14ac:dyDescent="0.25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</row>
    <row r="265" spans="1:12" x14ac:dyDescent="0.25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</row>
    <row r="266" spans="1:12" x14ac:dyDescent="0.25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</row>
    <row r="267" spans="1:12" x14ac:dyDescent="0.25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</row>
    <row r="268" spans="1:12" x14ac:dyDescent="0.25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</row>
    <row r="269" spans="1:12" x14ac:dyDescent="0.25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</row>
    <row r="270" spans="1:12" x14ac:dyDescent="0.25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</row>
    <row r="271" spans="1:12" x14ac:dyDescent="0.25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</row>
    <row r="272" spans="1:12" x14ac:dyDescent="0.25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</row>
    <row r="273" spans="1:12" x14ac:dyDescent="0.25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</row>
    <row r="274" spans="1:12" x14ac:dyDescent="0.25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</row>
    <row r="275" spans="1:12" x14ac:dyDescent="0.25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</row>
    <row r="276" spans="1:12" x14ac:dyDescent="0.25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</row>
    <row r="277" spans="1:12" x14ac:dyDescent="0.25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</row>
    <row r="278" spans="1:12" x14ac:dyDescent="0.25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</row>
    <row r="279" spans="1:12" x14ac:dyDescent="0.25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</row>
    <row r="280" spans="1:12" x14ac:dyDescent="0.25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</row>
    <row r="281" spans="1:12" x14ac:dyDescent="0.25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</row>
    <row r="282" spans="1:12" x14ac:dyDescent="0.25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</row>
    <row r="283" spans="1:12" x14ac:dyDescent="0.25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</row>
    <row r="284" spans="1:12" x14ac:dyDescent="0.25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</row>
    <row r="285" spans="1:12" x14ac:dyDescent="0.25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</row>
    <row r="286" spans="1:12" x14ac:dyDescent="0.25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</row>
    <row r="287" spans="1:12" x14ac:dyDescent="0.25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</row>
    <row r="288" spans="1:12" x14ac:dyDescent="0.25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</row>
    <row r="289" spans="1:12" x14ac:dyDescent="0.25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</row>
    <row r="290" spans="1:12" x14ac:dyDescent="0.25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</row>
    <row r="291" spans="1:12" x14ac:dyDescent="0.25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</row>
    <row r="292" spans="1:12" x14ac:dyDescent="0.25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</row>
    <row r="293" spans="1:12" x14ac:dyDescent="0.25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</row>
    <row r="294" spans="1:12" x14ac:dyDescent="0.25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</row>
    <row r="295" spans="1:12" x14ac:dyDescent="0.25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</row>
    <row r="296" spans="1:12" x14ac:dyDescent="0.25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</row>
    <row r="297" spans="1:12" x14ac:dyDescent="0.25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</row>
    <row r="298" spans="1:12" x14ac:dyDescent="0.25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</row>
    <row r="299" spans="1:12" x14ac:dyDescent="0.25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</row>
    <row r="300" spans="1:12" x14ac:dyDescent="0.25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</row>
    <row r="301" spans="1:12" x14ac:dyDescent="0.25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</row>
    <row r="302" spans="1:12" x14ac:dyDescent="0.25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</row>
    <row r="303" spans="1:12" x14ac:dyDescent="0.25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</row>
    <row r="304" spans="1:12" x14ac:dyDescent="0.25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</row>
    <row r="305" spans="1:12" x14ac:dyDescent="0.25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</row>
    <row r="306" spans="1:12" x14ac:dyDescent="0.25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</row>
    <row r="307" spans="1:12" x14ac:dyDescent="0.25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</row>
    <row r="308" spans="1:12" x14ac:dyDescent="0.25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</row>
    <row r="309" spans="1:12" x14ac:dyDescent="0.25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</row>
    <row r="310" spans="1:12" x14ac:dyDescent="0.25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</row>
    <row r="311" spans="1:12" x14ac:dyDescent="0.25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</row>
    <row r="312" spans="1:12" x14ac:dyDescent="0.25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</row>
    <row r="313" spans="1:12" x14ac:dyDescent="0.25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</row>
    <row r="314" spans="1:12" x14ac:dyDescent="0.25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</row>
    <row r="315" spans="1:12" x14ac:dyDescent="0.25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</row>
    <row r="316" spans="1:12" x14ac:dyDescent="0.25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</row>
    <row r="317" spans="1:12" x14ac:dyDescent="0.25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</row>
    <row r="318" spans="1:12" x14ac:dyDescent="0.25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</row>
    <row r="319" spans="1:12" x14ac:dyDescent="0.25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</row>
    <row r="320" spans="1:12" x14ac:dyDescent="0.25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</row>
    <row r="321" spans="1:12" x14ac:dyDescent="0.25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</row>
    <row r="322" spans="1:12" x14ac:dyDescent="0.25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</row>
    <row r="323" spans="1:12" x14ac:dyDescent="0.25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</row>
    <row r="324" spans="1:12" x14ac:dyDescent="0.25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</row>
    <row r="325" spans="1:12" x14ac:dyDescent="0.25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</row>
    <row r="326" spans="1:12" x14ac:dyDescent="0.25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</row>
    <row r="327" spans="1:12" x14ac:dyDescent="0.25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</row>
    <row r="328" spans="1:12" x14ac:dyDescent="0.25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</row>
    <row r="329" spans="1:12" x14ac:dyDescent="0.25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</row>
    <row r="330" spans="1:12" x14ac:dyDescent="0.25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</row>
    <row r="331" spans="1:12" x14ac:dyDescent="0.25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</row>
    <row r="332" spans="1:12" x14ac:dyDescent="0.25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</row>
    <row r="333" spans="1:12" x14ac:dyDescent="0.25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</row>
    <row r="334" spans="1:12" x14ac:dyDescent="0.25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</row>
    <row r="335" spans="1:12" x14ac:dyDescent="0.25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</row>
    <row r="336" spans="1:12" x14ac:dyDescent="0.25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</row>
    <row r="337" spans="1:12" x14ac:dyDescent="0.25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</row>
    <row r="338" spans="1:12" x14ac:dyDescent="0.25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</row>
    <row r="339" spans="1:12" x14ac:dyDescent="0.25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</row>
    <row r="340" spans="1:12" x14ac:dyDescent="0.25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</row>
    <row r="341" spans="1:12" x14ac:dyDescent="0.25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</row>
    <row r="342" spans="1:12" x14ac:dyDescent="0.25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</row>
    <row r="343" spans="1:12" x14ac:dyDescent="0.25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</row>
    <row r="344" spans="1:12" x14ac:dyDescent="0.25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</row>
    <row r="345" spans="1:12" x14ac:dyDescent="0.25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</row>
    <row r="346" spans="1:12" x14ac:dyDescent="0.25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</row>
    <row r="347" spans="1:12" x14ac:dyDescent="0.25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</row>
    <row r="348" spans="1:12" x14ac:dyDescent="0.25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</row>
    <row r="349" spans="1:12" x14ac:dyDescent="0.25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</row>
    <row r="350" spans="1:12" x14ac:dyDescent="0.25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</row>
    <row r="351" spans="1:12" x14ac:dyDescent="0.25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</row>
    <row r="352" spans="1:12" x14ac:dyDescent="0.25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</row>
    <row r="353" spans="1:12" x14ac:dyDescent="0.25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</row>
    <row r="354" spans="1:12" x14ac:dyDescent="0.25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</row>
  </sheetData>
  <mergeCells count="6">
    <mergeCell ref="I5:K5"/>
    <mergeCell ref="I34:K34"/>
    <mergeCell ref="I42:K42"/>
    <mergeCell ref="H50:H58"/>
    <mergeCell ref="J3:K3"/>
    <mergeCell ref="J4:K4"/>
  </mergeCells>
  <pageMargins left="0.28000000000000003" right="0.28999999999999998" top="0.31" bottom="0.25" header="0.17" footer="0.17"/>
  <pageSetup scale="85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7"/>
  <sheetViews>
    <sheetView workbookViewId="0">
      <selection activeCell="C35" sqref="C35"/>
    </sheetView>
  </sheetViews>
  <sheetFormatPr baseColWidth="10" defaultColWidth="9.140625" defaultRowHeight="15" x14ac:dyDescent="0.25"/>
  <cols>
    <col min="1" max="1" width="11.28515625" customWidth="1"/>
    <col min="2" max="2" width="57" bestFit="1" customWidth="1"/>
    <col min="3" max="3" width="25" customWidth="1"/>
    <col min="4" max="4" width="23.5703125" customWidth="1"/>
    <col min="5" max="5" width="24.28515625" customWidth="1"/>
  </cols>
  <sheetData>
    <row r="1" spans="1:5" ht="17.25" thickTop="1" thickBot="1" x14ac:dyDescent="0.3">
      <c r="A1" s="134"/>
      <c r="B1" s="135"/>
      <c r="C1" s="263" t="s">
        <v>113</v>
      </c>
      <c r="D1" s="136"/>
      <c r="E1" s="138"/>
    </row>
    <row r="2" spans="1:5" ht="17.25" thickTop="1" thickBot="1" x14ac:dyDescent="0.3">
      <c r="A2" s="139" t="s">
        <v>28</v>
      </c>
      <c r="B2" s="140" t="str">
        <f>Sommaire!C1</f>
        <v>-</v>
      </c>
      <c r="C2" s="143"/>
      <c r="D2" s="264" t="s">
        <v>9</v>
      </c>
      <c r="E2" s="641" t="str">
        <f>Sommaire!M1</f>
        <v>2020-00-00</v>
      </c>
    </row>
    <row r="3" spans="1:5" ht="16.5" thickBot="1" x14ac:dyDescent="0.3">
      <c r="A3" s="147" t="s">
        <v>70</v>
      </c>
      <c r="B3" s="148" t="str">
        <f>Sommaire!C4</f>
        <v>.</v>
      </c>
      <c r="C3" s="151"/>
      <c r="D3" s="264" t="s">
        <v>71</v>
      </c>
      <c r="E3" s="154" t="str">
        <f>Sommaire!M2</f>
        <v>SM-0</v>
      </c>
    </row>
    <row r="4" spans="1:5" ht="16.5" thickBot="1" x14ac:dyDescent="0.3">
      <c r="A4" s="265"/>
      <c r="B4" s="266"/>
      <c r="C4" s="267"/>
      <c r="D4" s="264"/>
      <c r="E4" s="154"/>
    </row>
    <row r="5" spans="1:5" ht="16.5" thickBot="1" x14ac:dyDescent="0.3">
      <c r="A5" s="268"/>
      <c r="B5" s="269" t="s">
        <v>114</v>
      </c>
      <c r="C5" s="270"/>
      <c r="D5" s="271" t="s">
        <v>115</v>
      </c>
      <c r="E5" s="272"/>
    </row>
    <row r="6" spans="1:5" ht="15.75" x14ac:dyDescent="0.25">
      <c r="A6" s="169"/>
      <c r="B6" s="170" t="s">
        <v>17</v>
      </c>
      <c r="C6" s="170" t="s">
        <v>116</v>
      </c>
      <c r="D6" s="273" t="s">
        <v>117</v>
      </c>
      <c r="E6" s="274" t="s">
        <v>118</v>
      </c>
    </row>
    <row r="7" spans="1:5" ht="16.5" thickBot="1" x14ac:dyDescent="0.3">
      <c r="A7" s="172" t="s">
        <v>88</v>
      </c>
      <c r="B7" s="173" t="s">
        <v>119</v>
      </c>
      <c r="C7" s="174"/>
      <c r="D7" s="175"/>
      <c r="E7" s="176"/>
    </row>
    <row r="8" spans="1:5" x14ac:dyDescent="0.25">
      <c r="A8" s="260">
        <f>Estimation!A9</f>
        <v>1</v>
      </c>
      <c r="B8" s="305" t="str">
        <f>Estimation!B9</f>
        <v>.</v>
      </c>
      <c r="C8" s="179" t="str">
        <f>Estimation!F9</f>
        <v/>
      </c>
      <c r="D8" s="591"/>
      <c r="E8" s="182" t="e">
        <f>IF(C8-D8=0,"",C8-D8)</f>
        <v>#VALUE!</v>
      </c>
    </row>
    <row r="9" spans="1:5" x14ac:dyDescent="0.25">
      <c r="A9" s="260">
        <f>Estimation!A10</f>
        <v>2</v>
      </c>
      <c r="B9" s="305" t="str">
        <f>Estimation!B10</f>
        <v>.</v>
      </c>
      <c r="C9" s="179" t="str">
        <f>Estimation!F10</f>
        <v/>
      </c>
      <c r="D9" s="591"/>
      <c r="E9" s="182" t="str">
        <f>IF(C9="","",C9-D9)</f>
        <v/>
      </c>
    </row>
    <row r="10" spans="1:5" x14ac:dyDescent="0.25">
      <c r="A10" s="260">
        <f>Estimation!A11</f>
        <v>3</v>
      </c>
      <c r="B10" s="305" t="str">
        <f>Estimation!B11</f>
        <v>.</v>
      </c>
      <c r="C10" s="179" t="str">
        <f>Estimation!F11</f>
        <v/>
      </c>
      <c r="D10" s="591"/>
      <c r="E10" s="182" t="str">
        <f t="shared" ref="E10:E19" si="0">IF(C10="","",C10-D10)</f>
        <v/>
      </c>
    </row>
    <row r="11" spans="1:5" x14ac:dyDescent="0.25">
      <c r="A11" s="260">
        <f>Estimation!A12</f>
        <v>4</v>
      </c>
      <c r="B11" s="305" t="str">
        <f>Estimation!B12</f>
        <v>.</v>
      </c>
      <c r="C11" s="179" t="str">
        <f>Estimation!F12</f>
        <v/>
      </c>
      <c r="D11" s="591"/>
      <c r="E11" s="182" t="str">
        <f t="shared" si="0"/>
        <v/>
      </c>
    </row>
    <row r="12" spans="1:5" x14ac:dyDescent="0.25">
      <c r="A12" s="260">
        <f>Estimation!A13</f>
        <v>5</v>
      </c>
      <c r="B12" s="305" t="str">
        <f>Estimation!B13</f>
        <v>.</v>
      </c>
      <c r="C12" s="179" t="str">
        <f>Estimation!F13</f>
        <v/>
      </c>
      <c r="D12" s="591"/>
      <c r="E12" s="182" t="str">
        <f t="shared" si="0"/>
        <v/>
      </c>
    </row>
    <row r="13" spans="1:5" x14ac:dyDescent="0.25">
      <c r="A13" s="260">
        <f>Estimation!A14</f>
        <v>6</v>
      </c>
      <c r="B13" s="305" t="str">
        <f>Estimation!B14</f>
        <v>.</v>
      </c>
      <c r="C13" s="179" t="str">
        <f>Estimation!F14</f>
        <v/>
      </c>
      <c r="D13" s="591"/>
      <c r="E13" s="182" t="str">
        <f t="shared" si="0"/>
        <v/>
      </c>
    </row>
    <row r="14" spans="1:5" x14ac:dyDescent="0.25">
      <c r="A14" s="260">
        <f>Estimation!A15</f>
        <v>7</v>
      </c>
      <c r="B14" s="305" t="str">
        <f>Estimation!B15</f>
        <v>.</v>
      </c>
      <c r="C14" s="179" t="str">
        <f>Estimation!F15</f>
        <v/>
      </c>
      <c r="D14" s="591"/>
      <c r="E14" s="182" t="str">
        <f t="shared" si="0"/>
        <v/>
      </c>
    </row>
    <row r="15" spans="1:5" x14ac:dyDescent="0.25">
      <c r="A15" s="260">
        <f>Estimation!A16</f>
        <v>8</v>
      </c>
      <c r="B15" s="305" t="str">
        <f>Estimation!B16</f>
        <v>.</v>
      </c>
      <c r="C15" s="179" t="str">
        <f>Estimation!F16</f>
        <v/>
      </c>
      <c r="D15" s="591"/>
      <c r="E15" s="182" t="str">
        <f t="shared" si="0"/>
        <v/>
      </c>
    </row>
    <row r="16" spans="1:5" x14ac:dyDescent="0.25">
      <c r="A16" s="260">
        <f>Estimation!A17</f>
        <v>9</v>
      </c>
      <c r="B16" s="305" t="str">
        <f>Estimation!B17</f>
        <v>.</v>
      </c>
      <c r="C16" s="179" t="str">
        <f>Estimation!F17</f>
        <v/>
      </c>
      <c r="D16" s="591"/>
      <c r="E16" s="182" t="str">
        <f t="shared" si="0"/>
        <v/>
      </c>
    </row>
    <row r="17" spans="1:5" x14ac:dyDescent="0.25">
      <c r="A17" s="260">
        <f>Estimation!A18</f>
        <v>10</v>
      </c>
      <c r="B17" s="305" t="str">
        <f>Estimation!B18</f>
        <v>.</v>
      </c>
      <c r="C17" s="179" t="str">
        <f>Estimation!F18</f>
        <v/>
      </c>
      <c r="D17" s="591"/>
      <c r="E17" s="182" t="str">
        <f t="shared" si="0"/>
        <v/>
      </c>
    </row>
    <row r="18" spans="1:5" x14ac:dyDescent="0.25">
      <c r="A18" s="260">
        <f>Estimation!A19</f>
        <v>11</v>
      </c>
      <c r="B18" s="305" t="str">
        <f>Estimation!B19</f>
        <v>.</v>
      </c>
      <c r="C18" s="179" t="str">
        <f>Estimation!F19</f>
        <v/>
      </c>
      <c r="D18" s="591"/>
      <c r="E18" s="182" t="str">
        <f t="shared" si="0"/>
        <v/>
      </c>
    </row>
    <row r="19" spans="1:5" x14ac:dyDescent="0.25">
      <c r="A19" s="260">
        <f>Estimation!A20</f>
        <v>12</v>
      </c>
      <c r="B19" s="305" t="str">
        <f>Estimation!B20</f>
        <v>.</v>
      </c>
      <c r="C19" s="179" t="str">
        <f>Estimation!F20</f>
        <v/>
      </c>
      <c r="D19" s="591"/>
      <c r="E19" s="182" t="str">
        <f t="shared" si="0"/>
        <v/>
      </c>
    </row>
    <row r="20" spans="1:5" x14ac:dyDescent="0.25">
      <c r="A20" s="260"/>
      <c r="B20" s="305"/>
      <c r="C20" s="179"/>
      <c r="D20" s="591"/>
      <c r="E20" s="182"/>
    </row>
    <row r="21" spans="1:5" x14ac:dyDescent="0.25">
      <c r="A21" s="260"/>
      <c r="B21" s="305"/>
      <c r="C21" s="179"/>
      <c r="D21" s="591"/>
      <c r="E21" s="182"/>
    </row>
    <row r="22" spans="1:5" x14ac:dyDescent="0.25">
      <c r="A22" s="260"/>
      <c r="B22" s="305"/>
      <c r="C22" s="179"/>
      <c r="D22" s="591"/>
      <c r="E22" s="182"/>
    </row>
    <row r="23" spans="1:5" x14ac:dyDescent="0.25">
      <c r="A23" s="260"/>
      <c r="B23" s="305"/>
      <c r="C23" s="179"/>
      <c r="D23" s="591"/>
      <c r="E23" s="182"/>
    </row>
    <row r="24" spans="1:5" x14ac:dyDescent="0.25">
      <c r="A24" s="260"/>
      <c r="B24" s="305"/>
      <c r="C24" s="179"/>
      <c r="D24" s="591"/>
      <c r="E24" s="182"/>
    </row>
    <row r="25" spans="1:5" x14ac:dyDescent="0.25">
      <c r="A25" s="260"/>
      <c r="B25" s="305"/>
      <c r="C25" s="179"/>
      <c r="D25" s="591"/>
      <c r="E25" s="182"/>
    </row>
    <row r="26" spans="1:5" x14ac:dyDescent="0.25">
      <c r="A26" s="260"/>
      <c r="B26" s="305"/>
      <c r="C26" s="179"/>
      <c r="D26" s="591"/>
      <c r="E26" s="182"/>
    </row>
    <row r="27" spans="1:5" x14ac:dyDescent="0.25">
      <c r="A27" s="260"/>
      <c r="B27" s="305"/>
      <c r="C27" s="179"/>
      <c r="D27" s="591"/>
      <c r="E27" s="182"/>
    </row>
    <row r="28" spans="1:5" x14ac:dyDescent="0.25">
      <c r="A28" s="260"/>
      <c r="B28" s="305"/>
      <c r="C28" s="179"/>
      <c r="D28" s="591"/>
      <c r="E28" s="182"/>
    </row>
    <row r="29" spans="1:5" x14ac:dyDescent="0.25">
      <c r="A29" s="260"/>
      <c r="B29" s="305"/>
      <c r="C29" s="179"/>
      <c r="D29" s="591"/>
      <c r="E29" s="182"/>
    </row>
    <row r="30" spans="1:5" x14ac:dyDescent="0.25">
      <c r="A30" s="260"/>
      <c r="B30" s="305"/>
      <c r="C30" s="179"/>
      <c r="D30" s="591"/>
      <c r="E30" s="182"/>
    </row>
    <row r="31" spans="1:5" x14ac:dyDescent="0.25">
      <c r="A31" s="260"/>
      <c r="B31" s="305"/>
      <c r="C31" s="179"/>
      <c r="D31" s="591"/>
      <c r="E31" s="182"/>
    </row>
    <row r="32" spans="1:5" ht="16.5" thickBot="1" x14ac:dyDescent="0.3">
      <c r="A32" s="275"/>
      <c r="B32" s="276" t="s">
        <v>120</v>
      </c>
      <c r="C32" s="277">
        <f>SUM(C8:C31)</f>
        <v>0</v>
      </c>
      <c r="D32" s="278">
        <f>SUM(D8:D31)</f>
        <v>0</v>
      </c>
      <c r="E32" s="195">
        <f t="shared" ref="E32:E47" si="1">C32-D32</f>
        <v>0</v>
      </c>
    </row>
    <row r="33" spans="1:5" x14ac:dyDescent="0.25">
      <c r="A33" s="279"/>
      <c r="B33" s="280"/>
      <c r="C33" s="281"/>
      <c r="D33" s="190"/>
      <c r="E33" s="192"/>
    </row>
    <row r="34" spans="1:5" ht="15.75" x14ac:dyDescent="0.25">
      <c r="A34" s="186"/>
      <c r="B34" s="282" t="s">
        <v>121</v>
      </c>
      <c r="C34" s="281"/>
      <c r="D34" s="591"/>
      <c r="E34" s="192"/>
    </row>
    <row r="35" spans="1:5" x14ac:dyDescent="0.25">
      <c r="A35" s="183">
        <v>1</v>
      </c>
      <c r="B35" s="305" t="str">
        <f>Estimation!B36</f>
        <v>Heures Dessins</v>
      </c>
      <c r="C35" s="179">
        <f>Estimation!F36</f>
        <v>0</v>
      </c>
      <c r="D35" s="591"/>
      <c r="E35" s="182">
        <f t="shared" si="1"/>
        <v>0</v>
      </c>
    </row>
    <row r="36" spans="1:5" x14ac:dyDescent="0.25">
      <c r="A36" s="183">
        <v>2</v>
      </c>
      <c r="B36" s="305" t="str">
        <f>Estimation!B37</f>
        <v>Heures Fabrication</v>
      </c>
      <c r="C36" s="179">
        <f>Estimation!F37</f>
        <v>0</v>
      </c>
      <c r="D36" s="591"/>
      <c r="E36" s="182">
        <f t="shared" si="1"/>
        <v>0</v>
      </c>
    </row>
    <row r="37" spans="1:5" x14ac:dyDescent="0.25">
      <c r="A37" s="183">
        <v>3</v>
      </c>
      <c r="B37" s="305" t="str">
        <f>Estimation!B38</f>
        <v>Heures Installation</v>
      </c>
      <c r="C37" s="179">
        <f>Estimation!F38</f>
        <v>0</v>
      </c>
      <c r="D37" s="591"/>
      <c r="E37" s="182">
        <f t="shared" si="1"/>
        <v>0</v>
      </c>
    </row>
    <row r="38" spans="1:5" x14ac:dyDescent="0.25">
      <c r="A38" s="183">
        <v>4</v>
      </c>
      <c r="B38" s="305">
        <f>Estimation!B39</f>
        <v>0</v>
      </c>
      <c r="C38" s="179">
        <f>Estimation!F39</f>
        <v>0</v>
      </c>
      <c r="D38" s="591"/>
      <c r="E38" s="182">
        <f t="shared" si="1"/>
        <v>0</v>
      </c>
    </row>
    <row r="39" spans="1:5" x14ac:dyDescent="0.25">
      <c r="A39" s="183">
        <v>5</v>
      </c>
      <c r="B39" s="305">
        <f>Estimation!B40</f>
        <v>0</v>
      </c>
      <c r="C39" s="179">
        <f>Estimation!F40</f>
        <v>0</v>
      </c>
      <c r="D39" s="591"/>
      <c r="E39" s="182">
        <f t="shared" si="1"/>
        <v>0</v>
      </c>
    </row>
    <row r="40" spans="1:5" ht="16.5" thickBot="1" x14ac:dyDescent="0.3">
      <c r="A40" s="283"/>
      <c r="B40" s="284" t="s">
        <v>122</v>
      </c>
      <c r="C40" s="277">
        <f>SUM(C35:C39)</f>
        <v>0</v>
      </c>
      <c r="D40" s="195">
        <f>SUM(D35:D39)</f>
        <v>0</v>
      </c>
      <c r="E40" s="195">
        <f t="shared" si="1"/>
        <v>0</v>
      </c>
    </row>
    <row r="41" spans="1:5" x14ac:dyDescent="0.25">
      <c r="A41" s="279"/>
      <c r="B41" s="280"/>
      <c r="C41" s="281"/>
      <c r="D41" s="190"/>
      <c r="E41" s="192"/>
    </row>
    <row r="42" spans="1:5" ht="16.5" thickBot="1" x14ac:dyDescent="0.3">
      <c r="A42" s="186"/>
      <c r="B42" s="282" t="s">
        <v>123</v>
      </c>
      <c r="C42" s="281"/>
      <c r="D42" s="285">
        <f>SUM(D43:D47)</f>
        <v>0</v>
      </c>
      <c r="E42" s="192"/>
    </row>
    <row r="43" spans="1:5" x14ac:dyDescent="0.25">
      <c r="A43" s="183">
        <v>1</v>
      </c>
      <c r="B43" s="305" t="str">
        <f>Estimation!B44</f>
        <v>Divers Fabrication</v>
      </c>
      <c r="C43" s="179">
        <f>Estimation!F44</f>
        <v>0</v>
      </c>
      <c r="D43" s="591"/>
      <c r="E43" s="182">
        <f t="shared" si="1"/>
        <v>0</v>
      </c>
    </row>
    <row r="44" spans="1:5" x14ac:dyDescent="0.25">
      <c r="A44" s="183">
        <v>2</v>
      </c>
      <c r="B44" s="305" t="str">
        <f>Estimation!B45</f>
        <v>imprevu</v>
      </c>
      <c r="C44" s="179">
        <f>Estimation!F45</f>
        <v>0</v>
      </c>
      <c r="D44" s="591"/>
      <c r="E44" s="182">
        <f t="shared" si="1"/>
        <v>0</v>
      </c>
    </row>
    <row r="45" spans="1:5" x14ac:dyDescent="0.25">
      <c r="A45" s="183">
        <v>3</v>
      </c>
      <c r="B45" s="305" t="str">
        <f>Estimation!B46</f>
        <v>Divers Installation</v>
      </c>
      <c r="C45" s="179">
        <f>Estimation!F46</f>
        <v>0</v>
      </c>
      <c r="D45" s="591"/>
      <c r="E45" s="182">
        <f t="shared" si="1"/>
        <v>0</v>
      </c>
    </row>
    <row r="46" spans="1:5" x14ac:dyDescent="0.25">
      <c r="A46" s="183">
        <v>4</v>
      </c>
      <c r="B46" s="305">
        <f>Estimation!B47</f>
        <v>0</v>
      </c>
      <c r="C46" s="179">
        <f>Estimation!F47</f>
        <v>0</v>
      </c>
      <c r="D46" s="591"/>
      <c r="E46" s="182">
        <f t="shared" si="1"/>
        <v>0</v>
      </c>
    </row>
    <row r="47" spans="1:5" x14ac:dyDescent="0.25">
      <c r="A47" s="183">
        <v>5</v>
      </c>
      <c r="B47" s="305">
        <f>Estimation!B48</f>
        <v>0</v>
      </c>
      <c r="C47" s="179">
        <f>Estimation!F48</f>
        <v>0</v>
      </c>
      <c r="D47" s="591"/>
      <c r="E47" s="182">
        <f t="shared" si="1"/>
        <v>0</v>
      </c>
    </row>
    <row r="48" spans="1:5" ht="16.5" thickBot="1" x14ac:dyDescent="0.3">
      <c r="A48" s="283"/>
      <c r="B48" s="284" t="s">
        <v>124</v>
      </c>
      <c r="C48" s="277">
        <f>SUM(C43:C47)</f>
        <v>0</v>
      </c>
      <c r="E48" s="195">
        <f>C48-D42</f>
        <v>0</v>
      </c>
    </row>
    <row r="49" spans="1:5" ht="15.75" thickBot="1" x14ac:dyDescent="0.3">
      <c r="A49" s="279"/>
      <c r="B49" s="280"/>
      <c r="C49" s="281"/>
      <c r="D49" s="190"/>
      <c r="E49" s="192"/>
    </row>
    <row r="50" spans="1:5" ht="16.5" thickBot="1" x14ac:dyDescent="0.3">
      <c r="A50" s="286"/>
      <c r="B50" s="301" t="s">
        <v>99</v>
      </c>
      <c r="C50" s="287">
        <f>C32+C40+C48</f>
        <v>0</v>
      </c>
      <c r="D50" s="287">
        <f>D32+D40+D42</f>
        <v>0</v>
      </c>
      <c r="E50" s="288">
        <f>C50-D50</f>
        <v>0</v>
      </c>
    </row>
    <row r="51" spans="1:5" ht="16.5" thickBot="1" x14ac:dyDescent="0.3">
      <c r="A51" s="289">
        <f>'[1]SOUMISSION SOMMAIRE'!F51</f>
        <v>0.28000000000000003</v>
      </c>
      <c r="B51" s="301" t="s">
        <v>125</v>
      </c>
      <c r="C51" s="290">
        <f>A51*C50</f>
        <v>0</v>
      </c>
      <c r="D51" s="291">
        <f>A51*D50</f>
        <v>0</v>
      </c>
      <c r="E51" s="292">
        <f>C51-D51</f>
        <v>0</v>
      </c>
    </row>
    <row r="52" spans="1:5" ht="16.5" thickBot="1" x14ac:dyDescent="0.3">
      <c r="A52" s="200"/>
      <c r="B52" s="239" t="s">
        <v>126</v>
      </c>
      <c r="C52" s="290">
        <f>SUM(C50:C51)</f>
        <v>0</v>
      </c>
      <c r="D52" s="291">
        <f>SUM(D50:D51)</f>
        <v>0</v>
      </c>
      <c r="E52" s="292">
        <f>C52-D52</f>
        <v>0</v>
      </c>
    </row>
    <row r="53" spans="1:5" ht="16.5" thickBot="1" x14ac:dyDescent="0.3">
      <c r="A53" s="201"/>
      <c r="B53" s="302" t="s">
        <v>127</v>
      </c>
      <c r="C53" s="290">
        <f>Estimation!K53</f>
        <v>0</v>
      </c>
      <c r="D53" s="291">
        <f>C53</f>
        <v>0</v>
      </c>
      <c r="E53" s="292">
        <f>C53-D53</f>
        <v>0</v>
      </c>
    </row>
    <row r="54" spans="1:5" ht="16.5" thickBot="1" x14ac:dyDescent="0.3">
      <c r="A54" s="202"/>
      <c r="B54" s="303" t="s">
        <v>128</v>
      </c>
      <c r="C54" s="290">
        <f>C53-C52</f>
        <v>0</v>
      </c>
      <c r="D54" s="291">
        <f>D53-D52</f>
        <v>0</v>
      </c>
      <c r="E54" s="292">
        <f>-C54+D54</f>
        <v>0</v>
      </c>
    </row>
    <row r="55" spans="1:5" ht="16.5" thickBot="1" x14ac:dyDescent="0.3">
      <c r="A55" s="203"/>
      <c r="B55" s="304" t="s">
        <v>129</v>
      </c>
      <c r="C55" s="293" t="e">
        <f>C54/C53</f>
        <v>#DIV/0!</v>
      </c>
      <c r="D55" s="294" t="e">
        <f>D54/D53</f>
        <v>#DIV/0!</v>
      </c>
      <c r="E55" s="295"/>
    </row>
    <row r="56" spans="1:5" ht="16.5" thickBot="1" x14ac:dyDescent="0.3">
      <c r="A56" s="296"/>
      <c r="B56" s="297"/>
      <c r="C56" s="298"/>
      <c r="D56" s="299"/>
      <c r="E56" s="300"/>
    </row>
    <row r="57" spans="1:5" ht="15.75" thickTop="1" x14ac:dyDescent="0.25"/>
  </sheetData>
  <sheetProtection password="DD76" sheet="1" objects="1" scenarios="1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B32"/>
  <sheetViews>
    <sheetView topLeftCell="H16" zoomScaleNormal="100" workbookViewId="0">
      <selection activeCell="P20" sqref="P20"/>
    </sheetView>
  </sheetViews>
  <sheetFormatPr baseColWidth="10" defaultColWidth="9.140625" defaultRowHeight="15" x14ac:dyDescent="0.25"/>
  <cols>
    <col min="1" max="1" width="1.85546875" style="40" customWidth="1"/>
    <col min="2" max="2" width="24.85546875" style="40" customWidth="1"/>
    <col min="3" max="3" width="9.140625" style="40" customWidth="1"/>
    <col min="4" max="4" width="11.42578125" style="40" customWidth="1"/>
    <col min="5" max="6" width="13.7109375" style="40" customWidth="1"/>
    <col min="7" max="7" width="9.140625" style="40" customWidth="1"/>
    <col min="8" max="8" width="10.5703125" style="40" customWidth="1"/>
    <col min="9" max="10" width="9.85546875" style="40" customWidth="1"/>
    <col min="11" max="11" width="9.140625" style="40" customWidth="1"/>
    <col min="12" max="12" width="12.140625" style="40" customWidth="1"/>
    <col min="13" max="13" width="13.140625" style="40" customWidth="1"/>
    <col min="14" max="14" width="10.28515625" style="40" customWidth="1"/>
    <col min="15" max="15" width="10.85546875" style="40" customWidth="1"/>
    <col min="16" max="16" width="10.140625" style="40" customWidth="1"/>
    <col min="17" max="17" width="11.5703125" style="40" customWidth="1"/>
    <col min="18" max="18" width="11.42578125" style="40" customWidth="1"/>
    <col min="19" max="20" width="9.140625" style="40" customWidth="1"/>
    <col min="21" max="21" width="13.140625" style="40" customWidth="1"/>
    <col min="22" max="22" width="11.5703125" style="40" customWidth="1"/>
    <col min="23" max="23" width="10.85546875" style="40" customWidth="1"/>
    <col min="24" max="24" width="12.85546875" style="40" customWidth="1"/>
    <col min="25" max="25" width="12.28515625" style="40" customWidth="1"/>
    <col min="26" max="26" width="9.140625" style="40"/>
    <col min="27" max="27" width="11.7109375" style="40" customWidth="1"/>
    <col min="28" max="28" width="11.28515625" style="40" customWidth="1"/>
    <col min="29" max="256" width="9.140625" style="40"/>
    <col min="257" max="257" width="1.28515625" style="40" customWidth="1"/>
    <col min="258" max="258" width="24.85546875" style="40" customWidth="1"/>
    <col min="259" max="259" width="9.140625" style="40" customWidth="1"/>
    <col min="260" max="260" width="11.42578125" style="40" customWidth="1"/>
    <col min="261" max="262" width="13.7109375" style="40" customWidth="1"/>
    <col min="263" max="264" width="9.140625" style="40" customWidth="1"/>
    <col min="265" max="265" width="9.85546875" style="40" bestFit="1" customWidth="1"/>
    <col min="266" max="266" width="9.85546875" style="40" customWidth="1"/>
    <col min="267" max="268" width="9.140625" style="40" customWidth="1"/>
    <col min="269" max="269" width="10.42578125" style="40" customWidth="1"/>
    <col min="270" max="270" width="10.28515625" style="40" customWidth="1"/>
    <col min="271" max="271" width="10.85546875" style="40" customWidth="1"/>
    <col min="272" max="272" width="10.140625" style="40" customWidth="1"/>
    <col min="273" max="273" width="11.5703125" style="40" customWidth="1"/>
    <col min="274" max="274" width="11.42578125" style="40" customWidth="1"/>
    <col min="275" max="276" width="9.140625" style="40" customWidth="1"/>
    <col min="277" max="277" width="13.140625" style="40" customWidth="1"/>
    <col min="278" max="278" width="11.5703125" style="40" customWidth="1"/>
    <col min="279" max="279" width="10.85546875" style="40" customWidth="1"/>
    <col min="280" max="280" width="12.85546875" style="40" customWidth="1"/>
    <col min="281" max="281" width="10.28515625" style="40" bestFit="1" customWidth="1"/>
    <col min="282" max="282" width="9.140625" style="40"/>
    <col min="283" max="283" width="11.7109375" style="40" customWidth="1"/>
    <col min="284" max="284" width="11.28515625" style="40" customWidth="1"/>
    <col min="285" max="512" width="9.140625" style="40"/>
    <col min="513" max="513" width="1.28515625" style="40" customWidth="1"/>
    <col min="514" max="514" width="24.85546875" style="40" customWidth="1"/>
    <col min="515" max="515" width="9.140625" style="40" customWidth="1"/>
    <col min="516" max="516" width="11.42578125" style="40" customWidth="1"/>
    <col min="517" max="518" width="13.7109375" style="40" customWidth="1"/>
    <col min="519" max="520" width="9.140625" style="40" customWidth="1"/>
    <col min="521" max="521" width="9.85546875" style="40" bestFit="1" customWidth="1"/>
    <col min="522" max="522" width="9.85546875" style="40" customWidth="1"/>
    <col min="523" max="524" width="9.140625" style="40" customWidth="1"/>
    <col min="525" max="525" width="10.42578125" style="40" customWidth="1"/>
    <col min="526" max="526" width="10.28515625" style="40" customWidth="1"/>
    <col min="527" max="527" width="10.85546875" style="40" customWidth="1"/>
    <col min="528" max="528" width="10.140625" style="40" customWidth="1"/>
    <col min="529" max="529" width="11.5703125" style="40" customWidth="1"/>
    <col min="530" max="530" width="11.42578125" style="40" customWidth="1"/>
    <col min="531" max="532" width="9.140625" style="40" customWidth="1"/>
    <col min="533" max="533" width="13.140625" style="40" customWidth="1"/>
    <col min="534" max="534" width="11.5703125" style="40" customWidth="1"/>
    <col min="535" max="535" width="10.85546875" style="40" customWidth="1"/>
    <col min="536" max="536" width="12.85546875" style="40" customWidth="1"/>
    <col min="537" max="537" width="10.28515625" style="40" bestFit="1" customWidth="1"/>
    <col min="538" max="538" width="9.140625" style="40"/>
    <col min="539" max="539" width="11.7109375" style="40" customWidth="1"/>
    <col min="540" max="540" width="11.28515625" style="40" customWidth="1"/>
    <col min="541" max="768" width="9.140625" style="40"/>
    <col min="769" max="769" width="1.28515625" style="40" customWidth="1"/>
    <col min="770" max="770" width="24.85546875" style="40" customWidth="1"/>
    <col min="771" max="771" width="9.140625" style="40" customWidth="1"/>
    <col min="772" max="772" width="11.42578125" style="40" customWidth="1"/>
    <col min="773" max="774" width="13.7109375" style="40" customWidth="1"/>
    <col min="775" max="776" width="9.140625" style="40" customWidth="1"/>
    <col min="777" max="777" width="9.85546875" style="40" bestFit="1" customWidth="1"/>
    <col min="778" max="778" width="9.85546875" style="40" customWidth="1"/>
    <col min="779" max="780" width="9.140625" style="40" customWidth="1"/>
    <col min="781" max="781" width="10.42578125" style="40" customWidth="1"/>
    <col min="782" max="782" width="10.28515625" style="40" customWidth="1"/>
    <col min="783" max="783" width="10.85546875" style="40" customWidth="1"/>
    <col min="784" max="784" width="10.140625" style="40" customWidth="1"/>
    <col min="785" max="785" width="11.5703125" style="40" customWidth="1"/>
    <col min="786" max="786" width="11.42578125" style="40" customWidth="1"/>
    <col min="787" max="788" width="9.140625" style="40" customWidth="1"/>
    <col min="789" max="789" width="13.140625" style="40" customWidth="1"/>
    <col min="790" max="790" width="11.5703125" style="40" customWidth="1"/>
    <col min="791" max="791" width="10.85546875" style="40" customWidth="1"/>
    <col min="792" max="792" width="12.85546875" style="40" customWidth="1"/>
    <col min="793" max="793" width="10.28515625" style="40" bestFit="1" customWidth="1"/>
    <col min="794" max="794" width="9.140625" style="40"/>
    <col min="795" max="795" width="11.7109375" style="40" customWidth="1"/>
    <col min="796" max="796" width="11.28515625" style="40" customWidth="1"/>
    <col min="797" max="1024" width="9.140625" style="40"/>
    <col min="1025" max="1025" width="1.28515625" style="40" customWidth="1"/>
    <col min="1026" max="1026" width="24.85546875" style="40" customWidth="1"/>
    <col min="1027" max="1027" width="9.140625" style="40" customWidth="1"/>
    <col min="1028" max="1028" width="11.42578125" style="40" customWidth="1"/>
    <col min="1029" max="1030" width="13.7109375" style="40" customWidth="1"/>
    <col min="1031" max="1032" width="9.140625" style="40" customWidth="1"/>
    <col min="1033" max="1033" width="9.85546875" style="40" bestFit="1" customWidth="1"/>
    <col min="1034" max="1034" width="9.85546875" style="40" customWidth="1"/>
    <col min="1035" max="1036" width="9.140625" style="40" customWidth="1"/>
    <col min="1037" max="1037" width="10.42578125" style="40" customWidth="1"/>
    <col min="1038" max="1038" width="10.28515625" style="40" customWidth="1"/>
    <col min="1039" max="1039" width="10.85546875" style="40" customWidth="1"/>
    <col min="1040" max="1040" width="10.140625" style="40" customWidth="1"/>
    <col min="1041" max="1041" width="11.5703125" style="40" customWidth="1"/>
    <col min="1042" max="1042" width="11.42578125" style="40" customWidth="1"/>
    <col min="1043" max="1044" width="9.140625" style="40" customWidth="1"/>
    <col min="1045" max="1045" width="13.140625" style="40" customWidth="1"/>
    <col min="1046" max="1046" width="11.5703125" style="40" customWidth="1"/>
    <col min="1047" max="1047" width="10.85546875" style="40" customWidth="1"/>
    <col min="1048" max="1048" width="12.85546875" style="40" customWidth="1"/>
    <col min="1049" max="1049" width="10.28515625" style="40" bestFit="1" customWidth="1"/>
    <col min="1050" max="1050" width="9.140625" style="40"/>
    <col min="1051" max="1051" width="11.7109375" style="40" customWidth="1"/>
    <col min="1052" max="1052" width="11.28515625" style="40" customWidth="1"/>
    <col min="1053" max="1280" width="9.140625" style="40"/>
    <col min="1281" max="1281" width="1.28515625" style="40" customWidth="1"/>
    <col min="1282" max="1282" width="24.85546875" style="40" customWidth="1"/>
    <col min="1283" max="1283" width="9.140625" style="40" customWidth="1"/>
    <col min="1284" max="1284" width="11.42578125" style="40" customWidth="1"/>
    <col min="1285" max="1286" width="13.7109375" style="40" customWidth="1"/>
    <col min="1287" max="1288" width="9.140625" style="40" customWidth="1"/>
    <col min="1289" max="1289" width="9.85546875" style="40" bestFit="1" customWidth="1"/>
    <col min="1290" max="1290" width="9.85546875" style="40" customWidth="1"/>
    <col min="1291" max="1292" width="9.140625" style="40" customWidth="1"/>
    <col min="1293" max="1293" width="10.42578125" style="40" customWidth="1"/>
    <col min="1294" max="1294" width="10.28515625" style="40" customWidth="1"/>
    <col min="1295" max="1295" width="10.85546875" style="40" customWidth="1"/>
    <col min="1296" max="1296" width="10.140625" style="40" customWidth="1"/>
    <col min="1297" max="1297" width="11.5703125" style="40" customWidth="1"/>
    <col min="1298" max="1298" width="11.42578125" style="40" customWidth="1"/>
    <col min="1299" max="1300" width="9.140625" style="40" customWidth="1"/>
    <col min="1301" max="1301" width="13.140625" style="40" customWidth="1"/>
    <col min="1302" max="1302" width="11.5703125" style="40" customWidth="1"/>
    <col min="1303" max="1303" width="10.85546875" style="40" customWidth="1"/>
    <col min="1304" max="1304" width="12.85546875" style="40" customWidth="1"/>
    <col min="1305" max="1305" width="10.28515625" style="40" bestFit="1" customWidth="1"/>
    <col min="1306" max="1306" width="9.140625" style="40"/>
    <col min="1307" max="1307" width="11.7109375" style="40" customWidth="1"/>
    <col min="1308" max="1308" width="11.28515625" style="40" customWidth="1"/>
    <col min="1309" max="1536" width="9.140625" style="40"/>
    <col min="1537" max="1537" width="1.28515625" style="40" customWidth="1"/>
    <col min="1538" max="1538" width="24.85546875" style="40" customWidth="1"/>
    <col min="1539" max="1539" width="9.140625" style="40" customWidth="1"/>
    <col min="1540" max="1540" width="11.42578125" style="40" customWidth="1"/>
    <col min="1541" max="1542" width="13.7109375" style="40" customWidth="1"/>
    <col min="1543" max="1544" width="9.140625" style="40" customWidth="1"/>
    <col min="1545" max="1545" width="9.85546875" style="40" bestFit="1" customWidth="1"/>
    <col min="1546" max="1546" width="9.85546875" style="40" customWidth="1"/>
    <col min="1547" max="1548" width="9.140625" style="40" customWidth="1"/>
    <col min="1549" max="1549" width="10.42578125" style="40" customWidth="1"/>
    <col min="1550" max="1550" width="10.28515625" style="40" customWidth="1"/>
    <col min="1551" max="1551" width="10.85546875" style="40" customWidth="1"/>
    <col min="1552" max="1552" width="10.140625" style="40" customWidth="1"/>
    <col min="1553" max="1553" width="11.5703125" style="40" customWidth="1"/>
    <col min="1554" max="1554" width="11.42578125" style="40" customWidth="1"/>
    <col min="1555" max="1556" width="9.140625" style="40" customWidth="1"/>
    <col min="1557" max="1557" width="13.140625" style="40" customWidth="1"/>
    <col min="1558" max="1558" width="11.5703125" style="40" customWidth="1"/>
    <col min="1559" max="1559" width="10.85546875" style="40" customWidth="1"/>
    <col min="1560" max="1560" width="12.85546875" style="40" customWidth="1"/>
    <col min="1561" max="1561" width="10.28515625" style="40" bestFit="1" customWidth="1"/>
    <col min="1562" max="1562" width="9.140625" style="40"/>
    <col min="1563" max="1563" width="11.7109375" style="40" customWidth="1"/>
    <col min="1564" max="1564" width="11.28515625" style="40" customWidth="1"/>
    <col min="1565" max="1792" width="9.140625" style="40"/>
    <col min="1793" max="1793" width="1.28515625" style="40" customWidth="1"/>
    <col min="1794" max="1794" width="24.85546875" style="40" customWidth="1"/>
    <col min="1795" max="1795" width="9.140625" style="40" customWidth="1"/>
    <col min="1796" max="1796" width="11.42578125" style="40" customWidth="1"/>
    <col min="1797" max="1798" width="13.7109375" style="40" customWidth="1"/>
    <col min="1799" max="1800" width="9.140625" style="40" customWidth="1"/>
    <col min="1801" max="1801" width="9.85546875" style="40" bestFit="1" customWidth="1"/>
    <col min="1802" max="1802" width="9.85546875" style="40" customWidth="1"/>
    <col min="1803" max="1804" width="9.140625" style="40" customWidth="1"/>
    <col min="1805" max="1805" width="10.42578125" style="40" customWidth="1"/>
    <col min="1806" max="1806" width="10.28515625" style="40" customWidth="1"/>
    <col min="1807" max="1807" width="10.85546875" style="40" customWidth="1"/>
    <col min="1808" max="1808" width="10.140625" style="40" customWidth="1"/>
    <col min="1809" max="1809" width="11.5703125" style="40" customWidth="1"/>
    <col min="1810" max="1810" width="11.42578125" style="40" customWidth="1"/>
    <col min="1811" max="1812" width="9.140625" style="40" customWidth="1"/>
    <col min="1813" max="1813" width="13.140625" style="40" customWidth="1"/>
    <col min="1814" max="1814" width="11.5703125" style="40" customWidth="1"/>
    <col min="1815" max="1815" width="10.85546875" style="40" customWidth="1"/>
    <col min="1816" max="1816" width="12.85546875" style="40" customWidth="1"/>
    <col min="1817" max="1817" width="10.28515625" style="40" bestFit="1" customWidth="1"/>
    <col min="1818" max="1818" width="9.140625" style="40"/>
    <col min="1819" max="1819" width="11.7109375" style="40" customWidth="1"/>
    <col min="1820" max="1820" width="11.28515625" style="40" customWidth="1"/>
    <col min="1821" max="2048" width="9.140625" style="40"/>
    <col min="2049" max="2049" width="1.28515625" style="40" customWidth="1"/>
    <col min="2050" max="2050" width="24.85546875" style="40" customWidth="1"/>
    <col min="2051" max="2051" width="9.140625" style="40" customWidth="1"/>
    <col min="2052" max="2052" width="11.42578125" style="40" customWidth="1"/>
    <col min="2053" max="2054" width="13.7109375" style="40" customWidth="1"/>
    <col min="2055" max="2056" width="9.140625" style="40" customWidth="1"/>
    <col min="2057" max="2057" width="9.85546875" style="40" bestFit="1" customWidth="1"/>
    <col min="2058" max="2058" width="9.85546875" style="40" customWidth="1"/>
    <col min="2059" max="2060" width="9.140625" style="40" customWidth="1"/>
    <col min="2061" max="2061" width="10.42578125" style="40" customWidth="1"/>
    <col min="2062" max="2062" width="10.28515625" style="40" customWidth="1"/>
    <col min="2063" max="2063" width="10.85546875" style="40" customWidth="1"/>
    <col min="2064" max="2064" width="10.140625" style="40" customWidth="1"/>
    <col min="2065" max="2065" width="11.5703125" style="40" customWidth="1"/>
    <col min="2066" max="2066" width="11.42578125" style="40" customWidth="1"/>
    <col min="2067" max="2068" width="9.140625" style="40" customWidth="1"/>
    <col min="2069" max="2069" width="13.140625" style="40" customWidth="1"/>
    <col min="2070" max="2070" width="11.5703125" style="40" customWidth="1"/>
    <col min="2071" max="2071" width="10.85546875" style="40" customWidth="1"/>
    <col min="2072" max="2072" width="12.85546875" style="40" customWidth="1"/>
    <col min="2073" max="2073" width="10.28515625" style="40" bestFit="1" customWidth="1"/>
    <col min="2074" max="2074" width="9.140625" style="40"/>
    <col min="2075" max="2075" width="11.7109375" style="40" customWidth="1"/>
    <col min="2076" max="2076" width="11.28515625" style="40" customWidth="1"/>
    <col min="2077" max="2304" width="9.140625" style="40"/>
    <col min="2305" max="2305" width="1.28515625" style="40" customWidth="1"/>
    <col min="2306" max="2306" width="24.85546875" style="40" customWidth="1"/>
    <col min="2307" max="2307" width="9.140625" style="40" customWidth="1"/>
    <col min="2308" max="2308" width="11.42578125" style="40" customWidth="1"/>
    <col min="2309" max="2310" width="13.7109375" style="40" customWidth="1"/>
    <col min="2311" max="2312" width="9.140625" style="40" customWidth="1"/>
    <col min="2313" max="2313" width="9.85546875" style="40" bestFit="1" customWidth="1"/>
    <col min="2314" max="2314" width="9.85546875" style="40" customWidth="1"/>
    <col min="2315" max="2316" width="9.140625" style="40" customWidth="1"/>
    <col min="2317" max="2317" width="10.42578125" style="40" customWidth="1"/>
    <col min="2318" max="2318" width="10.28515625" style="40" customWidth="1"/>
    <col min="2319" max="2319" width="10.85546875" style="40" customWidth="1"/>
    <col min="2320" max="2320" width="10.140625" style="40" customWidth="1"/>
    <col min="2321" max="2321" width="11.5703125" style="40" customWidth="1"/>
    <col min="2322" max="2322" width="11.42578125" style="40" customWidth="1"/>
    <col min="2323" max="2324" width="9.140625" style="40" customWidth="1"/>
    <col min="2325" max="2325" width="13.140625" style="40" customWidth="1"/>
    <col min="2326" max="2326" width="11.5703125" style="40" customWidth="1"/>
    <col min="2327" max="2327" width="10.85546875" style="40" customWidth="1"/>
    <col min="2328" max="2328" width="12.85546875" style="40" customWidth="1"/>
    <col min="2329" max="2329" width="10.28515625" style="40" bestFit="1" customWidth="1"/>
    <col min="2330" max="2330" width="9.140625" style="40"/>
    <col min="2331" max="2331" width="11.7109375" style="40" customWidth="1"/>
    <col min="2332" max="2332" width="11.28515625" style="40" customWidth="1"/>
    <col min="2333" max="2560" width="9.140625" style="40"/>
    <col min="2561" max="2561" width="1.28515625" style="40" customWidth="1"/>
    <col min="2562" max="2562" width="24.85546875" style="40" customWidth="1"/>
    <col min="2563" max="2563" width="9.140625" style="40" customWidth="1"/>
    <col min="2564" max="2564" width="11.42578125" style="40" customWidth="1"/>
    <col min="2565" max="2566" width="13.7109375" style="40" customWidth="1"/>
    <col min="2567" max="2568" width="9.140625" style="40" customWidth="1"/>
    <col min="2569" max="2569" width="9.85546875" style="40" bestFit="1" customWidth="1"/>
    <col min="2570" max="2570" width="9.85546875" style="40" customWidth="1"/>
    <col min="2571" max="2572" width="9.140625" style="40" customWidth="1"/>
    <col min="2573" max="2573" width="10.42578125" style="40" customWidth="1"/>
    <col min="2574" max="2574" width="10.28515625" style="40" customWidth="1"/>
    <col min="2575" max="2575" width="10.85546875" style="40" customWidth="1"/>
    <col min="2576" max="2576" width="10.140625" style="40" customWidth="1"/>
    <col min="2577" max="2577" width="11.5703125" style="40" customWidth="1"/>
    <col min="2578" max="2578" width="11.42578125" style="40" customWidth="1"/>
    <col min="2579" max="2580" width="9.140625" style="40" customWidth="1"/>
    <col min="2581" max="2581" width="13.140625" style="40" customWidth="1"/>
    <col min="2582" max="2582" width="11.5703125" style="40" customWidth="1"/>
    <col min="2583" max="2583" width="10.85546875" style="40" customWidth="1"/>
    <col min="2584" max="2584" width="12.85546875" style="40" customWidth="1"/>
    <col min="2585" max="2585" width="10.28515625" style="40" bestFit="1" customWidth="1"/>
    <col min="2586" max="2586" width="9.140625" style="40"/>
    <col min="2587" max="2587" width="11.7109375" style="40" customWidth="1"/>
    <col min="2588" max="2588" width="11.28515625" style="40" customWidth="1"/>
    <col min="2589" max="2816" width="9.140625" style="40"/>
    <col min="2817" max="2817" width="1.28515625" style="40" customWidth="1"/>
    <col min="2818" max="2818" width="24.85546875" style="40" customWidth="1"/>
    <col min="2819" max="2819" width="9.140625" style="40" customWidth="1"/>
    <col min="2820" max="2820" width="11.42578125" style="40" customWidth="1"/>
    <col min="2821" max="2822" width="13.7109375" style="40" customWidth="1"/>
    <col min="2823" max="2824" width="9.140625" style="40" customWidth="1"/>
    <col min="2825" max="2825" width="9.85546875" style="40" bestFit="1" customWidth="1"/>
    <col min="2826" max="2826" width="9.85546875" style="40" customWidth="1"/>
    <col min="2827" max="2828" width="9.140625" style="40" customWidth="1"/>
    <col min="2829" max="2829" width="10.42578125" style="40" customWidth="1"/>
    <col min="2830" max="2830" width="10.28515625" style="40" customWidth="1"/>
    <col min="2831" max="2831" width="10.85546875" style="40" customWidth="1"/>
    <col min="2832" max="2832" width="10.140625" style="40" customWidth="1"/>
    <col min="2833" max="2833" width="11.5703125" style="40" customWidth="1"/>
    <col min="2834" max="2834" width="11.42578125" style="40" customWidth="1"/>
    <col min="2835" max="2836" width="9.140625" style="40" customWidth="1"/>
    <col min="2837" max="2837" width="13.140625" style="40" customWidth="1"/>
    <col min="2838" max="2838" width="11.5703125" style="40" customWidth="1"/>
    <col min="2839" max="2839" width="10.85546875" style="40" customWidth="1"/>
    <col min="2840" max="2840" width="12.85546875" style="40" customWidth="1"/>
    <col min="2841" max="2841" width="10.28515625" style="40" bestFit="1" customWidth="1"/>
    <col min="2842" max="2842" width="9.140625" style="40"/>
    <col min="2843" max="2843" width="11.7109375" style="40" customWidth="1"/>
    <col min="2844" max="2844" width="11.28515625" style="40" customWidth="1"/>
    <col min="2845" max="3072" width="9.140625" style="40"/>
    <col min="3073" max="3073" width="1.28515625" style="40" customWidth="1"/>
    <col min="3074" max="3074" width="24.85546875" style="40" customWidth="1"/>
    <col min="3075" max="3075" width="9.140625" style="40" customWidth="1"/>
    <col min="3076" max="3076" width="11.42578125" style="40" customWidth="1"/>
    <col min="3077" max="3078" width="13.7109375" style="40" customWidth="1"/>
    <col min="3079" max="3080" width="9.140625" style="40" customWidth="1"/>
    <col min="3081" max="3081" width="9.85546875" style="40" bestFit="1" customWidth="1"/>
    <col min="3082" max="3082" width="9.85546875" style="40" customWidth="1"/>
    <col min="3083" max="3084" width="9.140625" style="40" customWidth="1"/>
    <col min="3085" max="3085" width="10.42578125" style="40" customWidth="1"/>
    <col min="3086" max="3086" width="10.28515625" style="40" customWidth="1"/>
    <col min="3087" max="3087" width="10.85546875" style="40" customWidth="1"/>
    <col min="3088" max="3088" width="10.140625" style="40" customWidth="1"/>
    <col min="3089" max="3089" width="11.5703125" style="40" customWidth="1"/>
    <col min="3090" max="3090" width="11.42578125" style="40" customWidth="1"/>
    <col min="3091" max="3092" width="9.140625" style="40" customWidth="1"/>
    <col min="3093" max="3093" width="13.140625" style="40" customWidth="1"/>
    <col min="3094" max="3094" width="11.5703125" style="40" customWidth="1"/>
    <col min="3095" max="3095" width="10.85546875" style="40" customWidth="1"/>
    <col min="3096" max="3096" width="12.85546875" style="40" customWidth="1"/>
    <col min="3097" max="3097" width="10.28515625" style="40" bestFit="1" customWidth="1"/>
    <col min="3098" max="3098" width="9.140625" style="40"/>
    <col min="3099" max="3099" width="11.7109375" style="40" customWidth="1"/>
    <col min="3100" max="3100" width="11.28515625" style="40" customWidth="1"/>
    <col min="3101" max="3328" width="9.140625" style="40"/>
    <col min="3329" max="3329" width="1.28515625" style="40" customWidth="1"/>
    <col min="3330" max="3330" width="24.85546875" style="40" customWidth="1"/>
    <col min="3331" max="3331" width="9.140625" style="40" customWidth="1"/>
    <col min="3332" max="3332" width="11.42578125" style="40" customWidth="1"/>
    <col min="3333" max="3334" width="13.7109375" style="40" customWidth="1"/>
    <col min="3335" max="3336" width="9.140625" style="40" customWidth="1"/>
    <col min="3337" max="3337" width="9.85546875" style="40" bestFit="1" customWidth="1"/>
    <col min="3338" max="3338" width="9.85546875" style="40" customWidth="1"/>
    <col min="3339" max="3340" width="9.140625" style="40" customWidth="1"/>
    <col min="3341" max="3341" width="10.42578125" style="40" customWidth="1"/>
    <col min="3342" max="3342" width="10.28515625" style="40" customWidth="1"/>
    <col min="3343" max="3343" width="10.85546875" style="40" customWidth="1"/>
    <col min="3344" max="3344" width="10.140625" style="40" customWidth="1"/>
    <col min="3345" max="3345" width="11.5703125" style="40" customWidth="1"/>
    <col min="3346" max="3346" width="11.42578125" style="40" customWidth="1"/>
    <col min="3347" max="3348" width="9.140625" style="40" customWidth="1"/>
    <col min="3349" max="3349" width="13.140625" style="40" customWidth="1"/>
    <col min="3350" max="3350" width="11.5703125" style="40" customWidth="1"/>
    <col min="3351" max="3351" width="10.85546875" style="40" customWidth="1"/>
    <col min="3352" max="3352" width="12.85546875" style="40" customWidth="1"/>
    <col min="3353" max="3353" width="10.28515625" style="40" bestFit="1" customWidth="1"/>
    <col min="3354" max="3354" width="9.140625" style="40"/>
    <col min="3355" max="3355" width="11.7109375" style="40" customWidth="1"/>
    <col min="3356" max="3356" width="11.28515625" style="40" customWidth="1"/>
    <col min="3357" max="3584" width="9.140625" style="40"/>
    <col min="3585" max="3585" width="1.28515625" style="40" customWidth="1"/>
    <col min="3586" max="3586" width="24.85546875" style="40" customWidth="1"/>
    <col min="3587" max="3587" width="9.140625" style="40" customWidth="1"/>
    <col min="3588" max="3588" width="11.42578125" style="40" customWidth="1"/>
    <col min="3589" max="3590" width="13.7109375" style="40" customWidth="1"/>
    <col min="3591" max="3592" width="9.140625" style="40" customWidth="1"/>
    <col min="3593" max="3593" width="9.85546875" style="40" bestFit="1" customWidth="1"/>
    <col min="3594" max="3594" width="9.85546875" style="40" customWidth="1"/>
    <col min="3595" max="3596" width="9.140625" style="40" customWidth="1"/>
    <col min="3597" max="3597" width="10.42578125" style="40" customWidth="1"/>
    <col min="3598" max="3598" width="10.28515625" style="40" customWidth="1"/>
    <col min="3599" max="3599" width="10.85546875" style="40" customWidth="1"/>
    <col min="3600" max="3600" width="10.140625" style="40" customWidth="1"/>
    <col min="3601" max="3601" width="11.5703125" style="40" customWidth="1"/>
    <col min="3602" max="3602" width="11.42578125" style="40" customWidth="1"/>
    <col min="3603" max="3604" width="9.140625" style="40" customWidth="1"/>
    <col min="3605" max="3605" width="13.140625" style="40" customWidth="1"/>
    <col min="3606" max="3606" width="11.5703125" style="40" customWidth="1"/>
    <col min="3607" max="3607" width="10.85546875" style="40" customWidth="1"/>
    <col min="3608" max="3608" width="12.85546875" style="40" customWidth="1"/>
    <col min="3609" max="3609" width="10.28515625" style="40" bestFit="1" customWidth="1"/>
    <col min="3610" max="3610" width="9.140625" style="40"/>
    <col min="3611" max="3611" width="11.7109375" style="40" customWidth="1"/>
    <col min="3612" max="3612" width="11.28515625" style="40" customWidth="1"/>
    <col min="3613" max="3840" width="9.140625" style="40"/>
    <col min="3841" max="3841" width="1.28515625" style="40" customWidth="1"/>
    <col min="3842" max="3842" width="24.85546875" style="40" customWidth="1"/>
    <col min="3843" max="3843" width="9.140625" style="40" customWidth="1"/>
    <col min="3844" max="3844" width="11.42578125" style="40" customWidth="1"/>
    <col min="3845" max="3846" width="13.7109375" style="40" customWidth="1"/>
    <col min="3847" max="3848" width="9.140625" style="40" customWidth="1"/>
    <col min="3849" max="3849" width="9.85546875" style="40" bestFit="1" customWidth="1"/>
    <col min="3850" max="3850" width="9.85546875" style="40" customWidth="1"/>
    <col min="3851" max="3852" width="9.140625" style="40" customWidth="1"/>
    <col min="3853" max="3853" width="10.42578125" style="40" customWidth="1"/>
    <col min="3854" max="3854" width="10.28515625" style="40" customWidth="1"/>
    <col min="3855" max="3855" width="10.85546875" style="40" customWidth="1"/>
    <col min="3856" max="3856" width="10.140625" style="40" customWidth="1"/>
    <col min="3857" max="3857" width="11.5703125" style="40" customWidth="1"/>
    <col min="3858" max="3858" width="11.42578125" style="40" customWidth="1"/>
    <col min="3859" max="3860" width="9.140625" style="40" customWidth="1"/>
    <col min="3861" max="3861" width="13.140625" style="40" customWidth="1"/>
    <col min="3862" max="3862" width="11.5703125" style="40" customWidth="1"/>
    <col min="3863" max="3863" width="10.85546875" style="40" customWidth="1"/>
    <col min="3864" max="3864" width="12.85546875" style="40" customWidth="1"/>
    <col min="3865" max="3865" width="10.28515625" style="40" bestFit="1" customWidth="1"/>
    <col min="3866" max="3866" width="9.140625" style="40"/>
    <col min="3867" max="3867" width="11.7109375" style="40" customWidth="1"/>
    <col min="3868" max="3868" width="11.28515625" style="40" customWidth="1"/>
    <col min="3869" max="4096" width="9.140625" style="40"/>
    <col min="4097" max="4097" width="1.28515625" style="40" customWidth="1"/>
    <col min="4098" max="4098" width="24.85546875" style="40" customWidth="1"/>
    <col min="4099" max="4099" width="9.140625" style="40" customWidth="1"/>
    <col min="4100" max="4100" width="11.42578125" style="40" customWidth="1"/>
    <col min="4101" max="4102" width="13.7109375" style="40" customWidth="1"/>
    <col min="4103" max="4104" width="9.140625" style="40" customWidth="1"/>
    <col min="4105" max="4105" width="9.85546875" style="40" bestFit="1" customWidth="1"/>
    <col min="4106" max="4106" width="9.85546875" style="40" customWidth="1"/>
    <col min="4107" max="4108" width="9.140625" style="40" customWidth="1"/>
    <col min="4109" max="4109" width="10.42578125" style="40" customWidth="1"/>
    <col min="4110" max="4110" width="10.28515625" style="40" customWidth="1"/>
    <col min="4111" max="4111" width="10.85546875" style="40" customWidth="1"/>
    <col min="4112" max="4112" width="10.140625" style="40" customWidth="1"/>
    <col min="4113" max="4113" width="11.5703125" style="40" customWidth="1"/>
    <col min="4114" max="4114" width="11.42578125" style="40" customWidth="1"/>
    <col min="4115" max="4116" width="9.140625" style="40" customWidth="1"/>
    <col min="4117" max="4117" width="13.140625" style="40" customWidth="1"/>
    <col min="4118" max="4118" width="11.5703125" style="40" customWidth="1"/>
    <col min="4119" max="4119" width="10.85546875" style="40" customWidth="1"/>
    <col min="4120" max="4120" width="12.85546875" style="40" customWidth="1"/>
    <col min="4121" max="4121" width="10.28515625" style="40" bestFit="1" customWidth="1"/>
    <col min="4122" max="4122" width="9.140625" style="40"/>
    <col min="4123" max="4123" width="11.7109375" style="40" customWidth="1"/>
    <col min="4124" max="4124" width="11.28515625" style="40" customWidth="1"/>
    <col min="4125" max="4352" width="9.140625" style="40"/>
    <col min="4353" max="4353" width="1.28515625" style="40" customWidth="1"/>
    <col min="4354" max="4354" width="24.85546875" style="40" customWidth="1"/>
    <col min="4355" max="4355" width="9.140625" style="40" customWidth="1"/>
    <col min="4356" max="4356" width="11.42578125" style="40" customWidth="1"/>
    <col min="4357" max="4358" width="13.7109375" style="40" customWidth="1"/>
    <col min="4359" max="4360" width="9.140625" style="40" customWidth="1"/>
    <col min="4361" max="4361" width="9.85546875" style="40" bestFit="1" customWidth="1"/>
    <col min="4362" max="4362" width="9.85546875" style="40" customWidth="1"/>
    <col min="4363" max="4364" width="9.140625" style="40" customWidth="1"/>
    <col min="4365" max="4365" width="10.42578125" style="40" customWidth="1"/>
    <col min="4366" max="4366" width="10.28515625" style="40" customWidth="1"/>
    <col min="4367" max="4367" width="10.85546875" style="40" customWidth="1"/>
    <col min="4368" max="4368" width="10.140625" style="40" customWidth="1"/>
    <col min="4369" max="4369" width="11.5703125" style="40" customWidth="1"/>
    <col min="4370" max="4370" width="11.42578125" style="40" customWidth="1"/>
    <col min="4371" max="4372" width="9.140625" style="40" customWidth="1"/>
    <col min="4373" max="4373" width="13.140625" style="40" customWidth="1"/>
    <col min="4374" max="4374" width="11.5703125" style="40" customWidth="1"/>
    <col min="4375" max="4375" width="10.85546875" style="40" customWidth="1"/>
    <col min="4376" max="4376" width="12.85546875" style="40" customWidth="1"/>
    <col min="4377" max="4377" width="10.28515625" style="40" bestFit="1" customWidth="1"/>
    <col min="4378" max="4378" width="9.140625" style="40"/>
    <col min="4379" max="4379" width="11.7109375" style="40" customWidth="1"/>
    <col min="4380" max="4380" width="11.28515625" style="40" customWidth="1"/>
    <col min="4381" max="4608" width="9.140625" style="40"/>
    <col min="4609" max="4609" width="1.28515625" style="40" customWidth="1"/>
    <col min="4610" max="4610" width="24.85546875" style="40" customWidth="1"/>
    <col min="4611" max="4611" width="9.140625" style="40" customWidth="1"/>
    <col min="4612" max="4612" width="11.42578125" style="40" customWidth="1"/>
    <col min="4613" max="4614" width="13.7109375" style="40" customWidth="1"/>
    <col min="4615" max="4616" width="9.140625" style="40" customWidth="1"/>
    <col min="4617" max="4617" width="9.85546875" style="40" bestFit="1" customWidth="1"/>
    <col min="4618" max="4618" width="9.85546875" style="40" customWidth="1"/>
    <col min="4619" max="4620" width="9.140625" style="40" customWidth="1"/>
    <col min="4621" max="4621" width="10.42578125" style="40" customWidth="1"/>
    <col min="4622" max="4622" width="10.28515625" style="40" customWidth="1"/>
    <col min="4623" max="4623" width="10.85546875" style="40" customWidth="1"/>
    <col min="4624" max="4624" width="10.140625" style="40" customWidth="1"/>
    <col min="4625" max="4625" width="11.5703125" style="40" customWidth="1"/>
    <col min="4626" max="4626" width="11.42578125" style="40" customWidth="1"/>
    <col min="4627" max="4628" width="9.140625" style="40" customWidth="1"/>
    <col min="4629" max="4629" width="13.140625" style="40" customWidth="1"/>
    <col min="4630" max="4630" width="11.5703125" style="40" customWidth="1"/>
    <col min="4631" max="4631" width="10.85546875" style="40" customWidth="1"/>
    <col min="4632" max="4632" width="12.85546875" style="40" customWidth="1"/>
    <col min="4633" max="4633" width="10.28515625" style="40" bestFit="1" customWidth="1"/>
    <col min="4634" max="4634" width="9.140625" style="40"/>
    <col min="4635" max="4635" width="11.7109375" style="40" customWidth="1"/>
    <col min="4636" max="4636" width="11.28515625" style="40" customWidth="1"/>
    <col min="4637" max="4864" width="9.140625" style="40"/>
    <col min="4865" max="4865" width="1.28515625" style="40" customWidth="1"/>
    <col min="4866" max="4866" width="24.85546875" style="40" customWidth="1"/>
    <col min="4867" max="4867" width="9.140625" style="40" customWidth="1"/>
    <col min="4868" max="4868" width="11.42578125" style="40" customWidth="1"/>
    <col min="4869" max="4870" width="13.7109375" style="40" customWidth="1"/>
    <col min="4871" max="4872" width="9.140625" style="40" customWidth="1"/>
    <col min="4873" max="4873" width="9.85546875" style="40" bestFit="1" customWidth="1"/>
    <col min="4874" max="4874" width="9.85546875" style="40" customWidth="1"/>
    <col min="4875" max="4876" width="9.140625" style="40" customWidth="1"/>
    <col min="4877" max="4877" width="10.42578125" style="40" customWidth="1"/>
    <col min="4878" max="4878" width="10.28515625" style="40" customWidth="1"/>
    <col min="4879" max="4879" width="10.85546875" style="40" customWidth="1"/>
    <col min="4880" max="4880" width="10.140625" style="40" customWidth="1"/>
    <col min="4881" max="4881" width="11.5703125" style="40" customWidth="1"/>
    <col min="4882" max="4882" width="11.42578125" style="40" customWidth="1"/>
    <col min="4883" max="4884" width="9.140625" style="40" customWidth="1"/>
    <col min="4885" max="4885" width="13.140625" style="40" customWidth="1"/>
    <col min="4886" max="4886" width="11.5703125" style="40" customWidth="1"/>
    <col min="4887" max="4887" width="10.85546875" style="40" customWidth="1"/>
    <col min="4888" max="4888" width="12.85546875" style="40" customWidth="1"/>
    <col min="4889" max="4889" width="10.28515625" style="40" bestFit="1" customWidth="1"/>
    <col min="4890" max="4890" width="9.140625" style="40"/>
    <col min="4891" max="4891" width="11.7109375" style="40" customWidth="1"/>
    <col min="4892" max="4892" width="11.28515625" style="40" customWidth="1"/>
    <col min="4893" max="5120" width="9.140625" style="40"/>
    <col min="5121" max="5121" width="1.28515625" style="40" customWidth="1"/>
    <col min="5122" max="5122" width="24.85546875" style="40" customWidth="1"/>
    <col min="5123" max="5123" width="9.140625" style="40" customWidth="1"/>
    <col min="5124" max="5124" width="11.42578125" style="40" customWidth="1"/>
    <col min="5125" max="5126" width="13.7109375" style="40" customWidth="1"/>
    <col min="5127" max="5128" width="9.140625" style="40" customWidth="1"/>
    <col min="5129" max="5129" width="9.85546875" style="40" bestFit="1" customWidth="1"/>
    <col min="5130" max="5130" width="9.85546875" style="40" customWidth="1"/>
    <col min="5131" max="5132" width="9.140625" style="40" customWidth="1"/>
    <col min="5133" max="5133" width="10.42578125" style="40" customWidth="1"/>
    <col min="5134" max="5134" width="10.28515625" style="40" customWidth="1"/>
    <col min="5135" max="5135" width="10.85546875" style="40" customWidth="1"/>
    <col min="5136" max="5136" width="10.140625" style="40" customWidth="1"/>
    <col min="5137" max="5137" width="11.5703125" style="40" customWidth="1"/>
    <col min="5138" max="5138" width="11.42578125" style="40" customWidth="1"/>
    <col min="5139" max="5140" width="9.140625" style="40" customWidth="1"/>
    <col min="5141" max="5141" width="13.140625" style="40" customWidth="1"/>
    <col min="5142" max="5142" width="11.5703125" style="40" customWidth="1"/>
    <col min="5143" max="5143" width="10.85546875" style="40" customWidth="1"/>
    <col min="5144" max="5144" width="12.85546875" style="40" customWidth="1"/>
    <col min="5145" max="5145" width="10.28515625" style="40" bestFit="1" customWidth="1"/>
    <col min="5146" max="5146" width="9.140625" style="40"/>
    <col min="5147" max="5147" width="11.7109375" style="40" customWidth="1"/>
    <col min="5148" max="5148" width="11.28515625" style="40" customWidth="1"/>
    <col min="5149" max="5376" width="9.140625" style="40"/>
    <col min="5377" max="5377" width="1.28515625" style="40" customWidth="1"/>
    <col min="5378" max="5378" width="24.85546875" style="40" customWidth="1"/>
    <col min="5379" max="5379" width="9.140625" style="40" customWidth="1"/>
    <col min="5380" max="5380" width="11.42578125" style="40" customWidth="1"/>
    <col min="5381" max="5382" width="13.7109375" style="40" customWidth="1"/>
    <col min="5383" max="5384" width="9.140625" style="40" customWidth="1"/>
    <col min="5385" max="5385" width="9.85546875" style="40" bestFit="1" customWidth="1"/>
    <col min="5386" max="5386" width="9.85546875" style="40" customWidth="1"/>
    <col min="5387" max="5388" width="9.140625" style="40" customWidth="1"/>
    <col min="5389" max="5389" width="10.42578125" style="40" customWidth="1"/>
    <col min="5390" max="5390" width="10.28515625" style="40" customWidth="1"/>
    <col min="5391" max="5391" width="10.85546875" style="40" customWidth="1"/>
    <col min="5392" max="5392" width="10.140625" style="40" customWidth="1"/>
    <col min="5393" max="5393" width="11.5703125" style="40" customWidth="1"/>
    <col min="5394" max="5394" width="11.42578125" style="40" customWidth="1"/>
    <col min="5395" max="5396" width="9.140625" style="40" customWidth="1"/>
    <col min="5397" max="5397" width="13.140625" style="40" customWidth="1"/>
    <col min="5398" max="5398" width="11.5703125" style="40" customWidth="1"/>
    <col min="5399" max="5399" width="10.85546875" style="40" customWidth="1"/>
    <col min="5400" max="5400" width="12.85546875" style="40" customWidth="1"/>
    <col min="5401" max="5401" width="10.28515625" style="40" bestFit="1" customWidth="1"/>
    <col min="5402" max="5402" width="9.140625" style="40"/>
    <col min="5403" max="5403" width="11.7109375" style="40" customWidth="1"/>
    <col min="5404" max="5404" width="11.28515625" style="40" customWidth="1"/>
    <col min="5405" max="5632" width="9.140625" style="40"/>
    <col min="5633" max="5633" width="1.28515625" style="40" customWidth="1"/>
    <col min="5634" max="5634" width="24.85546875" style="40" customWidth="1"/>
    <col min="5635" max="5635" width="9.140625" style="40" customWidth="1"/>
    <col min="5636" max="5636" width="11.42578125" style="40" customWidth="1"/>
    <col min="5637" max="5638" width="13.7109375" style="40" customWidth="1"/>
    <col min="5639" max="5640" width="9.140625" style="40" customWidth="1"/>
    <col min="5641" max="5641" width="9.85546875" style="40" bestFit="1" customWidth="1"/>
    <col min="5642" max="5642" width="9.85546875" style="40" customWidth="1"/>
    <col min="5643" max="5644" width="9.140625" style="40" customWidth="1"/>
    <col min="5645" max="5645" width="10.42578125" style="40" customWidth="1"/>
    <col min="5646" max="5646" width="10.28515625" style="40" customWidth="1"/>
    <col min="5647" max="5647" width="10.85546875" style="40" customWidth="1"/>
    <col min="5648" max="5648" width="10.140625" style="40" customWidth="1"/>
    <col min="5649" max="5649" width="11.5703125" style="40" customWidth="1"/>
    <col min="5650" max="5650" width="11.42578125" style="40" customWidth="1"/>
    <col min="5651" max="5652" width="9.140625" style="40" customWidth="1"/>
    <col min="5653" max="5653" width="13.140625" style="40" customWidth="1"/>
    <col min="5654" max="5654" width="11.5703125" style="40" customWidth="1"/>
    <col min="5655" max="5655" width="10.85546875" style="40" customWidth="1"/>
    <col min="5656" max="5656" width="12.85546875" style="40" customWidth="1"/>
    <col min="5657" max="5657" width="10.28515625" style="40" bestFit="1" customWidth="1"/>
    <col min="5658" max="5658" width="9.140625" style="40"/>
    <col min="5659" max="5659" width="11.7109375" style="40" customWidth="1"/>
    <col min="5660" max="5660" width="11.28515625" style="40" customWidth="1"/>
    <col min="5661" max="5888" width="9.140625" style="40"/>
    <col min="5889" max="5889" width="1.28515625" style="40" customWidth="1"/>
    <col min="5890" max="5890" width="24.85546875" style="40" customWidth="1"/>
    <col min="5891" max="5891" width="9.140625" style="40" customWidth="1"/>
    <col min="5892" max="5892" width="11.42578125" style="40" customWidth="1"/>
    <col min="5893" max="5894" width="13.7109375" style="40" customWidth="1"/>
    <col min="5895" max="5896" width="9.140625" style="40" customWidth="1"/>
    <col min="5897" max="5897" width="9.85546875" style="40" bestFit="1" customWidth="1"/>
    <col min="5898" max="5898" width="9.85546875" style="40" customWidth="1"/>
    <col min="5899" max="5900" width="9.140625" style="40" customWidth="1"/>
    <col min="5901" max="5901" width="10.42578125" style="40" customWidth="1"/>
    <col min="5902" max="5902" width="10.28515625" style="40" customWidth="1"/>
    <col min="5903" max="5903" width="10.85546875" style="40" customWidth="1"/>
    <col min="5904" max="5904" width="10.140625" style="40" customWidth="1"/>
    <col min="5905" max="5905" width="11.5703125" style="40" customWidth="1"/>
    <col min="5906" max="5906" width="11.42578125" style="40" customWidth="1"/>
    <col min="5907" max="5908" width="9.140625" style="40" customWidth="1"/>
    <col min="5909" max="5909" width="13.140625" style="40" customWidth="1"/>
    <col min="5910" max="5910" width="11.5703125" style="40" customWidth="1"/>
    <col min="5911" max="5911" width="10.85546875" style="40" customWidth="1"/>
    <col min="5912" max="5912" width="12.85546875" style="40" customWidth="1"/>
    <col min="5913" max="5913" width="10.28515625" style="40" bestFit="1" customWidth="1"/>
    <col min="5914" max="5914" width="9.140625" style="40"/>
    <col min="5915" max="5915" width="11.7109375" style="40" customWidth="1"/>
    <col min="5916" max="5916" width="11.28515625" style="40" customWidth="1"/>
    <col min="5917" max="6144" width="9.140625" style="40"/>
    <col min="6145" max="6145" width="1.28515625" style="40" customWidth="1"/>
    <col min="6146" max="6146" width="24.85546875" style="40" customWidth="1"/>
    <col min="6147" max="6147" width="9.140625" style="40" customWidth="1"/>
    <col min="6148" max="6148" width="11.42578125" style="40" customWidth="1"/>
    <col min="6149" max="6150" width="13.7109375" style="40" customWidth="1"/>
    <col min="6151" max="6152" width="9.140625" style="40" customWidth="1"/>
    <col min="6153" max="6153" width="9.85546875" style="40" bestFit="1" customWidth="1"/>
    <col min="6154" max="6154" width="9.85546875" style="40" customWidth="1"/>
    <col min="6155" max="6156" width="9.140625" style="40" customWidth="1"/>
    <col min="6157" max="6157" width="10.42578125" style="40" customWidth="1"/>
    <col min="6158" max="6158" width="10.28515625" style="40" customWidth="1"/>
    <col min="6159" max="6159" width="10.85546875" style="40" customWidth="1"/>
    <col min="6160" max="6160" width="10.140625" style="40" customWidth="1"/>
    <col min="6161" max="6161" width="11.5703125" style="40" customWidth="1"/>
    <col min="6162" max="6162" width="11.42578125" style="40" customWidth="1"/>
    <col min="6163" max="6164" width="9.140625" style="40" customWidth="1"/>
    <col min="6165" max="6165" width="13.140625" style="40" customWidth="1"/>
    <col min="6166" max="6166" width="11.5703125" style="40" customWidth="1"/>
    <col min="6167" max="6167" width="10.85546875" style="40" customWidth="1"/>
    <col min="6168" max="6168" width="12.85546875" style="40" customWidth="1"/>
    <col min="6169" max="6169" width="10.28515625" style="40" bestFit="1" customWidth="1"/>
    <col min="6170" max="6170" width="9.140625" style="40"/>
    <col min="6171" max="6171" width="11.7109375" style="40" customWidth="1"/>
    <col min="6172" max="6172" width="11.28515625" style="40" customWidth="1"/>
    <col min="6173" max="6400" width="9.140625" style="40"/>
    <col min="6401" max="6401" width="1.28515625" style="40" customWidth="1"/>
    <col min="6402" max="6402" width="24.85546875" style="40" customWidth="1"/>
    <col min="6403" max="6403" width="9.140625" style="40" customWidth="1"/>
    <col min="6404" max="6404" width="11.42578125" style="40" customWidth="1"/>
    <col min="6405" max="6406" width="13.7109375" style="40" customWidth="1"/>
    <col min="6407" max="6408" width="9.140625" style="40" customWidth="1"/>
    <col min="6409" max="6409" width="9.85546875" style="40" bestFit="1" customWidth="1"/>
    <col min="6410" max="6410" width="9.85546875" style="40" customWidth="1"/>
    <col min="6411" max="6412" width="9.140625" style="40" customWidth="1"/>
    <col min="6413" max="6413" width="10.42578125" style="40" customWidth="1"/>
    <col min="6414" max="6414" width="10.28515625" style="40" customWidth="1"/>
    <col min="6415" max="6415" width="10.85546875" style="40" customWidth="1"/>
    <col min="6416" max="6416" width="10.140625" style="40" customWidth="1"/>
    <col min="6417" max="6417" width="11.5703125" style="40" customWidth="1"/>
    <col min="6418" max="6418" width="11.42578125" style="40" customWidth="1"/>
    <col min="6419" max="6420" width="9.140625" style="40" customWidth="1"/>
    <col min="6421" max="6421" width="13.140625" style="40" customWidth="1"/>
    <col min="6422" max="6422" width="11.5703125" style="40" customWidth="1"/>
    <col min="6423" max="6423" width="10.85546875" style="40" customWidth="1"/>
    <col min="6424" max="6424" width="12.85546875" style="40" customWidth="1"/>
    <col min="6425" max="6425" width="10.28515625" style="40" bestFit="1" customWidth="1"/>
    <col min="6426" max="6426" width="9.140625" style="40"/>
    <col min="6427" max="6427" width="11.7109375" style="40" customWidth="1"/>
    <col min="6428" max="6428" width="11.28515625" style="40" customWidth="1"/>
    <col min="6429" max="6656" width="9.140625" style="40"/>
    <col min="6657" max="6657" width="1.28515625" style="40" customWidth="1"/>
    <col min="6658" max="6658" width="24.85546875" style="40" customWidth="1"/>
    <col min="6659" max="6659" width="9.140625" style="40" customWidth="1"/>
    <col min="6660" max="6660" width="11.42578125" style="40" customWidth="1"/>
    <col min="6661" max="6662" width="13.7109375" style="40" customWidth="1"/>
    <col min="6663" max="6664" width="9.140625" style="40" customWidth="1"/>
    <col min="6665" max="6665" width="9.85546875" style="40" bestFit="1" customWidth="1"/>
    <col min="6666" max="6666" width="9.85546875" style="40" customWidth="1"/>
    <col min="6667" max="6668" width="9.140625" style="40" customWidth="1"/>
    <col min="6669" max="6669" width="10.42578125" style="40" customWidth="1"/>
    <col min="6670" max="6670" width="10.28515625" style="40" customWidth="1"/>
    <col min="6671" max="6671" width="10.85546875" style="40" customWidth="1"/>
    <col min="6672" max="6672" width="10.140625" style="40" customWidth="1"/>
    <col min="6673" max="6673" width="11.5703125" style="40" customWidth="1"/>
    <col min="6674" max="6674" width="11.42578125" style="40" customWidth="1"/>
    <col min="6675" max="6676" width="9.140625" style="40" customWidth="1"/>
    <col min="6677" max="6677" width="13.140625" style="40" customWidth="1"/>
    <col min="6678" max="6678" width="11.5703125" style="40" customWidth="1"/>
    <col min="6679" max="6679" width="10.85546875" style="40" customWidth="1"/>
    <col min="6680" max="6680" width="12.85546875" style="40" customWidth="1"/>
    <col min="6681" max="6681" width="10.28515625" style="40" bestFit="1" customWidth="1"/>
    <col min="6682" max="6682" width="9.140625" style="40"/>
    <col min="6683" max="6683" width="11.7109375" style="40" customWidth="1"/>
    <col min="6684" max="6684" width="11.28515625" style="40" customWidth="1"/>
    <col min="6685" max="6912" width="9.140625" style="40"/>
    <col min="6913" max="6913" width="1.28515625" style="40" customWidth="1"/>
    <col min="6914" max="6914" width="24.85546875" style="40" customWidth="1"/>
    <col min="6915" max="6915" width="9.140625" style="40" customWidth="1"/>
    <col min="6916" max="6916" width="11.42578125" style="40" customWidth="1"/>
    <col min="6917" max="6918" width="13.7109375" style="40" customWidth="1"/>
    <col min="6919" max="6920" width="9.140625" style="40" customWidth="1"/>
    <col min="6921" max="6921" width="9.85546875" style="40" bestFit="1" customWidth="1"/>
    <col min="6922" max="6922" width="9.85546875" style="40" customWidth="1"/>
    <col min="6923" max="6924" width="9.140625" style="40" customWidth="1"/>
    <col min="6925" max="6925" width="10.42578125" style="40" customWidth="1"/>
    <col min="6926" max="6926" width="10.28515625" style="40" customWidth="1"/>
    <col min="6927" max="6927" width="10.85546875" style="40" customWidth="1"/>
    <col min="6928" max="6928" width="10.140625" style="40" customWidth="1"/>
    <col min="6929" max="6929" width="11.5703125" style="40" customWidth="1"/>
    <col min="6930" max="6930" width="11.42578125" style="40" customWidth="1"/>
    <col min="6931" max="6932" width="9.140625" style="40" customWidth="1"/>
    <col min="6933" max="6933" width="13.140625" style="40" customWidth="1"/>
    <col min="6934" max="6934" width="11.5703125" style="40" customWidth="1"/>
    <col min="6935" max="6935" width="10.85546875" style="40" customWidth="1"/>
    <col min="6936" max="6936" width="12.85546875" style="40" customWidth="1"/>
    <col min="6937" max="6937" width="10.28515625" style="40" bestFit="1" customWidth="1"/>
    <col min="6938" max="6938" width="9.140625" style="40"/>
    <col min="6939" max="6939" width="11.7109375" style="40" customWidth="1"/>
    <col min="6940" max="6940" width="11.28515625" style="40" customWidth="1"/>
    <col min="6941" max="7168" width="9.140625" style="40"/>
    <col min="7169" max="7169" width="1.28515625" style="40" customWidth="1"/>
    <col min="7170" max="7170" width="24.85546875" style="40" customWidth="1"/>
    <col min="7171" max="7171" width="9.140625" style="40" customWidth="1"/>
    <col min="7172" max="7172" width="11.42578125" style="40" customWidth="1"/>
    <col min="7173" max="7174" width="13.7109375" style="40" customWidth="1"/>
    <col min="7175" max="7176" width="9.140625" style="40" customWidth="1"/>
    <col min="7177" max="7177" width="9.85546875" style="40" bestFit="1" customWidth="1"/>
    <col min="7178" max="7178" width="9.85546875" style="40" customWidth="1"/>
    <col min="7179" max="7180" width="9.140625" style="40" customWidth="1"/>
    <col min="7181" max="7181" width="10.42578125" style="40" customWidth="1"/>
    <col min="7182" max="7182" width="10.28515625" style="40" customWidth="1"/>
    <col min="7183" max="7183" width="10.85546875" style="40" customWidth="1"/>
    <col min="7184" max="7184" width="10.140625" style="40" customWidth="1"/>
    <col min="7185" max="7185" width="11.5703125" style="40" customWidth="1"/>
    <col min="7186" max="7186" width="11.42578125" style="40" customWidth="1"/>
    <col min="7187" max="7188" width="9.140625" style="40" customWidth="1"/>
    <col min="7189" max="7189" width="13.140625" style="40" customWidth="1"/>
    <col min="7190" max="7190" width="11.5703125" style="40" customWidth="1"/>
    <col min="7191" max="7191" width="10.85546875" style="40" customWidth="1"/>
    <col min="7192" max="7192" width="12.85546875" style="40" customWidth="1"/>
    <col min="7193" max="7193" width="10.28515625" style="40" bestFit="1" customWidth="1"/>
    <col min="7194" max="7194" width="9.140625" style="40"/>
    <col min="7195" max="7195" width="11.7109375" style="40" customWidth="1"/>
    <col min="7196" max="7196" width="11.28515625" style="40" customWidth="1"/>
    <col min="7197" max="7424" width="9.140625" style="40"/>
    <col min="7425" max="7425" width="1.28515625" style="40" customWidth="1"/>
    <col min="7426" max="7426" width="24.85546875" style="40" customWidth="1"/>
    <col min="7427" max="7427" width="9.140625" style="40" customWidth="1"/>
    <col min="7428" max="7428" width="11.42578125" style="40" customWidth="1"/>
    <col min="7429" max="7430" width="13.7109375" style="40" customWidth="1"/>
    <col min="7431" max="7432" width="9.140625" style="40" customWidth="1"/>
    <col min="7433" max="7433" width="9.85546875" style="40" bestFit="1" customWidth="1"/>
    <col min="7434" max="7434" width="9.85546875" style="40" customWidth="1"/>
    <col min="7435" max="7436" width="9.140625" style="40" customWidth="1"/>
    <col min="7437" max="7437" width="10.42578125" style="40" customWidth="1"/>
    <col min="7438" max="7438" width="10.28515625" style="40" customWidth="1"/>
    <col min="7439" max="7439" width="10.85546875" style="40" customWidth="1"/>
    <col min="7440" max="7440" width="10.140625" style="40" customWidth="1"/>
    <col min="7441" max="7441" width="11.5703125" style="40" customWidth="1"/>
    <col min="7442" max="7442" width="11.42578125" style="40" customWidth="1"/>
    <col min="7443" max="7444" width="9.140625" style="40" customWidth="1"/>
    <col min="7445" max="7445" width="13.140625" style="40" customWidth="1"/>
    <col min="7446" max="7446" width="11.5703125" style="40" customWidth="1"/>
    <col min="7447" max="7447" width="10.85546875" style="40" customWidth="1"/>
    <col min="7448" max="7448" width="12.85546875" style="40" customWidth="1"/>
    <col min="7449" max="7449" width="10.28515625" style="40" bestFit="1" customWidth="1"/>
    <col min="7450" max="7450" width="9.140625" style="40"/>
    <col min="7451" max="7451" width="11.7109375" style="40" customWidth="1"/>
    <col min="7452" max="7452" width="11.28515625" style="40" customWidth="1"/>
    <col min="7453" max="7680" width="9.140625" style="40"/>
    <col min="7681" max="7681" width="1.28515625" style="40" customWidth="1"/>
    <col min="7682" max="7682" width="24.85546875" style="40" customWidth="1"/>
    <col min="7683" max="7683" width="9.140625" style="40" customWidth="1"/>
    <col min="7684" max="7684" width="11.42578125" style="40" customWidth="1"/>
    <col min="7685" max="7686" width="13.7109375" style="40" customWidth="1"/>
    <col min="7687" max="7688" width="9.140625" style="40" customWidth="1"/>
    <col min="7689" max="7689" width="9.85546875" style="40" bestFit="1" customWidth="1"/>
    <col min="7690" max="7690" width="9.85546875" style="40" customWidth="1"/>
    <col min="7691" max="7692" width="9.140625" style="40" customWidth="1"/>
    <col min="7693" max="7693" width="10.42578125" style="40" customWidth="1"/>
    <col min="7694" max="7694" width="10.28515625" style="40" customWidth="1"/>
    <col min="7695" max="7695" width="10.85546875" style="40" customWidth="1"/>
    <col min="7696" max="7696" width="10.140625" style="40" customWidth="1"/>
    <col min="7697" max="7697" width="11.5703125" style="40" customWidth="1"/>
    <col min="7698" max="7698" width="11.42578125" style="40" customWidth="1"/>
    <col min="7699" max="7700" width="9.140625" style="40" customWidth="1"/>
    <col min="7701" max="7701" width="13.140625" style="40" customWidth="1"/>
    <col min="7702" max="7702" width="11.5703125" style="40" customWidth="1"/>
    <col min="7703" max="7703" width="10.85546875" style="40" customWidth="1"/>
    <col min="7704" max="7704" width="12.85546875" style="40" customWidth="1"/>
    <col min="7705" max="7705" width="10.28515625" style="40" bestFit="1" customWidth="1"/>
    <col min="7706" max="7706" width="9.140625" style="40"/>
    <col min="7707" max="7707" width="11.7109375" style="40" customWidth="1"/>
    <col min="7708" max="7708" width="11.28515625" style="40" customWidth="1"/>
    <col min="7709" max="7936" width="9.140625" style="40"/>
    <col min="7937" max="7937" width="1.28515625" style="40" customWidth="1"/>
    <col min="7938" max="7938" width="24.85546875" style="40" customWidth="1"/>
    <col min="7939" max="7939" width="9.140625" style="40" customWidth="1"/>
    <col min="7940" max="7940" width="11.42578125" style="40" customWidth="1"/>
    <col min="7941" max="7942" width="13.7109375" style="40" customWidth="1"/>
    <col min="7943" max="7944" width="9.140625" style="40" customWidth="1"/>
    <col min="7945" max="7945" width="9.85546875" style="40" bestFit="1" customWidth="1"/>
    <col min="7946" max="7946" width="9.85546875" style="40" customWidth="1"/>
    <col min="7947" max="7948" width="9.140625" style="40" customWidth="1"/>
    <col min="7949" max="7949" width="10.42578125" style="40" customWidth="1"/>
    <col min="7950" max="7950" width="10.28515625" style="40" customWidth="1"/>
    <col min="7951" max="7951" width="10.85546875" style="40" customWidth="1"/>
    <col min="7952" max="7952" width="10.140625" style="40" customWidth="1"/>
    <col min="7953" max="7953" width="11.5703125" style="40" customWidth="1"/>
    <col min="7954" max="7954" width="11.42578125" style="40" customWidth="1"/>
    <col min="7955" max="7956" width="9.140625" style="40" customWidth="1"/>
    <col min="7957" max="7957" width="13.140625" style="40" customWidth="1"/>
    <col min="7958" max="7958" width="11.5703125" style="40" customWidth="1"/>
    <col min="7959" max="7959" width="10.85546875" style="40" customWidth="1"/>
    <col min="7960" max="7960" width="12.85546875" style="40" customWidth="1"/>
    <col min="7961" max="7961" width="10.28515625" style="40" bestFit="1" customWidth="1"/>
    <col min="7962" max="7962" width="9.140625" style="40"/>
    <col min="7963" max="7963" width="11.7109375" style="40" customWidth="1"/>
    <col min="7964" max="7964" width="11.28515625" style="40" customWidth="1"/>
    <col min="7965" max="8192" width="9.140625" style="40"/>
    <col min="8193" max="8193" width="1.28515625" style="40" customWidth="1"/>
    <col min="8194" max="8194" width="24.85546875" style="40" customWidth="1"/>
    <col min="8195" max="8195" width="9.140625" style="40" customWidth="1"/>
    <col min="8196" max="8196" width="11.42578125" style="40" customWidth="1"/>
    <col min="8197" max="8198" width="13.7109375" style="40" customWidth="1"/>
    <col min="8199" max="8200" width="9.140625" style="40" customWidth="1"/>
    <col min="8201" max="8201" width="9.85546875" style="40" bestFit="1" customWidth="1"/>
    <col min="8202" max="8202" width="9.85546875" style="40" customWidth="1"/>
    <col min="8203" max="8204" width="9.140625" style="40" customWidth="1"/>
    <col min="8205" max="8205" width="10.42578125" style="40" customWidth="1"/>
    <col min="8206" max="8206" width="10.28515625" style="40" customWidth="1"/>
    <col min="8207" max="8207" width="10.85546875" style="40" customWidth="1"/>
    <col min="8208" max="8208" width="10.140625" style="40" customWidth="1"/>
    <col min="8209" max="8209" width="11.5703125" style="40" customWidth="1"/>
    <col min="8210" max="8210" width="11.42578125" style="40" customWidth="1"/>
    <col min="8211" max="8212" width="9.140625" style="40" customWidth="1"/>
    <col min="8213" max="8213" width="13.140625" style="40" customWidth="1"/>
    <col min="8214" max="8214" width="11.5703125" style="40" customWidth="1"/>
    <col min="8215" max="8215" width="10.85546875" style="40" customWidth="1"/>
    <col min="8216" max="8216" width="12.85546875" style="40" customWidth="1"/>
    <col min="8217" max="8217" width="10.28515625" style="40" bestFit="1" customWidth="1"/>
    <col min="8218" max="8218" width="9.140625" style="40"/>
    <col min="8219" max="8219" width="11.7109375" style="40" customWidth="1"/>
    <col min="8220" max="8220" width="11.28515625" style="40" customWidth="1"/>
    <col min="8221" max="8448" width="9.140625" style="40"/>
    <col min="8449" max="8449" width="1.28515625" style="40" customWidth="1"/>
    <col min="8450" max="8450" width="24.85546875" style="40" customWidth="1"/>
    <col min="8451" max="8451" width="9.140625" style="40" customWidth="1"/>
    <col min="8452" max="8452" width="11.42578125" style="40" customWidth="1"/>
    <col min="8453" max="8454" width="13.7109375" style="40" customWidth="1"/>
    <col min="8455" max="8456" width="9.140625" style="40" customWidth="1"/>
    <col min="8457" max="8457" width="9.85546875" style="40" bestFit="1" customWidth="1"/>
    <col min="8458" max="8458" width="9.85546875" style="40" customWidth="1"/>
    <col min="8459" max="8460" width="9.140625" style="40" customWidth="1"/>
    <col min="8461" max="8461" width="10.42578125" style="40" customWidth="1"/>
    <col min="8462" max="8462" width="10.28515625" style="40" customWidth="1"/>
    <col min="8463" max="8463" width="10.85546875" style="40" customWidth="1"/>
    <col min="8464" max="8464" width="10.140625" style="40" customWidth="1"/>
    <col min="8465" max="8465" width="11.5703125" style="40" customWidth="1"/>
    <col min="8466" max="8466" width="11.42578125" style="40" customWidth="1"/>
    <col min="8467" max="8468" width="9.140625" style="40" customWidth="1"/>
    <col min="8469" max="8469" width="13.140625" style="40" customWidth="1"/>
    <col min="8470" max="8470" width="11.5703125" style="40" customWidth="1"/>
    <col min="8471" max="8471" width="10.85546875" style="40" customWidth="1"/>
    <col min="8472" max="8472" width="12.85546875" style="40" customWidth="1"/>
    <col min="8473" max="8473" width="10.28515625" style="40" bestFit="1" customWidth="1"/>
    <col min="8474" max="8474" width="9.140625" style="40"/>
    <col min="8475" max="8475" width="11.7109375" style="40" customWidth="1"/>
    <col min="8476" max="8476" width="11.28515625" style="40" customWidth="1"/>
    <col min="8477" max="8704" width="9.140625" style="40"/>
    <col min="8705" max="8705" width="1.28515625" style="40" customWidth="1"/>
    <col min="8706" max="8706" width="24.85546875" style="40" customWidth="1"/>
    <col min="8707" max="8707" width="9.140625" style="40" customWidth="1"/>
    <col min="8708" max="8708" width="11.42578125" style="40" customWidth="1"/>
    <col min="8709" max="8710" width="13.7109375" style="40" customWidth="1"/>
    <col min="8711" max="8712" width="9.140625" style="40" customWidth="1"/>
    <col min="8713" max="8713" width="9.85546875" style="40" bestFit="1" customWidth="1"/>
    <col min="8714" max="8714" width="9.85546875" style="40" customWidth="1"/>
    <col min="8715" max="8716" width="9.140625" style="40" customWidth="1"/>
    <col min="8717" max="8717" width="10.42578125" style="40" customWidth="1"/>
    <col min="8718" max="8718" width="10.28515625" style="40" customWidth="1"/>
    <col min="8719" max="8719" width="10.85546875" style="40" customWidth="1"/>
    <col min="8720" max="8720" width="10.140625" style="40" customWidth="1"/>
    <col min="8721" max="8721" width="11.5703125" style="40" customWidth="1"/>
    <col min="8722" max="8722" width="11.42578125" style="40" customWidth="1"/>
    <col min="8723" max="8724" width="9.140625" style="40" customWidth="1"/>
    <col min="8725" max="8725" width="13.140625" style="40" customWidth="1"/>
    <col min="8726" max="8726" width="11.5703125" style="40" customWidth="1"/>
    <col min="8727" max="8727" width="10.85546875" style="40" customWidth="1"/>
    <col min="8728" max="8728" width="12.85546875" style="40" customWidth="1"/>
    <col min="8729" max="8729" width="10.28515625" style="40" bestFit="1" customWidth="1"/>
    <col min="8730" max="8730" width="9.140625" style="40"/>
    <col min="8731" max="8731" width="11.7109375" style="40" customWidth="1"/>
    <col min="8732" max="8732" width="11.28515625" style="40" customWidth="1"/>
    <col min="8733" max="8960" width="9.140625" style="40"/>
    <col min="8961" max="8961" width="1.28515625" style="40" customWidth="1"/>
    <col min="8962" max="8962" width="24.85546875" style="40" customWidth="1"/>
    <col min="8963" max="8963" width="9.140625" style="40" customWidth="1"/>
    <col min="8964" max="8964" width="11.42578125" style="40" customWidth="1"/>
    <col min="8965" max="8966" width="13.7109375" style="40" customWidth="1"/>
    <col min="8967" max="8968" width="9.140625" style="40" customWidth="1"/>
    <col min="8969" max="8969" width="9.85546875" style="40" bestFit="1" customWidth="1"/>
    <col min="8970" max="8970" width="9.85546875" style="40" customWidth="1"/>
    <col min="8971" max="8972" width="9.140625" style="40" customWidth="1"/>
    <col min="8973" max="8973" width="10.42578125" style="40" customWidth="1"/>
    <col min="8974" max="8974" width="10.28515625" style="40" customWidth="1"/>
    <col min="8975" max="8975" width="10.85546875" style="40" customWidth="1"/>
    <col min="8976" max="8976" width="10.140625" style="40" customWidth="1"/>
    <col min="8977" max="8977" width="11.5703125" style="40" customWidth="1"/>
    <col min="8978" max="8978" width="11.42578125" style="40" customWidth="1"/>
    <col min="8979" max="8980" width="9.140625" style="40" customWidth="1"/>
    <col min="8981" max="8981" width="13.140625" style="40" customWidth="1"/>
    <col min="8982" max="8982" width="11.5703125" style="40" customWidth="1"/>
    <col min="8983" max="8983" width="10.85546875" style="40" customWidth="1"/>
    <col min="8984" max="8984" width="12.85546875" style="40" customWidth="1"/>
    <col min="8985" max="8985" width="10.28515625" style="40" bestFit="1" customWidth="1"/>
    <col min="8986" max="8986" width="9.140625" style="40"/>
    <col min="8987" max="8987" width="11.7109375" style="40" customWidth="1"/>
    <col min="8988" max="8988" width="11.28515625" style="40" customWidth="1"/>
    <col min="8989" max="9216" width="9.140625" style="40"/>
    <col min="9217" max="9217" width="1.28515625" style="40" customWidth="1"/>
    <col min="9218" max="9218" width="24.85546875" style="40" customWidth="1"/>
    <col min="9219" max="9219" width="9.140625" style="40" customWidth="1"/>
    <col min="9220" max="9220" width="11.42578125" style="40" customWidth="1"/>
    <col min="9221" max="9222" width="13.7109375" style="40" customWidth="1"/>
    <col min="9223" max="9224" width="9.140625" style="40" customWidth="1"/>
    <col min="9225" max="9225" width="9.85546875" style="40" bestFit="1" customWidth="1"/>
    <col min="9226" max="9226" width="9.85546875" style="40" customWidth="1"/>
    <col min="9227" max="9228" width="9.140625" style="40" customWidth="1"/>
    <col min="9229" max="9229" width="10.42578125" style="40" customWidth="1"/>
    <col min="9230" max="9230" width="10.28515625" style="40" customWidth="1"/>
    <col min="9231" max="9231" width="10.85546875" style="40" customWidth="1"/>
    <col min="9232" max="9232" width="10.140625" style="40" customWidth="1"/>
    <col min="9233" max="9233" width="11.5703125" style="40" customWidth="1"/>
    <col min="9234" max="9234" width="11.42578125" style="40" customWidth="1"/>
    <col min="9235" max="9236" width="9.140625" style="40" customWidth="1"/>
    <col min="9237" max="9237" width="13.140625" style="40" customWidth="1"/>
    <col min="9238" max="9238" width="11.5703125" style="40" customWidth="1"/>
    <col min="9239" max="9239" width="10.85546875" style="40" customWidth="1"/>
    <col min="9240" max="9240" width="12.85546875" style="40" customWidth="1"/>
    <col min="9241" max="9241" width="10.28515625" style="40" bestFit="1" customWidth="1"/>
    <col min="9242" max="9242" width="9.140625" style="40"/>
    <col min="9243" max="9243" width="11.7109375" style="40" customWidth="1"/>
    <col min="9244" max="9244" width="11.28515625" style="40" customWidth="1"/>
    <col min="9245" max="9472" width="9.140625" style="40"/>
    <col min="9473" max="9473" width="1.28515625" style="40" customWidth="1"/>
    <col min="9474" max="9474" width="24.85546875" style="40" customWidth="1"/>
    <col min="9475" max="9475" width="9.140625" style="40" customWidth="1"/>
    <col min="9476" max="9476" width="11.42578125" style="40" customWidth="1"/>
    <col min="9477" max="9478" width="13.7109375" style="40" customWidth="1"/>
    <col min="9479" max="9480" width="9.140625" style="40" customWidth="1"/>
    <col min="9481" max="9481" width="9.85546875" style="40" bestFit="1" customWidth="1"/>
    <col min="9482" max="9482" width="9.85546875" style="40" customWidth="1"/>
    <col min="9483" max="9484" width="9.140625" style="40" customWidth="1"/>
    <col min="9485" max="9485" width="10.42578125" style="40" customWidth="1"/>
    <col min="9486" max="9486" width="10.28515625" style="40" customWidth="1"/>
    <col min="9487" max="9487" width="10.85546875" style="40" customWidth="1"/>
    <col min="9488" max="9488" width="10.140625" style="40" customWidth="1"/>
    <col min="9489" max="9489" width="11.5703125" style="40" customWidth="1"/>
    <col min="9490" max="9490" width="11.42578125" style="40" customWidth="1"/>
    <col min="9491" max="9492" width="9.140625" style="40" customWidth="1"/>
    <col min="9493" max="9493" width="13.140625" style="40" customWidth="1"/>
    <col min="9494" max="9494" width="11.5703125" style="40" customWidth="1"/>
    <col min="9495" max="9495" width="10.85546875" style="40" customWidth="1"/>
    <col min="9496" max="9496" width="12.85546875" style="40" customWidth="1"/>
    <col min="9497" max="9497" width="10.28515625" style="40" bestFit="1" customWidth="1"/>
    <col min="9498" max="9498" width="9.140625" style="40"/>
    <col min="9499" max="9499" width="11.7109375" style="40" customWidth="1"/>
    <col min="9500" max="9500" width="11.28515625" style="40" customWidth="1"/>
    <col min="9501" max="9728" width="9.140625" style="40"/>
    <col min="9729" max="9729" width="1.28515625" style="40" customWidth="1"/>
    <col min="9730" max="9730" width="24.85546875" style="40" customWidth="1"/>
    <col min="9731" max="9731" width="9.140625" style="40" customWidth="1"/>
    <col min="9732" max="9732" width="11.42578125" style="40" customWidth="1"/>
    <col min="9733" max="9734" width="13.7109375" style="40" customWidth="1"/>
    <col min="9735" max="9736" width="9.140625" style="40" customWidth="1"/>
    <col min="9737" max="9737" width="9.85546875" style="40" bestFit="1" customWidth="1"/>
    <col min="9738" max="9738" width="9.85546875" style="40" customWidth="1"/>
    <col min="9739" max="9740" width="9.140625" style="40" customWidth="1"/>
    <col min="9741" max="9741" width="10.42578125" style="40" customWidth="1"/>
    <col min="9742" max="9742" width="10.28515625" style="40" customWidth="1"/>
    <col min="9743" max="9743" width="10.85546875" style="40" customWidth="1"/>
    <col min="9744" max="9744" width="10.140625" style="40" customWidth="1"/>
    <col min="9745" max="9745" width="11.5703125" style="40" customWidth="1"/>
    <col min="9746" max="9746" width="11.42578125" style="40" customWidth="1"/>
    <col min="9747" max="9748" width="9.140625" style="40" customWidth="1"/>
    <col min="9749" max="9749" width="13.140625" style="40" customWidth="1"/>
    <col min="9750" max="9750" width="11.5703125" style="40" customWidth="1"/>
    <col min="9751" max="9751" width="10.85546875" style="40" customWidth="1"/>
    <col min="9752" max="9752" width="12.85546875" style="40" customWidth="1"/>
    <col min="9753" max="9753" width="10.28515625" style="40" bestFit="1" customWidth="1"/>
    <col min="9754" max="9754" width="9.140625" style="40"/>
    <col min="9755" max="9755" width="11.7109375" style="40" customWidth="1"/>
    <col min="9756" max="9756" width="11.28515625" style="40" customWidth="1"/>
    <col min="9757" max="9984" width="9.140625" style="40"/>
    <col min="9985" max="9985" width="1.28515625" style="40" customWidth="1"/>
    <col min="9986" max="9986" width="24.85546875" style="40" customWidth="1"/>
    <col min="9987" max="9987" width="9.140625" style="40" customWidth="1"/>
    <col min="9988" max="9988" width="11.42578125" style="40" customWidth="1"/>
    <col min="9989" max="9990" width="13.7109375" style="40" customWidth="1"/>
    <col min="9991" max="9992" width="9.140625" style="40" customWidth="1"/>
    <col min="9993" max="9993" width="9.85546875" style="40" bestFit="1" customWidth="1"/>
    <col min="9994" max="9994" width="9.85546875" style="40" customWidth="1"/>
    <col min="9995" max="9996" width="9.140625" style="40" customWidth="1"/>
    <col min="9997" max="9997" width="10.42578125" style="40" customWidth="1"/>
    <col min="9998" max="9998" width="10.28515625" style="40" customWidth="1"/>
    <col min="9999" max="9999" width="10.85546875" style="40" customWidth="1"/>
    <col min="10000" max="10000" width="10.140625" style="40" customWidth="1"/>
    <col min="10001" max="10001" width="11.5703125" style="40" customWidth="1"/>
    <col min="10002" max="10002" width="11.42578125" style="40" customWidth="1"/>
    <col min="10003" max="10004" width="9.140625" style="40" customWidth="1"/>
    <col min="10005" max="10005" width="13.140625" style="40" customWidth="1"/>
    <col min="10006" max="10006" width="11.5703125" style="40" customWidth="1"/>
    <col min="10007" max="10007" width="10.85546875" style="40" customWidth="1"/>
    <col min="10008" max="10008" width="12.85546875" style="40" customWidth="1"/>
    <col min="10009" max="10009" width="10.28515625" style="40" bestFit="1" customWidth="1"/>
    <col min="10010" max="10010" width="9.140625" style="40"/>
    <col min="10011" max="10011" width="11.7109375" style="40" customWidth="1"/>
    <col min="10012" max="10012" width="11.28515625" style="40" customWidth="1"/>
    <col min="10013" max="10240" width="9.140625" style="40"/>
    <col min="10241" max="10241" width="1.28515625" style="40" customWidth="1"/>
    <col min="10242" max="10242" width="24.85546875" style="40" customWidth="1"/>
    <col min="10243" max="10243" width="9.140625" style="40" customWidth="1"/>
    <col min="10244" max="10244" width="11.42578125" style="40" customWidth="1"/>
    <col min="10245" max="10246" width="13.7109375" style="40" customWidth="1"/>
    <col min="10247" max="10248" width="9.140625" style="40" customWidth="1"/>
    <col min="10249" max="10249" width="9.85546875" style="40" bestFit="1" customWidth="1"/>
    <col min="10250" max="10250" width="9.85546875" style="40" customWidth="1"/>
    <col min="10251" max="10252" width="9.140625" style="40" customWidth="1"/>
    <col min="10253" max="10253" width="10.42578125" style="40" customWidth="1"/>
    <col min="10254" max="10254" width="10.28515625" style="40" customWidth="1"/>
    <col min="10255" max="10255" width="10.85546875" style="40" customWidth="1"/>
    <col min="10256" max="10256" width="10.140625" style="40" customWidth="1"/>
    <col min="10257" max="10257" width="11.5703125" style="40" customWidth="1"/>
    <col min="10258" max="10258" width="11.42578125" style="40" customWidth="1"/>
    <col min="10259" max="10260" width="9.140625" style="40" customWidth="1"/>
    <col min="10261" max="10261" width="13.140625" style="40" customWidth="1"/>
    <col min="10262" max="10262" width="11.5703125" style="40" customWidth="1"/>
    <col min="10263" max="10263" width="10.85546875" style="40" customWidth="1"/>
    <col min="10264" max="10264" width="12.85546875" style="40" customWidth="1"/>
    <col min="10265" max="10265" width="10.28515625" style="40" bestFit="1" customWidth="1"/>
    <col min="10266" max="10266" width="9.140625" style="40"/>
    <col min="10267" max="10267" width="11.7109375" style="40" customWidth="1"/>
    <col min="10268" max="10268" width="11.28515625" style="40" customWidth="1"/>
    <col min="10269" max="10496" width="9.140625" style="40"/>
    <col min="10497" max="10497" width="1.28515625" style="40" customWidth="1"/>
    <col min="10498" max="10498" width="24.85546875" style="40" customWidth="1"/>
    <col min="10499" max="10499" width="9.140625" style="40" customWidth="1"/>
    <col min="10500" max="10500" width="11.42578125" style="40" customWidth="1"/>
    <col min="10501" max="10502" width="13.7109375" style="40" customWidth="1"/>
    <col min="10503" max="10504" width="9.140625" style="40" customWidth="1"/>
    <col min="10505" max="10505" width="9.85546875" style="40" bestFit="1" customWidth="1"/>
    <col min="10506" max="10506" width="9.85546875" style="40" customWidth="1"/>
    <col min="10507" max="10508" width="9.140625" style="40" customWidth="1"/>
    <col min="10509" max="10509" width="10.42578125" style="40" customWidth="1"/>
    <col min="10510" max="10510" width="10.28515625" style="40" customWidth="1"/>
    <col min="10511" max="10511" width="10.85546875" style="40" customWidth="1"/>
    <col min="10512" max="10512" width="10.140625" style="40" customWidth="1"/>
    <col min="10513" max="10513" width="11.5703125" style="40" customWidth="1"/>
    <col min="10514" max="10514" width="11.42578125" style="40" customWidth="1"/>
    <col min="10515" max="10516" width="9.140625" style="40" customWidth="1"/>
    <col min="10517" max="10517" width="13.140625" style="40" customWidth="1"/>
    <col min="10518" max="10518" width="11.5703125" style="40" customWidth="1"/>
    <col min="10519" max="10519" width="10.85546875" style="40" customWidth="1"/>
    <col min="10520" max="10520" width="12.85546875" style="40" customWidth="1"/>
    <col min="10521" max="10521" width="10.28515625" style="40" bestFit="1" customWidth="1"/>
    <col min="10522" max="10522" width="9.140625" style="40"/>
    <col min="10523" max="10523" width="11.7109375" style="40" customWidth="1"/>
    <col min="10524" max="10524" width="11.28515625" style="40" customWidth="1"/>
    <col min="10525" max="10752" width="9.140625" style="40"/>
    <col min="10753" max="10753" width="1.28515625" style="40" customWidth="1"/>
    <col min="10754" max="10754" width="24.85546875" style="40" customWidth="1"/>
    <col min="10755" max="10755" width="9.140625" style="40" customWidth="1"/>
    <col min="10756" max="10756" width="11.42578125" style="40" customWidth="1"/>
    <col min="10757" max="10758" width="13.7109375" style="40" customWidth="1"/>
    <col min="10759" max="10760" width="9.140625" style="40" customWidth="1"/>
    <col min="10761" max="10761" width="9.85546875" style="40" bestFit="1" customWidth="1"/>
    <col min="10762" max="10762" width="9.85546875" style="40" customWidth="1"/>
    <col min="10763" max="10764" width="9.140625" style="40" customWidth="1"/>
    <col min="10765" max="10765" width="10.42578125" style="40" customWidth="1"/>
    <col min="10766" max="10766" width="10.28515625" style="40" customWidth="1"/>
    <col min="10767" max="10767" width="10.85546875" style="40" customWidth="1"/>
    <col min="10768" max="10768" width="10.140625" style="40" customWidth="1"/>
    <col min="10769" max="10769" width="11.5703125" style="40" customWidth="1"/>
    <col min="10770" max="10770" width="11.42578125" style="40" customWidth="1"/>
    <col min="10771" max="10772" width="9.140625" style="40" customWidth="1"/>
    <col min="10773" max="10773" width="13.140625" style="40" customWidth="1"/>
    <col min="10774" max="10774" width="11.5703125" style="40" customWidth="1"/>
    <col min="10775" max="10775" width="10.85546875" style="40" customWidth="1"/>
    <col min="10776" max="10776" width="12.85546875" style="40" customWidth="1"/>
    <col min="10777" max="10777" width="10.28515625" style="40" bestFit="1" customWidth="1"/>
    <col min="10778" max="10778" width="9.140625" style="40"/>
    <col min="10779" max="10779" width="11.7109375" style="40" customWidth="1"/>
    <col min="10780" max="10780" width="11.28515625" style="40" customWidth="1"/>
    <col min="10781" max="11008" width="9.140625" style="40"/>
    <col min="11009" max="11009" width="1.28515625" style="40" customWidth="1"/>
    <col min="11010" max="11010" width="24.85546875" style="40" customWidth="1"/>
    <col min="11011" max="11011" width="9.140625" style="40" customWidth="1"/>
    <col min="11012" max="11012" width="11.42578125" style="40" customWidth="1"/>
    <col min="11013" max="11014" width="13.7109375" style="40" customWidth="1"/>
    <col min="11015" max="11016" width="9.140625" style="40" customWidth="1"/>
    <col min="11017" max="11017" width="9.85546875" style="40" bestFit="1" customWidth="1"/>
    <col min="11018" max="11018" width="9.85546875" style="40" customWidth="1"/>
    <col min="11019" max="11020" width="9.140625" style="40" customWidth="1"/>
    <col min="11021" max="11021" width="10.42578125" style="40" customWidth="1"/>
    <col min="11022" max="11022" width="10.28515625" style="40" customWidth="1"/>
    <col min="11023" max="11023" width="10.85546875" style="40" customWidth="1"/>
    <col min="11024" max="11024" width="10.140625" style="40" customWidth="1"/>
    <col min="11025" max="11025" width="11.5703125" style="40" customWidth="1"/>
    <col min="11026" max="11026" width="11.42578125" style="40" customWidth="1"/>
    <col min="11027" max="11028" width="9.140625" style="40" customWidth="1"/>
    <col min="11029" max="11029" width="13.140625" style="40" customWidth="1"/>
    <col min="11030" max="11030" width="11.5703125" style="40" customWidth="1"/>
    <col min="11031" max="11031" width="10.85546875" style="40" customWidth="1"/>
    <col min="11032" max="11032" width="12.85546875" style="40" customWidth="1"/>
    <col min="11033" max="11033" width="10.28515625" style="40" bestFit="1" customWidth="1"/>
    <col min="11034" max="11034" width="9.140625" style="40"/>
    <col min="11035" max="11035" width="11.7109375" style="40" customWidth="1"/>
    <col min="11036" max="11036" width="11.28515625" style="40" customWidth="1"/>
    <col min="11037" max="11264" width="9.140625" style="40"/>
    <col min="11265" max="11265" width="1.28515625" style="40" customWidth="1"/>
    <col min="11266" max="11266" width="24.85546875" style="40" customWidth="1"/>
    <col min="11267" max="11267" width="9.140625" style="40" customWidth="1"/>
    <col min="11268" max="11268" width="11.42578125" style="40" customWidth="1"/>
    <col min="11269" max="11270" width="13.7109375" style="40" customWidth="1"/>
    <col min="11271" max="11272" width="9.140625" style="40" customWidth="1"/>
    <col min="11273" max="11273" width="9.85546875" style="40" bestFit="1" customWidth="1"/>
    <col min="11274" max="11274" width="9.85546875" style="40" customWidth="1"/>
    <col min="11275" max="11276" width="9.140625" style="40" customWidth="1"/>
    <col min="11277" max="11277" width="10.42578125" style="40" customWidth="1"/>
    <col min="11278" max="11278" width="10.28515625" style="40" customWidth="1"/>
    <col min="11279" max="11279" width="10.85546875" style="40" customWidth="1"/>
    <col min="11280" max="11280" width="10.140625" style="40" customWidth="1"/>
    <col min="11281" max="11281" width="11.5703125" style="40" customWidth="1"/>
    <col min="11282" max="11282" width="11.42578125" style="40" customWidth="1"/>
    <col min="11283" max="11284" width="9.140625" style="40" customWidth="1"/>
    <col min="11285" max="11285" width="13.140625" style="40" customWidth="1"/>
    <col min="11286" max="11286" width="11.5703125" style="40" customWidth="1"/>
    <col min="11287" max="11287" width="10.85546875" style="40" customWidth="1"/>
    <col min="11288" max="11288" width="12.85546875" style="40" customWidth="1"/>
    <col min="11289" max="11289" width="10.28515625" style="40" bestFit="1" customWidth="1"/>
    <col min="11290" max="11290" width="9.140625" style="40"/>
    <col min="11291" max="11291" width="11.7109375" style="40" customWidth="1"/>
    <col min="11292" max="11292" width="11.28515625" style="40" customWidth="1"/>
    <col min="11293" max="11520" width="9.140625" style="40"/>
    <col min="11521" max="11521" width="1.28515625" style="40" customWidth="1"/>
    <col min="11522" max="11522" width="24.85546875" style="40" customWidth="1"/>
    <col min="11523" max="11523" width="9.140625" style="40" customWidth="1"/>
    <col min="11524" max="11524" width="11.42578125" style="40" customWidth="1"/>
    <col min="11525" max="11526" width="13.7109375" style="40" customWidth="1"/>
    <col min="11527" max="11528" width="9.140625" style="40" customWidth="1"/>
    <col min="11529" max="11529" width="9.85546875" style="40" bestFit="1" customWidth="1"/>
    <col min="11530" max="11530" width="9.85546875" style="40" customWidth="1"/>
    <col min="11531" max="11532" width="9.140625" style="40" customWidth="1"/>
    <col min="11533" max="11533" width="10.42578125" style="40" customWidth="1"/>
    <col min="11534" max="11534" width="10.28515625" style="40" customWidth="1"/>
    <col min="11535" max="11535" width="10.85546875" style="40" customWidth="1"/>
    <col min="11536" max="11536" width="10.140625" style="40" customWidth="1"/>
    <col min="11537" max="11537" width="11.5703125" style="40" customWidth="1"/>
    <col min="11538" max="11538" width="11.42578125" style="40" customWidth="1"/>
    <col min="11539" max="11540" width="9.140625" style="40" customWidth="1"/>
    <col min="11541" max="11541" width="13.140625" style="40" customWidth="1"/>
    <col min="11542" max="11542" width="11.5703125" style="40" customWidth="1"/>
    <col min="11543" max="11543" width="10.85546875" style="40" customWidth="1"/>
    <col min="11544" max="11544" width="12.85546875" style="40" customWidth="1"/>
    <col min="11545" max="11545" width="10.28515625" style="40" bestFit="1" customWidth="1"/>
    <col min="11546" max="11546" width="9.140625" style="40"/>
    <col min="11547" max="11547" width="11.7109375" style="40" customWidth="1"/>
    <col min="11548" max="11548" width="11.28515625" style="40" customWidth="1"/>
    <col min="11549" max="11776" width="9.140625" style="40"/>
    <col min="11777" max="11777" width="1.28515625" style="40" customWidth="1"/>
    <col min="11778" max="11778" width="24.85546875" style="40" customWidth="1"/>
    <col min="11779" max="11779" width="9.140625" style="40" customWidth="1"/>
    <col min="11780" max="11780" width="11.42578125" style="40" customWidth="1"/>
    <col min="11781" max="11782" width="13.7109375" style="40" customWidth="1"/>
    <col min="11783" max="11784" width="9.140625" style="40" customWidth="1"/>
    <col min="11785" max="11785" width="9.85546875" style="40" bestFit="1" customWidth="1"/>
    <col min="11786" max="11786" width="9.85546875" style="40" customWidth="1"/>
    <col min="11787" max="11788" width="9.140625" style="40" customWidth="1"/>
    <col min="11789" max="11789" width="10.42578125" style="40" customWidth="1"/>
    <col min="11790" max="11790" width="10.28515625" style="40" customWidth="1"/>
    <col min="11791" max="11791" width="10.85546875" style="40" customWidth="1"/>
    <col min="11792" max="11792" width="10.140625" style="40" customWidth="1"/>
    <col min="11793" max="11793" width="11.5703125" style="40" customWidth="1"/>
    <col min="11794" max="11794" width="11.42578125" style="40" customWidth="1"/>
    <col min="11795" max="11796" width="9.140625" style="40" customWidth="1"/>
    <col min="11797" max="11797" width="13.140625" style="40" customWidth="1"/>
    <col min="11798" max="11798" width="11.5703125" style="40" customWidth="1"/>
    <col min="11799" max="11799" width="10.85546875" style="40" customWidth="1"/>
    <col min="11800" max="11800" width="12.85546875" style="40" customWidth="1"/>
    <col min="11801" max="11801" width="10.28515625" style="40" bestFit="1" customWidth="1"/>
    <col min="11802" max="11802" width="9.140625" style="40"/>
    <col min="11803" max="11803" width="11.7109375" style="40" customWidth="1"/>
    <col min="11804" max="11804" width="11.28515625" style="40" customWidth="1"/>
    <col min="11805" max="12032" width="9.140625" style="40"/>
    <col min="12033" max="12033" width="1.28515625" style="40" customWidth="1"/>
    <col min="12034" max="12034" width="24.85546875" style="40" customWidth="1"/>
    <col min="12035" max="12035" width="9.140625" style="40" customWidth="1"/>
    <col min="12036" max="12036" width="11.42578125" style="40" customWidth="1"/>
    <col min="12037" max="12038" width="13.7109375" style="40" customWidth="1"/>
    <col min="12039" max="12040" width="9.140625" style="40" customWidth="1"/>
    <col min="12041" max="12041" width="9.85546875" style="40" bestFit="1" customWidth="1"/>
    <col min="12042" max="12042" width="9.85546875" style="40" customWidth="1"/>
    <col min="12043" max="12044" width="9.140625" style="40" customWidth="1"/>
    <col min="12045" max="12045" width="10.42578125" style="40" customWidth="1"/>
    <col min="12046" max="12046" width="10.28515625" style="40" customWidth="1"/>
    <col min="12047" max="12047" width="10.85546875" style="40" customWidth="1"/>
    <col min="12048" max="12048" width="10.140625" style="40" customWidth="1"/>
    <col min="12049" max="12049" width="11.5703125" style="40" customWidth="1"/>
    <col min="12050" max="12050" width="11.42578125" style="40" customWidth="1"/>
    <col min="12051" max="12052" width="9.140625" style="40" customWidth="1"/>
    <col min="12053" max="12053" width="13.140625" style="40" customWidth="1"/>
    <col min="12054" max="12054" width="11.5703125" style="40" customWidth="1"/>
    <col min="12055" max="12055" width="10.85546875" style="40" customWidth="1"/>
    <col min="12056" max="12056" width="12.85546875" style="40" customWidth="1"/>
    <col min="12057" max="12057" width="10.28515625" style="40" bestFit="1" customWidth="1"/>
    <col min="12058" max="12058" width="9.140625" style="40"/>
    <col min="12059" max="12059" width="11.7109375" style="40" customWidth="1"/>
    <col min="12060" max="12060" width="11.28515625" style="40" customWidth="1"/>
    <col min="12061" max="12288" width="9.140625" style="40"/>
    <col min="12289" max="12289" width="1.28515625" style="40" customWidth="1"/>
    <col min="12290" max="12290" width="24.85546875" style="40" customWidth="1"/>
    <col min="12291" max="12291" width="9.140625" style="40" customWidth="1"/>
    <col min="12292" max="12292" width="11.42578125" style="40" customWidth="1"/>
    <col min="12293" max="12294" width="13.7109375" style="40" customWidth="1"/>
    <col min="12295" max="12296" width="9.140625" style="40" customWidth="1"/>
    <col min="12297" max="12297" width="9.85546875" style="40" bestFit="1" customWidth="1"/>
    <col min="12298" max="12298" width="9.85546875" style="40" customWidth="1"/>
    <col min="12299" max="12300" width="9.140625" style="40" customWidth="1"/>
    <col min="12301" max="12301" width="10.42578125" style="40" customWidth="1"/>
    <col min="12302" max="12302" width="10.28515625" style="40" customWidth="1"/>
    <col min="12303" max="12303" width="10.85546875" style="40" customWidth="1"/>
    <col min="12304" max="12304" width="10.140625" style="40" customWidth="1"/>
    <col min="12305" max="12305" width="11.5703125" style="40" customWidth="1"/>
    <col min="12306" max="12306" width="11.42578125" style="40" customWidth="1"/>
    <col min="12307" max="12308" width="9.140625" style="40" customWidth="1"/>
    <col min="12309" max="12309" width="13.140625" style="40" customWidth="1"/>
    <col min="12310" max="12310" width="11.5703125" style="40" customWidth="1"/>
    <col min="12311" max="12311" width="10.85546875" style="40" customWidth="1"/>
    <col min="12312" max="12312" width="12.85546875" style="40" customWidth="1"/>
    <col min="12313" max="12313" width="10.28515625" style="40" bestFit="1" customWidth="1"/>
    <col min="12314" max="12314" width="9.140625" style="40"/>
    <col min="12315" max="12315" width="11.7109375" style="40" customWidth="1"/>
    <col min="12316" max="12316" width="11.28515625" style="40" customWidth="1"/>
    <col min="12317" max="12544" width="9.140625" style="40"/>
    <col min="12545" max="12545" width="1.28515625" style="40" customWidth="1"/>
    <col min="12546" max="12546" width="24.85546875" style="40" customWidth="1"/>
    <col min="12547" max="12547" width="9.140625" style="40" customWidth="1"/>
    <col min="12548" max="12548" width="11.42578125" style="40" customWidth="1"/>
    <col min="12549" max="12550" width="13.7109375" style="40" customWidth="1"/>
    <col min="12551" max="12552" width="9.140625" style="40" customWidth="1"/>
    <col min="12553" max="12553" width="9.85546875" style="40" bestFit="1" customWidth="1"/>
    <col min="12554" max="12554" width="9.85546875" style="40" customWidth="1"/>
    <col min="12555" max="12556" width="9.140625" style="40" customWidth="1"/>
    <col min="12557" max="12557" width="10.42578125" style="40" customWidth="1"/>
    <col min="12558" max="12558" width="10.28515625" style="40" customWidth="1"/>
    <col min="12559" max="12559" width="10.85546875" style="40" customWidth="1"/>
    <col min="12560" max="12560" width="10.140625" style="40" customWidth="1"/>
    <col min="12561" max="12561" width="11.5703125" style="40" customWidth="1"/>
    <col min="12562" max="12562" width="11.42578125" style="40" customWidth="1"/>
    <col min="12563" max="12564" width="9.140625" style="40" customWidth="1"/>
    <col min="12565" max="12565" width="13.140625" style="40" customWidth="1"/>
    <col min="12566" max="12566" width="11.5703125" style="40" customWidth="1"/>
    <col min="12567" max="12567" width="10.85546875" style="40" customWidth="1"/>
    <col min="12568" max="12568" width="12.85546875" style="40" customWidth="1"/>
    <col min="12569" max="12569" width="10.28515625" style="40" bestFit="1" customWidth="1"/>
    <col min="12570" max="12570" width="9.140625" style="40"/>
    <col min="12571" max="12571" width="11.7109375" style="40" customWidth="1"/>
    <col min="12572" max="12572" width="11.28515625" style="40" customWidth="1"/>
    <col min="12573" max="12800" width="9.140625" style="40"/>
    <col min="12801" max="12801" width="1.28515625" style="40" customWidth="1"/>
    <col min="12802" max="12802" width="24.85546875" style="40" customWidth="1"/>
    <col min="12803" max="12803" width="9.140625" style="40" customWidth="1"/>
    <col min="12804" max="12804" width="11.42578125" style="40" customWidth="1"/>
    <col min="12805" max="12806" width="13.7109375" style="40" customWidth="1"/>
    <col min="12807" max="12808" width="9.140625" style="40" customWidth="1"/>
    <col min="12809" max="12809" width="9.85546875" style="40" bestFit="1" customWidth="1"/>
    <col min="12810" max="12810" width="9.85546875" style="40" customWidth="1"/>
    <col min="12811" max="12812" width="9.140625" style="40" customWidth="1"/>
    <col min="12813" max="12813" width="10.42578125" style="40" customWidth="1"/>
    <col min="12814" max="12814" width="10.28515625" style="40" customWidth="1"/>
    <col min="12815" max="12815" width="10.85546875" style="40" customWidth="1"/>
    <col min="12816" max="12816" width="10.140625" style="40" customWidth="1"/>
    <col min="12817" max="12817" width="11.5703125" style="40" customWidth="1"/>
    <col min="12818" max="12818" width="11.42578125" style="40" customWidth="1"/>
    <col min="12819" max="12820" width="9.140625" style="40" customWidth="1"/>
    <col min="12821" max="12821" width="13.140625" style="40" customWidth="1"/>
    <col min="12822" max="12822" width="11.5703125" style="40" customWidth="1"/>
    <col min="12823" max="12823" width="10.85546875" style="40" customWidth="1"/>
    <col min="12824" max="12824" width="12.85546875" style="40" customWidth="1"/>
    <col min="12825" max="12825" width="10.28515625" style="40" bestFit="1" customWidth="1"/>
    <col min="12826" max="12826" width="9.140625" style="40"/>
    <col min="12827" max="12827" width="11.7109375" style="40" customWidth="1"/>
    <col min="12828" max="12828" width="11.28515625" style="40" customWidth="1"/>
    <col min="12829" max="13056" width="9.140625" style="40"/>
    <col min="13057" max="13057" width="1.28515625" style="40" customWidth="1"/>
    <col min="13058" max="13058" width="24.85546875" style="40" customWidth="1"/>
    <col min="13059" max="13059" width="9.140625" style="40" customWidth="1"/>
    <col min="13060" max="13060" width="11.42578125" style="40" customWidth="1"/>
    <col min="13061" max="13062" width="13.7109375" style="40" customWidth="1"/>
    <col min="13063" max="13064" width="9.140625" style="40" customWidth="1"/>
    <col min="13065" max="13065" width="9.85546875" style="40" bestFit="1" customWidth="1"/>
    <col min="13066" max="13066" width="9.85546875" style="40" customWidth="1"/>
    <col min="13067" max="13068" width="9.140625" style="40" customWidth="1"/>
    <col min="13069" max="13069" width="10.42578125" style="40" customWidth="1"/>
    <col min="13070" max="13070" width="10.28515625" style="40" customWidth="1"/>
    <col min="13071" max="13071" width="10.85546875" style="40" customWidth="1"/>
    <col min="13072" max="13072" width="10.140625" style="40" customWidth="1"/>
    <col min="13073" max="13073" width="11.5703125" style="40" customWidth="1"/>
    <col min="13074" max="13074" width="11.42578125" style="40" customWidth="1"/>
    <col min="13075" max="13076" width="9.140625" style="40" customWidth="1"/>
    <col min="13077" max="13077" width="13.140625" style="40" customWidth="1"/>
    <col min="13078" max="13078" width="11.5703125" style="40" customWidth="1"/>
    <col min="13079" max="13079" width="10.85546875" style="40" customWidth="1"/>
    <col min="13080" max="13080" width="12.85546875" style="40" customWidth="1"/>
    <col min="13081" max="13081" width="10.28515625" style="40" bestFit="1" customWidth="1"/>
    <col min="13082" max="13082" width="9.140625" style="40"/>
    <col min="13083" max="13083" width="11.7109375" style="40" customWidth="1"/>
    <col min="13084" max="13084" width="11.28515625" style="40" customWidth="1"/>
    <col min="13085" max="13312" width="9.140625" style="40"/>
    <col min="13313" max="13313" width="1.28515625" style="40" customWidth="1"/>
    <col min="13314" max="13314" width="24.85546875" style="40" customWidth="1"/>
    <col min="13315" max="13315" width="9.140625" style="40" customWidth="1"/>
    <col min="13316" max="13316" width="11.42578125" style="40" customWidth="1"/>
    <col min="13317" max="13318" width="13.7109375" style="40" customWidth="1"/>
    <col min="13319" max="13320" width="9.140625" style="40" customWidth="1"/>
    <col min="13321" max="13321" width="9.85546875" style="40" bestFit="1" customWidth="1"/>
    <col min="13322" max="13322" width="9.85546875" style="40" customWidth="1"/>
    <col min="13323" max="13324" width="9.140625" style="40" customWidth="1"/>
    <col min="13325" max="13325" width="10.42578125" style="40" customWidth="1"/>
    <col min="13326" max="13326" width="10.28515625" style="40" customWidth="1"/>
    <col min="13327" max="13327" width="10.85546875" style="40" customWidth="1"/>
    <col min="13328" max="13328" width="10.140625" style="40" customWidth="1"/>
    <col min="13329" max="13329" width="11.5703125" style="40" customWidth="1"/>
    <col min="13330" max="13330" width="11.42578125" style="40" customWidth="1"/>
    <col min="13331" max="13332" width="9.140625" style="40" customWidth="1"/>
    <col min="13333" max="13333" width="13.140625" style="40" customWidth="1"/>
    <col min="13334" max="13334" width="11.5703125" style="40" customWidth="1"/>
    <col min="13335" max="13335" width="10.85546875" style="40" customWidth="1"/>
    <col min="13336" max="13336" width="12.85546875" style="40" customWidth="1"/>
    <col min="13337" max="13337" width="10.28515625" style="40" bestFit="1" customWidth="1"/>
    <col min="13338" max="13338" width="9.140625" style="40"/>
    <col min="13339" max="13339" width="11.7109375" style="40" customWidth="1"/>
    <col min="13340" max="13340" width="11.28515625" style="40" customWidth="1"/>
    <col min="13341" max="13568" width="9.140625" style="40"/>
    <col min="13569" max="13569" width="1.28515625" style="40" customWidth="1"/>
    <col min="13570" max="13570" width="24.85546875" style="40" customWidth="1"/>
    <col min="13571" max="13571" width="9.140625" style="40" customWidth="1"/>
    <col min="13572" max="13572" width="11.42578125" style="40" customWidth="1"/>
    <col min="13573" max="13574" width="13.7109375" style="40" customWidth="1"/>
    <col min="13575" max="13576" width="9.140625" style="40" customWidth="1"/>
    <col min="13577" max="13577" width="9.85546875" style="40" bestFit="1" customWidth="1"/>
    <col min="13578" max="13578" width="9.85546875" style="40" customWidth="1"/>
    <col min="13579" max="13580" width="9.140625" style="40" customWidth="1"/>
    <col min="13581" max="13581" width="10.42578125" style="40" customWidth="1"/>
    <col min="13582" max="13582" width="10.28515625" style="40" customWidth="1"/>
    <col min="13583" max="13583" width="10.85546875" style="40" customWidth="1"/>
    <col min="13584" max="13584" width="10.140625" style="40" customWidth="1"/>
    <col min="13585" max="13585" width="11.5703125" style="40" customWidth="1"/>
    <col min="13586" max="13586" width="11.42578125" style="40" customWidth="1"/>
    <col min="13587" max="13588" width="9.140625" style="40" customWidth="1"/>
    <col min="13589" max="13589" width="13.140625" style="40" customWidth="1"/>
    <col min="13590" max="13590" width="11.5703125" style="40" customWidth="1"/>
    <col min="13591" max="13591" width="10.85546875" style="40" customWidth="1"/>
    <col min="13592" max="13592" width="12.85546875" style="40" customWidth="1"/>
    <col min="13593" max="13593" width="10.28515625" style="40" bestFit="1" customWidth="1"/>
    <col min="13594" max="13594" width="9.140625" style="40"/>
    <col min="13595" max="13595" width="11.7109375" style="40" customWidth="1"/>
    <col min="13596" max="13596" width="11.28515625" style="40" customWidth="1"/>
    <col min="13597" max="13824" width="9.140625" style="40"/>
    <col min="13825" max="13825" width="1.28515625" style="40" customWidth="1"/>
    <col min="13826" max="13826" width="24.85546875" style="40" customWidth="1"/>
    <col min="13827" max="13827" width="9.140625" style="40" customWidth="1"/>
    <col min="13828" max="13828" width="11.42578125" style="40" customWidth="1"/>
    <col min="13829" max="13830" width="13.7109375" style="40" customWidth="1"/>
    <col min="13831" max="13832" width="9.140625" style="40" customWidth="1"/>
    <col min="13833" max="13833" width="9.85546875" style="40" bestFit="1" customWidth="1"/>
    <col min="13834" max="13834" width="9.85546875" style="40" customWidth="1"/>
    <col min="13835" max="13836" width="9.140625" style="40" customWidth="1"/>
    <col min="13837" max="13837" width="10.42578125" style="40" customWidth="1"/>
    <col min="13838" max="13838" width="10.28515625" style="40" customWidth="1"/>
    <col min="13839" max="13839" width="10.85546875" style="40" customWidth="1"/>
    <col min="13840" max="13840" width="10.140625" style="40" customWidth="1"/>
    <col min="13841" max="13841" width="11.5703125" style="40" customWidth="1"/>
    <col min="13842" max="13842" width="11.42578125" style="40" customWidth="1"/>
    <col min="13843" max="13844" width="9.140625" style="40" customWidth="1"/>
    <col min="13845" max="13845" width="13.140625" style="40" customWidth="1"/>
    <col min="13846" max="13846" width="11.5703125" style="40" customWidth="1"/>
    <col min="13847" max="13847" width="10.85546875" style="40" customWidth="1"/>
    <col min="13848" max="13848" width="12.85546875" style="40" customWidth="1"/>
    <col min="13849" max="13849" width="10.28515625" style="40" bestFit="1" customWidth="1"/>
    <col min="13850" max="13850" width="9.140625" style="40"/>
    <col min="13851" max="13851" width="11.7109375" style="40" customWidth="1"/>
    <col min="13852" max="13852" width="11.28515625" style="40" customWidth="1"/>
    <col min="13853" max="14080" width="9.140625" style="40"/>
    <col min="14081" max="14081" width="1.28515625" style="40" customWidth="1"/>
    <col min="14082" max="14082" width="24.85546875" style="40" customWidth="1"/>
    <col min="14083" max="14083" width="9.140625" style="40" customWidth="1"/>
    <col min="14084" max="14084" width="11.42578125" style="40" customWidth="1"/>
    <col min="14085" max="14086" width="13.7109375" style="40" customWidth="1"/>
    <col min="14087" max="14088" width="9.140625" style="40" customWidth="1"/>
    <col min="14089" max="14089" width="9.85546875" style="40" bestFit="1" customWidth="1"/>
    <col min="14090" max="14090" width="9.85546875" style="40" customWidth="1"/>
    <col min="14091" max="14092" width="9.140625" style="40" customWidth="1"/>
    <col min="14093" max="14093" width="10.42578125" style="40" customWidth="1"/>
    <col min="14094" max="14094" width="10.28515625" style="40" customWidth="1"/>
    <col min="14095" max="14095" width="10.85546875" style="40" customWidth="1"/>
    <col min="14096" max="14096" width="10.140625" style="40" customWidth="1"/>
    <col min="14097" max="14097" width="11.5703125" style="40" customWidth="1"/>
    <col min="14098" max="14098" width="11.42578125" style="40" customWidth="1"/>
    <col min="14099" max="14100" width="9.140625" style="40" customWidth="1"/>
    <col min="14101" max="14101" width="13.140625" style="40" customWidth="1"/>
    <col min="14102" max="14102" width="11.5703125" style="40" customWidth="1"/>
    <col min="14103" max="14103" width="10.85546875" style="40" customWidth="1"/>
    <col min="14104" max="14104" width="12.85546875" style="40" customWidth="1"/>
    <col min="14105" max="14105" width="10.28515625" style="40" bestFit="1" customWidth="1"/>
    <col min="14106" max="14106" width="9.140625" style="40"/>
    <col min="14107" max="14107" width="11.7109375" style="40" customWidth="1"/>
    <col min="14108" max="14108" width="11.28515625" style="40" customWidth="1"/>
    <col min="14109" max="14336" width="9.140625" style="40"/>
    <col min="14337" max="14337" width="1.28515625" style="40" customWidth="1"/>
    <col min="14338" max="14338" width="24.85546875" style="40" customWidth="1"/>
    <col min="14339" max="14339" width="9.140625" style="40" customWidth="1"/>
    <col min="14340" max="14340" width="11.42578125" style="40" customWidth="1"/>
    <col min="14341" max="14342" width="13.7109375" style="40" customWidth="1"/>
    <col min="14343" max="14344" width="9.140625" style="40" customWidth="1"/>
    <col min="14345" max="14345" width="9.85546875" style="40" bestFit="1" customWidth="1"/>
    <col min="14346" max="14346" width="9.85546875" style="40" customWidth="1"/>
    <col min="14347" max="14348" width="9.140625" style="40" customWidth="1"/>
    <col min="14349" max="14349" width="10.42578125" style="40" customWidth="1"/>
    <col min="14350" max="14350" width="10.28515625" style="40" customWidth="1"/>
    <col min="14351" max="14351" width="10.85546875" style="40" customWidth="1"/>
    <col min="14352" max="14352" width="10.140625" style="40" customWidth="1"/>
    <col min="14353" max="14353" width="11.5703125" style="40" customWidth="1"/>
    <col min="14354" max="14354" width="11.42578125" style="40" customWidth="1"/>
    <col min="14355" max="14356" width="9.140625" style="40" customWidth="1"/>
    <col min="14357" max="14357" width="13.140625" style="40" customWidth="1"/>
    <col min="14358" max="14358" width="11.5703125" style="40" customWidth="1"/>
    <col min="14359" max="14359" width="10.85546875" style="40" customWidth="1"/>
    <col min="14360" max="14360" width="12.85546875" style="40" customWidth="1"/>
    <col min="14361" max="14361" width="10.28515625" style="40" bestFit="1" customWidth="1"/>
    <col min="14362" max="14362" width="9.140625" style="40"/>
    <col min="14363" max="14363" width="11.7109375" style="40" customWidth="1"/>
    <col min="14364" max="14364" width="11.28515625" style="40" customWidth="1"/>
    <col min="14365" max="14592" width="9.140625" style="40"/>
    <col min="14593" max="14593" width="1.28515625" style="40" customWidth="1"/>
    <col min="14594" max="14594" width="24.85546875" style="40" customWidth="1"/>
    <col min="14595" max="14595" width="9.140625" style="40" customWidth="1"/>
    <col min="14596" max="14596" width="11.42578125" style="40" customWidth="1"/>
    <col min="14597" max="14598" width="13.7109375" style="40" customWidth="1"/>
    <col min="14599" max="14600" width="9.140625" style="40" customWidth="1"/>
    <col min="14601" max="14601" width="9.85546875" style="40" bestFit="1" customWidth="1"/>
    <col min="14602" max="14602" width="9.85546875" style="40" customWidth="1"/>
    <col min="14603" max="14604" width="9.140625" style="40" customWidth="1"/>
    <col min="14605" max="14605" width="10.42578125" style="40" customWidth="1"/>
    <col min="14606" max="14606" width="10.28515625" style="40" customWidth="1"/>
    <col min="14607" max="14607" width="10.85546875" style="40" customWidth="1"/>
    <col min="14608" max="14608" width="10.140625" style="40" customWidth="1"/>
    <col min="14609" max="14609" width="11.5703125" style="40" customWidth="1"/>
    <col min="14610" max="14610" width="11.42578125" style="40" customWidth="1"/>
    <col min="14611" max="14612" width="9.140625" style="40" customWidth="1"/>
    <col min="14613" max="14613" width="13.140625" style="40" customWidth="1"/>
    <col min="14614" max="14614" width="11.5703125" style="40" customWidth="1"/>
    <col min="14615" max="14615" width="10.85546875" style="40" customWidth="1"/>
    <col min="14616" max="14616" width="12.85546875" style="40" customWidth="1"/>
    <col min="14617" max="14617" width="10.28515625" style="40" bestFit="1" customWidth="1"/>
    <col min="14618" max="14618" width="9.140625" style="40"/>
    <col min="14619" max="14619" width="11.7109375" style="40" customWidth="1"/>
    <col min="14620" max="14620" width="11.28515625" style="40" customWidth="1"/>
    <col min="14621" max="14848" width="9.140625" style="40"/>
    <col min="14849" max="14849" width="1.28515625" style="40" customWidth="1"/>
    <col min="14850" max="14850" width="24.85546875" style="40" customWidth="1"/>
    <col min="14851" max="14851" width="9.140625" style="40" customWidth="1"/>
    <col min="14852" max="14852" width="11.42578125" style="40" customWidth="1"/>
    <col min="14853" max="14854" width="13.7109375" style="40" customWidth="1"/>
    <col min="14855" max="14856" width="9.140625" style="40" customWidth="1"/>
    <col min="14857" max="14857" width="9.85546875" style="40" bestFit="1" customWidth="1"/>
    <col min="14858" max="14858" width="9.85546875" style="40" customWidth="1"/>
    <col min="14859" max="14860" width="9.140625" style="40" customWidth="1"/>
    <col min="14861" max="14861" width="10.42578125" style="40" customWidth="1"/>
    <col min="14862" max="14862" width="10.28515625" style="40" customWidth="1"/>
    <col min="14863" max="14863" width="10.85546875" style="40" customWidth="1"/>
    <col min="14864" max="14864" width="10.140625" style="40" customWidth="1"/>
    <col min="14865" max="14865" width="11.5703125" style="40" customWidth="1"/>
    <col min="14866" max="14866" width="11.42578125" style="40" customWidth="1"/>
    <col min="14867" max="14868" width="9.140625" style="40" customWidth="1"/>
    <col min="14869" max="14869" width="13.140625" style="40" customWidth="1"/>
    <col min="14870" max="14870" width="11.5703125" style="40" customWidth="1"/>
    <col min="14871" max="14871" width="10.85546875" style="40" customWidth="1"/>
    <col min="14872" max="14872" width="12.85546875" style="40" customWidth="1"/>
    <col min="14873" max="14873" width="10.28515625" style="40" bestFit="1" customWidth="1"/>
    <col min="14874" max="14874" width="9.140625" style="40"/>
    <col min="14875" max="14875" width="11.7109375" style="40" customWidth="1"/>
    <col min="14876" max="14876" width="11.28515625" style="40" customWidth="1"/>
    <col min="14877" max="15104" width="9.140625" style="40"/>
    <col min="15105" max="15105" width="1.28515625" style="40" customWidth="1"/>
    <col min="15106" max="15106" width="24.85546875" style="40" customWidth="1"/>
    <col min="15107" max="15107" width="9.140625" style="40" customWidth="1"/>
    <col min="15108" max="15108" width="11.42578125" style="40" customWidth="1"/>
    <col min="15109" max="15110" width="13.7109375" style="40" customWidth="1"/>
    <col min="15111" max="15112" width="9.140625" style="40" customWidth="1"/>
    <col min="15113" max="15113" width="9.85546875" style="40" bestFit="1" customWidth="1"/>
    <col min="15114" max="15114" width="9.85546875" style="40" customWidth="1"/>
    <col min="15115" max="15116" width="9.140625" style="40" customWidth="1"/>
    <col min="15117" max="15117" width="10.42578125" style="40" customWidth="1"/>
    <col min="15118" max="15118" width="10.28515625" style="40" customWidth="1"/>
    <col min="15119" max="15119" width="10.85546875" style="40" customWidth="1"/>
    <col min="15120" max="15120" width="10.140625" style="40" customWidth="1"/>
    <col min="15121" max="15121" width="11.5703125" style="40" customWidth="1"/>
    <col min="15122" max="15122" width="11.42578125" style="40" customWidth="1"/>
    <col min="15123" max="15124" width="9.140625" style="40" customWidth="1"/>
    <col min="15125" max="15125" width="13.140625" style="40" customWidth="1"/>
    <col min="15126" max="15126" width="11.5703125" style="40" customWidth="1"/>
    <col min="15127" max="15127" width="10.85546875" style="40" customWidth="1"/>
    <col min="15128" max="15128" width="12.85546875" style="40" customWidth="1"/>
    <col min="15129" max="15129" width="10.28515625" style="40" bestFit="1" customWidth="1"/>
    <col min="15130" max="15130" width="9.140625" style="40"/>
    <col min="15131" max="15131" width="11.7109375" style="40" customWidth="1"/>
    <col min="15132" max="15132" width="11.28515625" style="40" customWidth="1"/>
    <col min="15133" max="15360" width="9.140625" style="40"/>
    <col min="15361" max="15361" width="1.28515625" style="40" customWidth="1"/>
    <col min="15362" max="15362" width="24.85546875" style="40" customWidth="1"/>
    <col min="15363" max="15363" width="9.140625" style="40" customWidth="1"/>
    <col min="15364" max="15364" width="11.42578125" style="40" customWidth="1"/>
    <col min="15365" max="15366" width="13.7109375" style="40" customWidth="1"/>
    <col min="15367" max="15368" width="9.140625" style="40" customWidth="1"/>
    <col min="15369" max="15369" width="9.85546875" style="40" bestFit="1" customWidth="1"/>
    <col min="15370" max="15370" width="9.85546875" style="40" customWidth="1"/>
    <col min="15371" max="15372" width="9.140625" style="40" customWidth="1"/>
    <col min="15373" max="15373" width="10.42578125" style="40" customWidth="1"/>
    <col min="15374" max="15374" width="10.28515625" style="40" customWidth="1"/>
    <col min="15375" max="15375" width="10.85546875" style="40" customWidth="1"/>
    <col min="15376" max="15376" width="10.140625" style="40" customWidth="1"/>
    <col min="15377" max="15377" width="11.5703125" style="40" customWidth="1"/>
    <col min="15378" max="15378" width="11.42578125" style="40" customWidth="1"/>
    <col min="15379" max="15380" width="9.140625" style="40" customWidth="1"/>
    <col min="15381" max="15381" width="13.140625" style="40" customWidth="1"/>
    <col min="15382" max="15382" width="11.5703125" style="40" customWidth="1"/>
    <col min="15383" max="15383" width="10.85546875" style="40" customWidth="1"/>
    <col min="15384" max="15384" width="12.85546875" style="40" customWidth="1"/>
    <col min="15385" max="15385" width="10.28515625" style="40" bestFit="1" customWidth="1"/>
    <col min="15386" max="15386" width="9.140625" style="40"/>
    <col min="15387" max="15387" width="11.7109375" style="40" customWidth="1"/>
    <col min="15388" max="15388" width="11.28515625" style="40" customWidth="1"/>
    <col min="15389" max="15616" width="9.140625" style="40"/>
    <col min="15617" max="15617" width="1.28515625" style="40" customWidth="1"/>
    <col min="15618" max="15618" width="24.85546875" style="40" customWidth="1"/>
    <col min="15619" max="15619" width="9.140625" style="40" customWidth="1"/>
    <col min="15620" max="15620" width="11.42578125" style="40" customWidth="1"/>
    <col min="15621" max="15622" width="13.7109375" style="40" customWidth="1"/>
    <col min="15623" max="15624" width="9.140625" style="40" customWidth="1"/>
    <col min="15625" max="15625" width="9.85546875" style="40" bestFit="1" customWidth="1"/>
    <col min="15626" max="15626" width="9.85546875" style="40" customWidth="1"/>
    <col min="15627" max="15628" width="9.140625" style="40" customWidth="1"/>
    <col min="15629" max="15629" width="10.42578125" style="40" customWidth="1"/>
    <col min="15630" max="15630" width="10.28515625" style="40" customWidth="1"/>
    <col min="15631" max="15631" width="10.85546875" style="40" customWidth="1"/>
    <col min="15632" max="15632" width="10.140625" style="40" customWidth="1"/>
    <col min="15633" max="15633" width="11.5703125" style="40" customWidth="1"/>
    <col min="15634" max="15634" width="11.42578125" style="40" customWidth="1"/>
    <col min="15635" max="15636" width="9.140625" style="40" customWidth="1"/>
    <col min="15637" max="15637" width="13.140625" style="40" customWidth="1"/>
    <col min="15638" max="15638" width="11.5703125" style="40" customWidth="1"/>
    <col min="15639" max="15639" width="10.85546875" style="40" customWidth="1"/>
    <col min="15640" max="15640" width="12.85546875" style="40" customWidth="1"/>
    <col min="15641" max="15641" width="10.28515625" style="40" bestFit="1" customWidth="1"/>
    <col min="15642" max="15642" width="9.140625" style="40"/>
    <col min="15643" max="15643" width="11.7109375" style="40" customWidth="1"/>
    <col min="15644" max="15644" width="11.28515625" style="40" customWidth="1"/>
    <col min="15645" max="15872" width="9.140625" style="40"/>
    <col min="15873" max="15873" width="1.28515625" style="40" customWidth="1"/>
    <col min="15874" max="15874" width="24.85546875" style="40" customWidth="1"/>
    <col min="15875" max="15875" width="9.140625" style="40" customWidth="1"/>
    <col min="15876" max="15876" width="11.42578125" style="40" customWidth="1"/>
    <col min="15877" max="15878" width="13.7109375" style="40" customWidth="1"/>
    <col min="15879" max="15880" width="9.140625" style="40" customWidth="1"/>
    <col min="15881" max="15881" width="9.85546875" style="40" bestFit="1" customWidth="1"/>
    <col min="15882" max="15882" width="9.85546875" style="40" customWidth="1"/>
    <col min="15883" max="15884" width="9.140625" style="40" customWidth="1"/>
    <col min="15885" max="15885" width="10.42578125" style="40" customWidth="1"/>
    <col min="15886" max="15886" width="10.28515625" style="40" customWidth="1"/>
    <col min="15887" max="15887" width="10.85546875" style="40" customWidth="1"/>
    <col min="15888" max="15888" width="10.140625" style="40" customWidth="1"/>
    <col min="15889" max="15889" width="11.5703125" style="40" customWidth="1"/>
    <col min="15890" max="15890" width="11.42578125" style="40" customWidth="1"/>
    <col min="15891" max="15892" width="9.140625" style="40" customWidth="1"/>
    <col min="15893" max="15893" width="13.140625" style="40" customWidth="1"/>
    <col min="15894" max="15894" width="11.5703125" style="40" customWidth="1"/>
    <col min="15895" max="15895" width="10.85546875" style="40" customWidth="1"/>
    <col min="15896" max="15896" width="12.85546875" style="40" customWidth="1"/>
    <col min="15897" max="15897" width="10.28515625" style="40" bestFit="1" customWidth="1"/>
    <col min="15898" max="15898" width="9.140625" style="40"/>
    <col min="15899" max="15899" width="11.7109375" style="40" customWidth="1"/>
    <col min="15900" max="15900" width="11.28515625" style="40" customWidth="1"/>
    <col min="15901" max="16128" width="9.140625" style="40"/>
    <col min="16129" max="16129" width="1.28515625" style="40" customWidth="1"/>
    <col min="16130" max="16130" width="24.85546875" style="40" customWidth="1"/>
    <col min="16131" max="16131" width="9.140625" style="40" customWidth="1"/>
    <col min="16132" max="16132" width="11.42578125" style="40" customWidth="1"/>
    <col min="16133" max="16134" width="13.7109375" style="40" customWidth="1"/>
    <col min="16135" max="16136" width="9.140625" style="40" customWidth="1"/>
    <col min="16137" max="16137" width="9.85546875" style="40" bestFit="1" customWidth="1"/>
    <col min="16138" max="16138" width="9.85546875" style="40" customWidth="1"/>
    <col min="16139" max="16140" width="9.140625" style="40" customWidth="1"/>
    <col min="16141" max="16141" width="10.42578125" style="40" customWidth="1"/>
    <col min="16142" max="16142" width="10.28515625" style="40" customWidth="1"/>
    <col min="16143" max="16143" width="10.85546875" style="40" customWidth="1"/>
    <col min="16144" max="16144" width="10.140625" style="40" customWidth="1"/>
    <col min="16145" max="16145" width="11.5703125" style="40" customWidth="1"/>
    <col min="16146" max="16146" width="11.42578125" style="40" customWidth="1"/>
    <col min="16147" max="16148" width="9.140625" style="40" customWidth="1"/>
    <col min="16149" max="16149" width="13.140625" style="40" customWidth="1"/>
    <col min="16150" max="16150" width="11.5703125" style="40" customWidth="1"/>
    <col min="16151" max="16151" width="10.85546875" style="40" customWidth="1"/>
    <col min="16152" max="16152" width="12.85546875" style="40" customWidth="1"/>
    <col min="16153" max="16153" width="10.28515625" style="40" bestFit="1" customWidth="1"/>
    <col min="16154" max="16154" width="9.140625" style="40"/>
    <col min="16155" max="16155" width="11.7109375" style="40" customWidth="1"/>
    <col min="16156" max="16156" width="11.28515625" style="40" customWidth="1"/>
    <col min="16157" max="16384" width="9.140625" style="40"/>
  </cols>
  <sheetData>
    <row r="1" spans="2:28" ht="15.75" thickBot="1" x14ac:dyDescent="0.3">
      <c r="V1" s="40">
        <v>6.67</v>
      </c>
      <c r="W1" s="40">
        <v>11.33</v>
      </c>
    </row>
    <row r="2" spans="2:28" ht="25.5" customHeight="1" x14ac:dyDescent="0.3">
      <c r="B2" s="1326" t="s">
        <v>377</v>
      </c>
      <c r="C2" s="1327"/>
      <c r="D2" s="1327"/>
      <c r="E2" s="1327"/>
      <c r="F2" s="1327"/>
      <c r="G2" s="1327"/>
      <c r="H2" s="1327"/>
      <c r="I2" s="1327"/>
      <c r="J2" s="1327"/>
      <c r="K2" s="1327"/>
      <c r="L2" s="1327"/>
      <c r="M2" s="1327"/>
      <c r="N2" s="1327"/>
      <c r="O2" s="1327"/>
      <c r="P2" s="1327"/>
      <c r="Q2" s="1327"/>
      <c r="R2" s="1327"/>
      <c r="S2" s="1327"/>
      <c r="T2" s="1327"/>
      <c r="U2" s="1327"/>
      <c r="V2" s="1327"/>
      <c r="W2" s="1327"/>
      <c r="X2" s="1327"/>
      <c r="Y2" s="1327"/>
      <c r="Z2" s="1327"/>
      <c r="AA2" s="1327"/>
      <c r="AB2" s="1328"/>
    </row>
    <row r="3" spans="2:28" ht="15.75" thickBot="1" x14ac:dyDescent="0.3">
      <c r="B3" s="306">
        <v>1</v>
      </c>
      <c r="C3" s="307">
        <v>2</v>
      </c>
      <c r="D3" s="307">
        <v>3</v>
      </c>
      <c r="E3" s="307">
        <v>5</v>
      </c>
      <c r="F3" s="307">
        <v>6</v>
      </c>
      <c r="G3" s="307">
        <v>7</v>
      </c>
      <c r="H3" s="307">
        <v>8</v>
      </c>
      <c r="I3" s="307">
        <v>9</v>
      </c>
      <c r="J3" s="307">
        <v>10</v>
      </c>
      <c r="K3" s="307">
        <v>11</v>
      </c>
      <c r="L3" s="307">
        <v>12</v>
      </c>
      <c r="M3" s="307">
        <v>13</v>
      </c>
      <c r="N3" s="307">
        <v>14</v>
      </c>
      <c r="O3" s="307">
        <v>15</v>
      </c>
      <c r="P3" s="308">
        <v>16</v>
      </c>
      <c r="Q3" s="308">
        <v>17</v>
      </c>
      <c r="R3" s="308">
        <v>18</v>
      </c>
      <c r="S3" s="308">
        <v>19</v>
      </c>
      <c r="T3" s="308">
        <v>20</v>
      </c>
      <c r="U3" s="308">
        <v>21</v>
      </c>
      <c r="V3" s="307">
        <v>22</v>
      </c>
      <c r="W3" s="307">
        <v>23</v>
      </c>
      <c r="X3" s="307">
        <v>24</v>
      </c>
      <c r="Y3" s="307">
        <v>25</v>
      </c>
      <c r="Z3" s="307">
        <v>26</v>
      </c>
      <c r="AA3" s="307">
        <v>27</v>
      </c>
      <c r="AB3" s="307">
        <v>28</v>
      </c>
    </row>
    <row r="4" spans="2:28" s="312" customFormat="1" ht="39" thickBot="1" x14ac:dyDescent="0.3">
      <c r="B4" s="309" t="s">
        <v>130</v>
      </c>
      <c r="C4" s="309" t="s">
        <v>131</v>
      </c>
      <c r="D4" s="310" t="s">
        <v>132</v>
      </c>
      <c r="E4" s="310" t="s">
        <v>133</v>
      </c>
      <c r="F4" s="311" t="s">
        <v>134</v>
      </c>
      <c r="G4" s="310" t="s">
        <v>135</v>
      </c>
      <c r="H4" s="310" t="s">
        <v>136</v>
      </c>
      <c r="I4" s="310" t="s">
        <v>137</v>
      </c>
      <c r="J4" s="311" t="s">
        <v>138</v>
      </c>
      <c r="K4" s="310" t="s">
        <v>139</v>
      </c>
      <c r="L4" s="310" t="s">
        <v>140</v>
      </c>
      <c r="M4" s="310" t="s">
        <v>141</v>
      </c>
      <c r="N4" s="311" t="s">
        <v>142</v>
      </c>
      <c r="O4" s="309" t="s">
        <v>143</v>
      </c>
      <c r="P4" s="1329"/>
      <c r="Q4" s="1330"/>
      <c r="R4" s="1330"/>
      <c r="S4" s="1330"/>
      <c r="T4" s="1330"/>
      <c r="U4" s="1331"/>
      <c r="V4" s="656" t="s">
        <v>144</v>
      </c>
      <c r="W4" s="657" t="s">
        <v>145</v>
      </c>
      <c r="X4" s="658" t="s">
        <v>146</v>
      </c>
      <c r="Y4" s="658" t="s">
        <v>147</v>
      </c>
      <c r="AA4" s="656" t="s">
        <v>148</v>
      </c>
      <c r="AB4" s="659" t="s">
        <v>149</v>
      </c>
    </row>
    <row r="5" spans="2:28" s="312" customFormat="1" ht="24.95" customHeight="1" thickBot="1" x14ac:dyDescent="0.3">
      <c r="B5" s="313" t="s">
        <v>150</v>
      </c>
      <c r="C5" s="314"/>
      <c r="D5" s="314"/>
      <c r="E5" s="314"/>
      <c r="F5" s="998">
        <v>5.7000000000000002E-2</v>
      </c>
      <c r="G5" s="998">
        <v>1.6799999999999999E-2</v>
      </c>
      <c r="H5" s="998">
        <v>6.9199999999999998E-2</v>
      </c>
      <c r="I5" s="998">
        <v>1.4999999999999999E-2</v>
      </c>
      <c r="J5" s="998">
        <f>0.0428</f>
        <v>4.2799999999999998E-2</v>
      </c>
      <c r="K5" s="921">
        <v>43831</v>
      </c>
      <c r="L5" s="314"/>
      <c r="M5" s="314"/>
      <c r="N5" s="314"/>
      <c r="O5" s="314"/>
      <c r="P5" s="315"/>
      <c r="Q5" s="314"/>
      <c r="R5" s="314"/>
      <c r="S5" s="314"/>
      <c r="T5" s="314"/>
      <c r="U5" s="314"/>
      <c r="V5" s="922">
        <v>0.03</v>
      </c>
      <c r="W5" s="922">
        <v>0.11799999999999999</v>
      </c>
      <c r="X5" s="662"/>
      <c r="Y5" s="662"/>
      <c r="Z5" s="662"/>
      <c r="AA5" s="662"/>
      <c r="AB5" s="663"/>
    </row>
    <row r="6" spans="2:28" s="573" customFormat="1" ht="24.95" customHeight="1" x14ac:dyDescent="0.25">
      <c r="B6" s="575" t="s">
        <v>193</v>
      </c>
      <c r="C6" s="576">
        <v>20</v>
      </c>
      <c r="D6" s="577">
        <f>IF(C6="","",C6*2080)</f>
        <v>41600</v>
      </c>
      <c r="E6" s="578"/>
      <c r="F6" s="577">
        <f>IF(D6="","",IF(($F$5*D6)&gt;2797.2,2797.2,$F$5*D6))</f>
        <v>2371.2000000000003</v>
      </c>
      <c r="G6" s="579">
        <f>IF(D6="","",IF(D6*$G$5&gt;1041.01,1041.01,D6*$G$5))</f>
        <v>698.88</v>
      </c>
      <c r="H6" s="577">
        <f>IF(D6="","",D6*$H$5)</f>
        <v>2878.72</v>
      </c>
      <c r="I6" s="580">
        <f>IF(D6="","",D6*$I$5)</f>
        <v>624</v>
      </c>
      <c r="J6" s="577">
        <f>IF(D6="","",D6*$J$5)</f>
        <v>1780.48</v>
      </c>
      <c r="K6" s="907">
        <v>0</v>
      </c>
      <c r="L6" s="581">
        <v>1000</v>
      </c>
      <c r="M6" s="580">
        <f>IF(D6="","",SUM(D6:L6))</f>
        <v>50953.279999999999</v>
      </c>
      <c r="N6" s="1000">
        <v>15</v>
      </c>
      <c r="O6" s="1000">
        <v>12</v>
      </c>
      <c r="P6" s="568"/>
      <c r="Q6" s="569"/>
      <c r="R6" s="569"/>
      <c r="S6" s="569"/>
      <c r="T6" s="569"/>
      <c r="U6" s="569"/>
      <c r="V6" s="664">
        <f t="shared" ref="V6:V13" si="0">IF(D6="","",$V$5*2080)</f>
        <v>62.4</v>
      </c>
      <c r="W6" s="570">
        <f>IF(D6="","",$W$5*2080)</f>
        <v>245.44</v>
      </c>
      <c r="X6" s="570">
        <f>IF(D6="","",(8*(N6+O6)+V6+W6))</f>
        <v>523.83999999999992</v>
      </c>
      <c r="Y6" s="570">
        <f>IF(D6="","",2080-X6)</f>
        <v>1556.16</v>
      </c>
      <c r="Z6" s="571">
        <f>IF(Y6="","",+Y6/2080)</f>
        <v>0.74815384615384617</v>
      </c>
      <c r="AA6" s="572">
        <f>+M6/Y6</f>
        <v>32.742957022414146</v>
      </c>
      <c r="AB6" s="665">
        <f>IF(D6="","",(AA6/C6)-1)</f>
        <v>0.63714785112070738</v>
      </c>
    </row>
    <row r="7" spans="2:28" s="573" customFormat="1" ht="24.95" customHeight="1" x14ac:dyDescent="0.25">
      <c r="B7" s="575" t="s">
        <v>151</v>
      </c>
      <c r="C7" s="576">
        <v>20</v>
      </c>
      <c r="D7" s="577">
        <f>IF(C7="","",C7*2080)</f>
        <v>41600</v>
      </c>
      <c r="E7" s="578"/>
      <c r="F7" s="577">
        <f t="shared" ref="F7:F18" si="1">IF(D7="","",IF(($F$5*D7)&gt;2797.2,2797.2,$F$5*D7))</f>
        <v>2371.2000000000003</v>
      </c>
      <c r="G7" s="579">
        <f>IF(D7="","",IF(D7*$G$5&gt;1041.01,1041.01,D7*$G$5))</f>
        <v>698.88</v>
      </c>
      <c r="H7" s="577">
        <f>IF(D7="","",D7*$H$5)</f>
        <v>2878.72</v>
      </c>
      <c r="I7" s="580">
        <f>IF(D7="","",D7*$I$5)</f>
        <v>624</v>
      </c>
      <c r="J7" s="577">
        <f>IF(D7="","",D7*$J$5)</f>
        <v>1780.48</v>
      </c>
      <c r="K7" s="907">
        <v>0</v>
      </c>
      <c r="L7" s="581"/>
      <c r="M7" s="580">
        <f t="shared" ref="M7:M19" si="2">IF(D7="","",SUM(D7:L7))</f>
        <v>49953.279999999999</v>
      </c>
      <c r="N7" s="1000">
        <v>15</v>
      </c>
      <c r="O7" s="1000">
        <v>12</v>
      </c>
      <c r="P7" s="568"/>
      <c r="Q7" s="569"/>
      <c r="R7" s="569"/>
      <c r="S7" s="569"/>
      <c r="T7" s="569"/>
      <c r="U7" s="569"/>
      <c r="V7" s="664">
        <f>IF(D7="","",$V$5*2080)</f>
        <v>62.4</v>
      </c>
      <c r="W7" s="570">
        <f t="shared" ref="W7:W13" si="3">IF(D7="","",$W$5*2080)</f>
        <v>245.44</v>
      </c>
      <c r="X7" s="570">
        <f t="shared" ref="X7:X10" si="4">IF(D7="","",(8*(N7+O7)+V7+W7))</f>
        <v>523.83999999999992</v>
      </c>
      <c r="Y7" s="570">
        <f t="shared" ref="Y7:Y13" si="5">IF(D7="","",2080-X7)</f>
        <v>1556.16</v>
      </c>
      <c r="Z7" s="571">
        <f t="shared" ref="Z7:Z11" si="6">IF(Y7="","",+Y7/2080)</f>
        <v>0.74815384615384617</v>
      </c>
      <c r="AA7" s="572">
        <f>+M7/Y7</f>
        <v>32.100349578449517</v>
      </c>
      <c r="AB7" s="665">
        <f t="shared" ref="AB7:AB13" si="7">IF(D7="","",(AA7/C7)-1)</f>
        <v>0.60501747892247582</v>
      </c>
    </row>
    <row r="8" spans="2:28" s="573" customFormat="1" ht="24.95" customHeight="1" x14ac:dyDescent="0.25">
      <c r="B8" s="575" t="s">
        <v>380</v>
      </c>
      <c r="C8" s="576">
        <v>20</v>
      </c>
      <c r="D8" s="577">
        <f>IF(C8="","",C8*2080)</f>
        <v>41600</v>
      </c>
      <c r="E8" s="578"/>
      <c r="F8" s="577">
        <f t="shared" si="1"/>
        <v>2371.2000000000003</v>
      </c>
      <c r="G8" s="579">
        <f t="shared" ref="G8:G18" si="8">IF(D8="","",IF(D8*$G$5&gt;1041.01,1041.01,D8*$G$5))</f>
        <v>698.88</v>
      </c>
      <c r="H8" s="577">
        <f>IF(D8="","",D8*$H$5)</f>
        <v>2878.72</v>
      </c>
      <c r="I8" s="580">
        <f>IF(D8="","",D8*$I$5)</f>
        <v>624</v>
      </c>
      <c r="J8" s="577">
        <f>IF(D8="","",D8*$J$5)</f>
        <v>1780.48</v>
      </c>
      <c r="K8" s="1002">
        <v>5200</v>
      </c>
      <c r="L8" s="581">
        <v>360</v>
      </c>
      <c r="M8" s="580">
        <f t="shared" si="2"/>
        <v>55513.279999999999</v>
      </c>
      <c r="N8" s="1000">
        <v>10</v>
      </c>
      <c r="O8" s="1000">
        <f t="shared" ref="O8:O18" si="9">10+4+2</f>
        <v>16</v>
      </c>
      <c r="P8" s="568"/>
      <c r="Q8" s="569"/>
      <c r="R8" s="569"/>
      <c r="S8" s="569"/>
      <c r="T8" s="569"/>
      <c r="U8" s="569"/>
      <c r="V8" s="664">
        <f t="shared" si="0"/>
        <v>62.4</v>
      </c>
      <c r="W8" s="570">
        <f t="shared" si="3"/>
        <v>245.44</v>
      </c>
      <c r="X8" s="570">
        <f t="shared" si="4"/>
        <v>515.83999999999992</v>
      </c>
      <c r="Y8" s="570">
        <f t="shared" si="5"/>
        <v>1564.16</v>
      </c>
      <c r="Z8" s="571">
        <f t="shared" si="6"/>
        <v>0.752</v>
      </c>
      <c r="AA8" s="572">
        <f>+M8/Y8</f>
        <v>35.490793780687397</v>
      </c>
      <c r="AB8" s="665">
        <f t="shared" si="7"/>
        <v>0.77453968903436987</v>
      </c>
    </row>
    <row r="9" spans="2:28" s="573" customFormat="1" ht="24.95" customHeight="1" x14ac:dyDescent="0.25">
      <c r="B9" s="575" t="s">
        <v>152</v>
      </c>
      <c r="C9" s="576">
        <v>24</v>
      </c>
      <c r="D9" s="577">
        <f>IF(C9="","",C9*2080)</f>
        <v>49920</v>
      </c>
      <c r="E9" s="578"/>
      <c r="F9" s="577">
        <f t="shared" si="1"/>
        <v>2797.2</v>
      </c>
      <c r="G9" s="579">
        <f t="shared" si="8"/>
        <v>838.65599999999995</v>
      </c>
      <c r="H9" s="577">
        <f>IF(D9="","",D9*$H$5)</f>
        <v>3454.4639999999999</v>
      </c>
      <c r="I9" s="580">
        <f>IF(D9="","",D9*$I$5)</f>
        <v>748.8</v>
      </c>
      <c r="J9" s="577">
        <f>IF(D9="","",D9*$J$5)</f>
        <v>2136.576</v>
      </c>
      <c r="K9" s="907">
        <v>5200</v>
      </c>
      <c r="L9" s="581">
        <v>360</v>
      </c>
      <c r="M9" s="580">
        <f t="shared" si="2"/>
        <v>65455.696000000004</v>
      </c>
      <c r="N9" s="1000">
        <v>20</v>
      </c>
      <c r="O9" s="1000">
        <f t="shared" si="9"/>
        <v>16</v>
      </c>
      <c r="P9" s="568"/>
      <c r="Q9" s="569"/>
      <c r="R9" s="569"/>
      <c r="S9" s="569"/>
      <c r="T9" s="569"/>
      <c r="U9" s="569"/>
      <c r="V9" s="664">
        <f t="shared" si="0"/>
        <v>62.4</v>
      </c>
      <c r="W9" s="570">
        <f t="shared" si="3"/>
        <v>245.44</v>
      </c>
      <c r="X9" s="570">
        <f t="shared" si="4"/>
        <v>595.83999999999992</v>
      </c>
      <c r="Y9" s="570">
        <f t="shared" si="5"/>
        <v>1484.16</v>
      </c>
      <c r="Z9" s="571">
        <f t="shared" si="6"/>
        <v>0.71353846153846157</v>
      </c>
      <c r="AA9" s="572">
        <f t="shared" ref="AA9:AA13" si="10">+M9/Y9</f>
        <v>44.102856834842605</v>
      </c>
      <c r="AB9" s="665">
        <f t="shared" si="7"/>
        <v>0.83761903478510846</v>
      </c>
    </row>
    <row r="10" spans="2:28" s="573" customFormat="1" ht="24.95" customHeight="1" x14ac:dyDescent="0.25">
      <c r="B10" s="575" t="s">
        <v>274</v>
      </c>
      <c r="C10" s="576">
        <v>25</v>
      </c>
      <c r="D10" s="577">
        <f>IF(C10="","",C10*2080)</f>
        <v>52000</v>
      </c>
      <c r="E10" s="578"/>
      <c r="F10" s="577">
        <f t="shared" si="1"/>
        <v>2797.2</v>
      </c>
      <c r="G10" s="579">
        <f t="shared" si="8"/>
        <v>873.59999999999991</v>
      </c>
      <c r="H10" s="577">
        <f>IF(D10="","",D10*$H$5)</f>
        <v>3598.4</v>
      </c>
      <c r="I10" s="580">
        <f>IF(D10="","",D10*$I$5)</f>
        <v>780</v>
      </c>
      <c r="J10" s="577">
        <f>IF(D10="","",D10*$J$5)</f>
        <v>2225.6</v>
      </c>
      <c r="K10" s="907">
        <v>0</v>
      </c>
      <c r="L10" s="581">
        <f>13100+200+160</f>
        <v>13460</v>
      </c>
      <c r="M10" s="580">
        <f t="shared" si="2"/>
        <v>75734.799999999988</v>
      </c>
      <c r="N10" s="1000">
        <v>15</v>
      </c>
      <c r="O10" s="1000">
        <f t="shared" si="9"/>
        <v>16</v>
      </c>
      <c r="P10" s="568"/>
      <c r="Q10" s="569"/>
      <c r="R10" s="569"/>
      <c r="S10" s="569"/>
      <c r="T10" s="569"/>
      <c r="U10" s="569"/>
      <c r="V10" s="664">
        <f>IF(D10="","",$V$5*2080)</f>
        <v>62.4</v>
      </c>
      <c r="W10" s="570">
        <f>IF(D10="","",$W$5*2080)</f>
        <v>245.44</v>
      </c>
      <c r="X10" s="570">
        <f t="shared" si="4"/>
        <v>555.83999999999992</v>
      </c>
      <c r="Y10" s="570">
        <f t="shared" si="5"/>
        <v>1524.16</v>
      </c>
      <c r="Z10" s="571">
        <f t="shared" si="6"/>
        <v>0.73276923076923084</v>
      </c>
      <c r="AA10" s="572">
        <f>+M10/Y10</f>
        <v>49.68953390720133</v>
      </c>
      <c r="AB10" s="665">
        <f t="shared" si="7"/>
        <v>0.9875813562880531</v>
      </c>
    </row>
    <row r="11" spans="2:28" s="573" customFormat="1" ht="24.95" customHeight="1" x14ac:dyDescent="0.25">
      <c r="B11" s="575" t="s">
        <v>192</v>
      </c>
      <c r="C11" s="576">
        <v>30</v>
      </c>
      <c r="D11" s="577">
        <f t="shared" ref="D11:D12" si="11">IF(C11="","",C11*2080)</f>
        <v>62400</v>
      </c>
      <c r="E11" s="578"/>
      <c r="F11" s="577">
        <f t="shared" si="1"/>
        <v>2797.2</v>
      </c>
      <c r="G11" s="579">
        <f t="shared" si="8"/>
        <v>1041.01</v>
      </c>
      <c r="H11" s="577">
        <f t="shared" ref="H11:H18" si="12">IF(D11="","",D11*$H$5)</f>
        <v>4318.08</v>
      </c>
      <c r="I11" s="580">
        <f t="shared" ref="I11:I18" si="13">IF(D11="","",D11*$I$5)</f>
        <v>936</v>
      </c>
      <c r="J11" s="577">
        <f t="shared" ref="J11:J18" si="14">IF(D11="","",D11*$J$5)</f>
        <v>2670.72</v>
      </c>
      <c r="K11" s="907">
        <f>8.38*52</f>
        <v>435.76000000000005</v>
      </c>
      <c r="L11" s="581">
        <v>1000</v>
      </c>
      <c r="M11" s="580">
        <f t="shared" si="2"/>
        <v>75598.76999999999</v>
      </c>
      <c r="N11" s="1000">
        <v>20</v>
      </c>
      <c r="O11" s="1000">
        <f t="shared" si="9"/>
        <v>16</v>
      </c>
      <c r="P11" s="568"/>
      <c r="Q11" s="569"/>
      <c r="R11" s="569"/>
      <c r="S11" s="569"/>
      <c r="T11" s="569"/>
      <c r="U11" s="569"/>
      <c r="V11" s="664">
        <f t="shared" si="0"/>
        <v>62.4</v>
      </c>
      <c r="W11" s="570">
        <f t="shared" si="3"/>
        <v>245.44</v>
      </c>
      <c r="X11" s="570">
        <f>IF(D11="","",(8*(N11+O11)+V11+W11))</f>
        <v>595.83999999999992</v>
      </c>
      <c r="Y11" s="570">
        <f>IF(D11="","",2080-X11)</f>
        <v>1484.16</v>
      </c>
      <c r="Z11" s="571">
        <f t="shared" si="6"/>
        <v>0.71353846153846157</v>
      </c>
      <c r="AA11" s="572">
        <f>+M11/Y11</f>
        <v>50.937075517464415</v>
      </c>
      <c r="AB11" s="665">
        <f t="shared" ref="AB11" si="15">IF(D11="","",(AA11/C11)-1)</f>
        <v>0.6979025172488138</v>
      </c>
    </row>
    <row r="12" spans="2:28" s="573" customFormat="1" ht="24.95" customHeight="1" x14ac:dyDescent="0.25">
      <c r="B12" s="575"/>
      <c r="C12" s="576">
        <v>0</v>
      </c>
      <c r="D12" s="577">
        <f t="shared" si="11"/>
        <v>0</v>
      </c>
      <c r="E12" s="578"/>
      <c r="F12" s="577">
        <f t="shared" si="1"/>
        <v>0</v>
      </c>
      <c r="G12" s="579">
        <f t="shared" si="8"/>
        <v>0</v>
      </c>
      <c r="H12" s="577">
        <f t="shared" si="12"/>
        <v>0</v>
      </c>
      <c r="I12" s="580">
        <f t="shared" si="13"/>
        <v>0</v>
      </c>
      <c r="J12" s="577">
        <f t="shared" si="14"/>
        <v>0</v>
      </c>
      <c r="K12" s="1002">
        <v>0</v>
      </c>
      <c r="L12" s="581"/>
      <c r="M12" s="580">
        <f t="shared" si="2"/>
        <v>0</v>
      </c>
      <c r="N12" s="1000">
        <v>10</v>
      </c>
      <c r="O12" s="1000">
        <f t="shared" si="9"/>
        <v>16</v>
      </c>
      <c r="P12" s="568"/>
      <c r="Q12" s="569"/>
      <c r="R12" s="569"/>
      <c r="S12" s="569"/>
      <c r="T12" s="569"/>
      <c r="U12" s="569"/>
      <c r="V12" s="664">
        <f t="shared" si="0"/>
        <v>62.4</v>
      </c>
      <c r="W12" s="570">
        <f t="shared" si="3"/>
        <v>245.44</v>
      </c>
      <c r="X12" s="646">
        <f>IF(D12="","",(8*(N12+O12)+V12+W12))</f>
        <v>515.83999999999992</v>
      </c>
      <c r="Y12" s="570">
        <f t="shared" si="5"/>
        <v>1564.16</v>
      </c>
      <c r="Z12" s="647">
        <f>IF(D12="","",Y12/2080)</f>
        <v>0.752</v>
      </c>
      <c r="AA12" s="572">
        <f t="shared" si="10"/>
        <v>0</v>
      </c>
      <c r="AB12" s="665" t="e">
        <f>IF(D12="","",(AA12/C12)-1)</f>
        <v>#DIV/0!</v>
      </c>
    </row>
    <row r="13" spans="2:28" s="573" customFormat="1" ht="24.95" customHeight="1" x14ac:dyDescent="0.25">
      <c r="B13" s="582" t="s">
        <v>12</v>
      </c>
      <c r="C13" s="583">
        <v>35</v>
      </c>
      <c r="D13" s="584">
        <f t="shared" ref="D13:D18" si="16">IF(C13="","",C13*2080)</f>
        <v>72800</v>
      </c>
      <c r="E13" s="585"/>
      <c r="F13" s="577">
        <f t="shared" si="1"/>
        <v>2797.2</v>
      </c>
      <c r="G13" s="579">
        <f>IF(D13="","",IF(D13*$G$5&gt;1041.01,1041.01,D13*$G$5))</f>
        <v>1041.01</v>
      </c>
      <c r="H13" s="584">
        <f t="shared" si="12"/>
        <v>5037.76</v>
      </c>
      <c r="I13" s="586">
        <f t="shared" si="13"/>
        <v>1092</v>
      </c>
      <c r="J13" s="584">
        <f t="shared" si="14"/>
        <v>3115.8399999999997</v>
      </c>
      <c r="K13" s="909">
        <v>5805.8</v>
      </c>
      <c r="L13" s="587">
        <v>360</v>
      </c>
      <c r="M13" s="586">
        <f t="shared" si="2"/>
        <v>92049.609999999986</v>
      </c>
      <c r="N13" s="1001">
        <v>20</v>
      </c>
      <c r="O13" s="1000">
        <f t="shared" si="9"/>
        <v>16</v>
      </c>
      <c r="P13" s="568"/>
      <c r="Q13" s="569"/>
      <c r="R13" s="569"/>
      <c r="S13" s="569"/>
      <c r="T13" s="569"/>
      <c r="U13" s="569"/>
      <c r="V13" s="664">
        <f t="shared" si="0"/>
        <v>62.4</v>
      </c>
      <c r="W13" s="570">
        <f t="shared" si="3"/>
        <v>245.44</v>
      </c>
      <c r="X13" s="570">
        <f>IF(D13="","",(8*(N13+O13)+V13+W13))</f>
        <v>595.83999999999992</v>
      </c>
      <c r="Y13" s="570">
        <f t="shared" si="5"/>
        <v>1484.16</v>
      </c>
      <c r="Z13" s="571">
        <f>IF(D13="","",Y13/2080)</f>
        <v>0.71353846153846157</v>
      </c>
      <c r="AA13" s="902">
        <f t="shared" si="10"/>
        <v>62.021352145321245</v>
      </c>
      <c r="AB13" s="665">
        <f t="shared" si="7"/>
        <v>0.77203863272346407</v>
      </c>
    </row>
    <row r="14" spans="2:28" s="573" customFormat="1" ht="24.95" customHeight="1" x14ac:dyDescent="0.25">
      <c r="B14" s="649" t="s">
        <v>383</v>
      </c>
      <c r="C14" s="650">
        <v>29</v>
      </c>
      <c r="D14" s="651">
        <f t="shared" si="16"/>
        <v>60320</v>
      </c>
      <c r="E14" s="650"/>
      <c r="F14" s="577">
        <f t="shared" si="1"/>
        <v>2797.2</v>
      </c>
      <c r="G14" s="579">
        <f t="shared" si="8"/>
        <v>1013.376</v>
      </c>
      <c r="H14" s="651">
        <f t="shared" si="12"/>
        <v>4174.1440000000002</v>
      </c>
      <c r="I14" s="651">
        <f t="shared" si="13"/>
        <v>904.8</v>
      </c>
      <c r="J14" s="651">
        <f t="shared" si="14"/>
        <v>2581.6959999999999</v>
      </c>
      <c r="K14" s="909">
        <v>0</v>
      </c>
      <c r="L14" s="587"/>
      <c r="M14" s="586">
        <f t="shared" si="2"/>
        <v>71791.216</v>
      </c>
      <c r="N14" s="1001">
        <v>20</v>
      </c>
      <c r="O14" s="1000">
        <f t="shared" si="9"/>
        <v>16</v>
      </c>
      <c r="P14" s="568"/>
      <c r="Q14" s="569"/>
      <c r="R14" s="569"/>
      <c r="S14" s="569"/>
      <c r="T14" s="569"/>
      <c r="U14" s="569"/>
      <c r="V14" s="664">
        <f t="shared" ref="V14:V19" si="17">IF(D14="","",$V$5*2080)</f>
        <v>62.4</v>
      </c>
      <c r="W14" s="570">
        <f t="shared" ref="W14:W19" si="18">IF(D14="","",$W$5*2080)</f>
        <v>245.44</v>
      </c>
      <c r="X14" s="570">
        <f t="shared" ref="X14:X19" si="19">IF(D14="","",(8*(N14+O14)+V14+W14))</f>
        <v>595.83999999999992</v>
      </c>
      <c r="Y14" s="570">
        <f t="shared" ref="Y14:Y19" si="20">IF(D14="","",2080-X14)</f>
        <v>1484.16</v>
      </c>
      <c r="Z14" s="571">
        <f t="shared" ref="Z14:Z19" si="21">IF(D14="","",Y14/2080)</f>
        <v>0.71353846153846157</v>
      </c>
      <c r="AA14" s="902">
        <f t="shared" ref="AA14:AA15" si="22">+M14/Y14</f>
        <v>48.371614920224232</v>
      </c>
      <c r="AB14" s="665">
        <f t="shared" ref="AB14:AB19" si="23">IF(D14="","",(AA14/C14)-1)</f>
        <v>0.66798672138704251</v>
      </c>
    </row>
    <row r="15" spans="2:28" s="573" customFormat="1" ht="24.95" customHeight="1" x14ac:dyDescent="0.25">
      <c r="B15" s="649" t="s">
        <v>332</v>
      </c>
      <c r="C15" s="650">
        <v>14.18</v>
      </c>
      <c r="D15" s="651">
        <f t="shared" si="16"/>
        <v>29494.399999999998</v>
      </c>
      <c r="E15" s="650"/>
      <c r="F15" s="577">
        <f t="shared" si="1"/>
        <v>1681.1807999999999</v>
      </c>
      <c r="G15" s="579">
        <f t="shared" si="8"/>
        <v>495.50591999999995</v>
      </c>
      <c r="H15" s="651">
        <f t="shared" si="12"/>
        <v>2041.0124799999999</v>
      </c>
      <c r="I15" s="651">
        <f t="shared" si="13"/>
        <v>442.41599999999994</v>
      </c>
      <c r="J15" s="651">
        <f t="shared" si="14"/>
        <v>1262.3603199999998</v>
      </c>
      <c r="K15" s="909">
        <v>5200</v>
      </c>
      <c r="L15" s="587">
        <v>360</v>
      </c>
      <c r="M15" s="586">
        <f>IF(D15="","",SUM(D15:L15))</f>
        <v>40976.875519999994</v>
      </c>
      <c r="N15" s="1001">
        <v>10</v>
      </c>
      <c r="O15" s="1000">
        <f t="shared" si="9"/>
        <v>16</v>
      </c>
      <c r="P15" s="568"/>
      <c r="Q15" s="569"/>
      <c r="R15" s="569"/>
      <c r="S15" s="569"/>
      <c r="T15" s="569"/>
      <c r="U15" s="569"/>
      <c r="V15" s="664">
        <f t="shared" si="17"/>
        <v>62.4</v>
      </c>
      <c r="W15" s="570">
        <f t="shared" si="18"/>
        <v>245.44</v>
      </c>
      <c r="X15" s="570">
        <f t="shared" si="19"/>
        <v>515.83999999999992</v>
      </c>
      <c r="Y15" s="570">
        <f t="shared" si="20"/>
        <v>1564.16</v>
      </c>
      <c r="Z15" s="571">
        <f t="shared" si="21"/>
        <v>0.752</v>
      </c>
      <c r="AA15" s="902">
        <f t="shared" si="22"/>
        <v>26.197368248772499</v>
      </c>
      <c r="AB15" s="665">
        <f>IF(D15="","",(AA15/C15)-1)</f>
        <v>0.84748718256505629</v>
      </c>
    </row>
    <row r="16" spans="2:28" s="573" customFormat="1" ht="24.95" customHeight="1" x14ac:dyDescent="0.25">
      <c r="B16" s="649" t="s">
        <v>381</v>
      </c>
      <c r="C16" s="650">
        <v>20</v>
      </c>
      <c r="D16" s="651">
        <f t="shared" si="16"/>
        <v>41600</v>
      </c>
      <c r="E16" s="650"/>
      <c r="F16" s="651">
        <f t="shared" si="1"/>
        <v>2371.2000000000003</v>
      </c>
      <c r="G16" s="651">
        <f t="shared" si="8"/>
        <v>698.88</v>
      </c>
      <c r="H16" s="651">
        <f t="shared" si="12"/>
        <v>2878.72</v>
      </c>
      <c r="I16" s="651">
        <f t="shared" si="13"/>
        <v>624</v>
      </c>
      <c r="J16" s="651">
        <f t="shared" si="14"/>
        <v>1780.48</v>
      </c>
      <c r="K16" s="1003">
        <v>5200</v>
      </c>
      <c r="L16" s="587">
        <v>360</v>
      </c>
      <c r="M16" s="586">
        <f t="shared" si="2"/>
        <v>55513.279999999999</v>
      </c>
      <c r="N16" s="588">
        <v>10</v>
      </c>
      <c r="O16" s="1000">
        <f t="shared" si="9"/>
        <v>16</v>
      </c>
      <c r="P16" s="568"/>
      <c r="Q16" s="569"/>
      <c r="R16" s="569"/>
      <c r="S16" s="569"/>
      <c r="T16" s="569"/>
      <c r="U16" s="569"/>
      <c r="V16" s="664">
        <f t="shared" si="17"/>
        <v>62.4</v>
      </c>
      <c r="W16" s="570">
        <f t="shared" si="18"/>
        <v>245.44</v>
      </c>
      <c r="X16" s="570">
        <f t="shared" si="19"/>
        <v>515.83999999999992</v>
      </c>
      <c r="Y16" s="570">
        <f t="shared" si="20"/>
        <v>1564.16</v>
      </c>
      <c r="Z16" s="571">
        <f t="shared" si="21"/>
        <v>0.752</v>
      </c>
      <c r="AA16" s="902">
        <f>+M16/Y16</f>
        <v>35.490793780687397</v>
      </c>
      <c r="AB16" s="665">
        <f t="shared" si="23"/>
        <v>0.77453968903436987</v>
      </c>
    </row>
    <row r="17" spans="2:28" s="573" customFormat="1" ht="24.95" customHeight="1" x14ac:dyDescent="0.25">
      <c r="B17" s="649" t="s">
        <v>382</v>
      </c>
      <c r="C17" s="650">
        <v>20</v>
      </c>
      <c r="D17" s="651">
        <f t="shared" si="16"/>
        <v>41600</v>
      </c>
      <c r="E17" s="650"/>
      <c r="F17" s="651">
        <f t="shared" si="1"/>
        <v>2371.2000000000003</v>
      </c>
      <c r="G17" s="651">
        <f t="shared" si="8"/>
        <v>698.88</v>
      </c>
      <c r="H17" s="651">
        <f t="shared" si="12"/>
        <v>2878.72</v>
      </c>
      <c r="I17" s="651">
        <f t="shared" si="13"/>
        <v>624</v>
      </c>
      <c r="J17" s="651">
        <f t="shared" si="14"/>
        <v>1780.48</v>
      </c>
      <c r="K17" s="650">
        <v>5200</v>
      </c>
      <c r="L17" s="650">
        <v>360</v>
      </c>
      <c r="M17" s="586">
        <f t="shared" si="2"/>
        <v>55513.279999999999</v>
      </c>
      <c r="N17" s="588">
        <v>10</v>
      </c>
      <c r="O17" s="1000">
        <f t="shared" si="9"/>
        <v>16</v>
      </c>
      <c r="P17" s="568"/>
      <c r="Q17" s="569"/>
      <c r="R17" s="569"/>
      <c r="S17" s="569"/>
      <c r="T17" s="569"/>
      <c r="U17" s="569"/>
      <c r="V17" s="664">
        <f t="shared" si="17"/>
        <v>62.4</v>
      </c>
      <c r="W17" s="570">
        <f t="shared" si="18"/>
        <v>245.44</v>
      </c>
      <c r="X17" s="570">
        <f t="shared" si="19"/>
        <v>515.83999999999992</v>
      </c>
      <c r="Y17" s="570">
        <f t="shared" si="20"/>
        <v>1564.16</v>
      </c>
      <c r="Z17" s="571">
        <f t="shared" si="21"/>
        <v>0.752</v>
      </c>
      <c r="AA17" s="902">
        <f>+M17/Y17</f>
        <v>35.490793780687397</v>
      </c>
      <c r="AB17" s="665">
        <f t="shared" si="23"/>
        <v>0.77453968903436987</v>
      </c>
    </row>
    <row r="18" spans="2:28" s="573" customFormat="1" ht="24.95" customHeight="1" x14ac:dyDescent="0.25">
      <c r="B18" s="649" t="s">
        <v>388</v>
      </c>
      <c r="C18" s="650">
        <v>22</v>
      </c>
      <c r="D18" s="651">
        <f t="shared" si="16"/>
        <v>45760</v>
      </c>
      <c r="E18" s="650"/>
      <c r="F18" s="651">
        <f t="shared" si="1"/>
        <v>2608.3200000000002</v>
      </c>
      <c r="G18" s="651">
        <f t="shared" si="8"/>
        <v>768.76799999999992</v>
      </c>
      <c r="H18" s="651">
        <f t="shared" si="12"/>
        <v>3166.5920000000001</v>
      </c>
      <c r="I18" s="651">
        <f t="shared" si="13"/>
        <v>686.4</v>
      </c>
      <c r="J18" s="651">
        <f t="shared" si="14"/>
        <v>1958.5279999999998</v>
      </c>
      <c r="K18" s="650">
        <v>5200</v>
      </c>
      <c r="L18" s="650">
        <v>360</v>
      </c>
      <c r="M18" s="586">
        <f t="shared" si="2"/>
        <v>60508.607999999993</v>
      </c>
      <c r="N18" s="588">
        <v>10</v>
      </c>
      <c r="O18" s="1000">
        <f t="shared" si="9"/>
        <v>16</v>
      </c>
      <c r="P18" s="568"/>
      <c r="Q18" s="569"/>
      <c r="R18" s="569"/>
      <c r="S18" s="569"/>
      <c r="T18" s="569"/>
      <c r="U18" s="569"/>
      <c r="V18" s="664">
        <f t="shared" si="17"/>
        <v>62.4</v>
      </c>
      <c r="W18" s="570">
        <f t="shared" si="18"/>
        <v>245.44</v>
      </c>
      <c r="X18" s="570">
        <f t="shared" si="19"/>
        <v>515.83999999999992</v>
      </c>
      <c r="Y18" s="570">
        <f t="shared" si="20"/>
        <v>1564.16</v>
      </c>
      <c r="Z18" s="571">
        <f t="shared" si="21"/>
        <v>0.752</v>
      </c>
      <c r="AA18" s="902">
        <f>+M18/Y18</f>
        <v>38.684410801963985</v>
      </c>
      <c r="AB18" s="665">
        <f t="shared" si="23"/>
        <v>0.75838230918018112</v>
      </c>
    </row>
    <row r="19" spans="2:28" s="573" customFormat="1" ht="24.95" customHeight="1" thickBot="1" x14ac:dyDescent="0.3">
      <c r="B19" s="649"/>
      <c r="C19" s="650"/>
      <c r="D19" s="651"/>
      <c r="E19" s="650"/>
      <c r="F19" s="651"/>
      <c r="G19" s="651"/>
      <c r="H19" s="651"/>
      <c r="I19" s="651"/>
      <c r="J19" s="651"/>
      <c r="K19" s="650"/>
      <c r="L19" s="650"/>
      <c r="M19" s="586" t="str">
        <f t="shared" si="2"/>
        <v/>
      </c>
      <c r="N19" s="655"/>
      <c r="O19" s="670"/>
      <c r="P19" s="574"/>
      <c r="Q19" s="574"/>
      <c r="R19" s="574"/>
      <c r="S19" s="574"/>
      <c r="T19" s="574"/>
      <c r="U19" s="569"/>
      <c r="V19" s="666" t="str">
        <f t="shared" si="17"/>
        <v/>
      </c>
      <c r="W19" s="667" t="str">
        <f t="shared" si="18"/>
        <v/>
      </c>
      <c r="X19" s="667" t="str">
        <f t="shared" si="19"/>
        <v/>
      </c>
      <c r="Y19" s="667" t="str">
        <f t="shared" si="20"/>
        <v/>
      </c>
      <c r="Z19" s="668" t="str">
        <f t="shared" si="21"/>
        <v/>
      </c>
      <c r="AA19" s="668"/>
      <c r="AB19" s="669" t="str">
        <f t="shared" si="23"/>
        <v/>
      </c>
    </row>
    <row r="20" spans="2:28" s="328" customFormat="1" ht="24.95" customHeight="1" thickBot="1" x14ac:dyDescent="0.3">
      <c r="B20" s="648"/>
      <c r="C20" s="326">
        <f>AVERAGE(C6:C19)</f>
        <v>21.475384615384616</v>
      </c>
      <c r="D20" s="326"/>
      <c r="E20" s="326"/>
      <c r="F20" s="326"/>
      <c r="G20" s="326"/>
      <c r="H20" s="326"/>
      <c r="I20" s="326"/>
      <c r="J20" s="326"/>
      <c r="K20" s="326"/>
      <c r="L20" s="326"/>
      <c r="M20" s="905">
        <f>SUM(M6:M19)</f>
        <v>749561.97552000009</v>
      </c>
      <c r="N20" s="905">
        <f>AVERAGE(M6:M19)</f>
        <v>57658.613501538472</v>
      </c>
      <c r="O20" s="901">
        <f>AVERAGE(N6:N19)</f>
        <v>14.23076923076923</v>
      </c>
      <c r="P20" s="901">
        <f>AVERAGE(O6:O19)</f>
        <v>15.384615384615385</v>
      </c>
      <c r="Q20" s="326"/>
      <c r="R20" s="326"/>
      <c r="S20" s="326"/>
      <c r="T20" s="326"/>
      <c r="U20" s="327"/>
      <c r="V20" s="660">
        <f>AVERAGE(V6:V19)</f>
        <v>62.399999999999984</v>
      </c>
      <c r="W20" s="660">
        <f>AVERAGE(W6:W19)</f>
        <v>245.44000000000003</v>
      </c>
      <c r="X20" s="660">
        <f>AVERAGE(X6:X19)</f>
        <v>544.76307692307705</v>
      </c>
      <c r="Y20" s="660">
        <f>SUM(Y6:Y19)</f>
        <v>19958.080000000002</v>
      </c>
      <c r="Z20" s="327">
        <f>AVERAGE(Z6:Z19)</f>
        <v>0.73809467455621314</v>
      </c>
      <c r="AA20" s="327">
        <f>M20/Y20</f>
        <v>37.556817866247656</v>
      </c>
      <c r="AB20" s="661" t="e">
        <f>AVERAGE(AB6:AB19)</f>
        <v>#DIV/0!</v>
      </c>
    </row>
    <row r="21" spans="2:28" ht="24.95" customHeight="1" x14ac:dyDescent="0.25">
      <c r="B21" s="329"/>
      <c r="C21" s="330"/>
      <c r="D21" s="331"/>
      <c r="E21" s="332"/>
      <c r="F21" s="331"/>
      <c r="G21" s="333"/>
      <c r="H21" s="331"/>
      <c r="I21" s="331"/>
      <c r="J21" s="334"/>
      <c r="K21" s="999">
        <v>14.7</v>
      </c>
      <c r="L21" s="332"/>
      <c r="M21" s="335"/>
      <c r="N21" s="334"/>
      <c r="O21" s="336"/>
      <c r="P21" s="336"/>
      <c r="Q21" s="337"/>
      <c r="R21" s="337"/>
      <c r="S21" s="337"/>
      <c r="T21" s="337"/>
      <c r="U21" s="337"/>
      <c r="V21" s="338"/>
      <c r="W21" s="339"/>
      <c r="X21" s="340"/>
      <c r="Y21" s="341"/>
      <c r="Z21" s="342"/>
      <c r="AA21" s="343"/>
    </row>
    <row r="22" spans="2:28" ht="43.5" customHeight="1" x14ac:dyDescent="0.25">
      <c r="B22" s="344" t="s">
        <v>153</v>
      </c>
      <c r="C22" s="345" t="s">
        <v>154</v>
      </c>
      <c r="D22" s="345" t="s">
        <v>155</v>
      </c>
      <c r="E22" s="345" t="s">
        <v>156</v>
      </c>
      <c r="F22" s="345" t="s">
        <v>346</v>
      </c>
      <c r="G22" s="345" t="s">
        <v>134</v>
      </c>
      <c r="H22" s="345" t="s">
        <v>157</v>
      </c>
      <c r="I22" s="345" t="s">
        <v>136</v>
      </c>
      <c r="J22" s="345" t="s">
        <v>158</v>
      </c>
      <c r="K22" s="346" t="s">
        <v>159</v>
      </c>
      <c r="L22" s="346" t="s">
        <v>347</v>
      </c>
      <c r="M22" s="345" t="s">
        <v>160</v>
      </c>
      <c r="N22" s="347"/>
      <c r="O22" s="345" t="s">
        <v>161</v>
      </c>
      <c r="P22" s="348"/>
      <c r="Q22" s="349" t="s">
        <v>162</v>
      </c>
      <c r="R22" s="345" t="s">
        <v>163</v>
      </c>
      <c r="S22" s="345" t="s">
        <v>164</v>
      </c>
      <c r="T22" s="345" t="s">
        <v>165</v>
      </c>
      <c r="U22" s="345" t="s">
        <v>166</v>
      </c>
      <c r="V22" s="350" t="s">
        <v>167</v>
      </c>
      <c r="W22" s="919">
        <v>0.11799999999999999</v>
      </c>
      <c r="X22" s="920" t="s">
        <v>146</v>
      </c>
      <c r="Y22" s="658" t="s">
        <v>147</v>
      </c>
      <c r="Z22" s="350" t="s">
        <v>168</v>
      </c>
      <c r="AA22" s="351" t="s">
        <v>169</v>
      </c>
      <c r="AB22" s="352"/>
    </row>
    <row r="23" spans="2:28" ht="24.95" customHeight="1" x14ac:dyDescent="0.25">
      <c r="B23" s="316" t="s">
        <v>389</v>
      </c>
      <c r="C23" s="353">
        <v>24.5</v>
      </c>
      <c r="D23" s="354">
        <v>27.69</v>
      </c>
      <c r="E23" s="355">
        <v>0.03</v>
      </c>
      <c r="F23" s="356">
        <v>0.21</v>
      </c>
      <c r="G23" s="355">
        <v>1.62</v>
      </c>
      <c r="H23" s="355">
        <v>0.47</v>
      </c>
      <c r="I23" s="355">
        <v>0.19</v>
      </c>
      <c r="J23" s="355">
        <v>1.29</v>
      </c>
      <c r="K23" s="354">
        <f>K21/100*D23</f>
        <v>4.07043</v>
      </c>
      <c r="L23" s="1142">
        <v>1.5</v>
      </c>
      <c r="M23" s="358">
        <v>5.55</v>
      </c>
      <c r="N23" s="359"/>
      <c r="O23" s="355">
        <v>3.19</v>
      </c>
      <c r="P23" s="360"/>
      <c r="Q23" s="361">
        <v>0.17</v>
      </c>
      <c r="R23" s="362">
        <v>1.3</v>
      </c>
      <c r="S23" s="362">
        <v>0.03</v>
      </c>
      <c r="T23" s="363">
        <v>0.189</v>
      </c>
      <c r="U23" s="357">
        <f>SUM(D23:T23)-O23</f>
        <v>44.309429999999999</v>
      </c>
      <c r="V23" s="664">
        <f>IF(D23="","",$V$5*2080)</f>
        <v>62.4</v>
      </c>
      <c r="W23" s="364">
        <f>IF(D23="","",$W$22*2080)</f>
        <v>245.44</v>
      </c>
      <c r="X23" s="365">
        <f>IF(D23="","",(V23+W23))</f>
        <v>307.83999999999997</v>
      </c>
      <c r="Y23" s="365">
        <f>IF(D23="","",2080-X23)</f>
        <v>1772.16</v>
      </c>
      <c r="Z23" s="320">
        <f>IF(Y23="","",+Y23/2080)</f>
        <v>0.85200000000000009</v>
      </c>
      <c r="AA23" s="366">
        <f>+U23/Z23</f>
        <v>52.006373239436613</v>
      </c>
      <c r="AB23" s="367">
        <f>IF(D23="","",(AA23/D23)-1)</f>
        <v>0.87816443623823082</v>
      </c>
    </row>
    <row r="24" spans="2:28" ht="24.95" customHeight="1" x14ac:dyDescent="0.25">
      <c r="B24" s="316" t="s">
        <v>170</v>
      </c>
      <c r="C24" s="1143">
        <v>40.840000000000003</v>
      </c>
      <c r="D24" s="1142">
        <f>C24+O24</f>
        <v>46.149200000000008</v>
      </c>
      <c r="E24" s="1144">
        <v>0.03</v>
      </c>
      <c r="F24" s="1146">
        <f>D24*0.0075</f>
        <v>0.34611900000000007</v>
      </c>
      <c r="G24" s="1144">
        <v>2.67</v>
      </c>
      <c r="H24" s="1144">
        <v>0.78</v>
      </c>
      <c r="I24" s="1144">
        <v>0.32</v>
      </c>
      <c r="J24" s="1144">
        <v>2.0699999999999998</v>
      </c>
      <c r="K24" s="1148">
        <f>K21/100*D24</f>
        <v>6.7839324000000003</v>
      </c>
      <c r="L24" s="1142">
        <v>1.5</v>
      </c>
      <c r="M24" s="1145">
        <v>6.2949999999999999</v>
      </c>
      <c r="N24" s="359"/>
      <c r="O24" s="1144">
        <f t="shared" ref="O24" si="24">C24*0.13</f>
        <v>5.3092000000000006</v>
      </c>
      <c r="P24" s="360"/>
      <c r="Q24" s="1147">
        <v>0.17</v>
      </c>
      <c r="R24" s="1144">
        <v>1.3</v>
      </c>
      <c r="S24" s="1144">
        <v>0.03</v>
      </c>
      <c r="T24" s="1145">
        <v>0.189</v>
      </c>
      <c r="U24" s="357">
        <f>SUM(D24:T24)-O24</f>
        <v>68.633251400000006</v>
      </c>
      <c r="V24" s="664">
        <f>IF(D24="","",$V$5*2080)</f>
        <v>62.4</v>
      </c>
      <c r="W24" s="364">
        <f>IF(D24="","",$W$22*2080)</f>
        <v>245.44</v>
      </c>
      <c r="X24" s="365">
        <f>IF(D24="","",(V24+W24))</f>
        <v>307.83999999999997</v>
      </c>
      <c r="Y24" s="365">
        <f>IF(D24="","",2080-X24)</f>
        <v>1772.16</v>
      </c>
      <c r="Z24" s="320">
        <f>IF(Y24="","",+Y24/2080)</f>
        <v>0.85200000000000009</v>
      </c>
      <c r="AA24" s="366">
        <f>+U24/Z24</f>
        <v>80.555459389671356</v>
      </c>
      <c r="AB24" s="367">
        <f>IF(D24="","",(AA24/D24)-1)</f>
        <v>0.74554400487270289</v>
      </c>
    </row>
    <row r="25" spans="2:28" ht="24.95" customHeight="1" x14ac:dyDescent="0.25">
      <c r="B25" s="316" t="s">
        <v>345</v>
      </c>
      <c r="C25" s="1143">
        <v>34.71</v>
      </c>
      <c r="D25" s="1142">
        <f>C25+O25</f>
        <v>39.222300000000004</v>
      </c>
      <c r="E25" s="1144">
        <v>0.03</v>
      </c>
      <c r="F25" s="1146">
        <v>0.28999999999999998</v>
      </c>
      <c r="G25" s="1144">
        <v>2.27</v>
      </c>
      <c r="H25" s="1144">
        <v>0.66</v>
      </c>
      <c r="I25" s="1144">
        <v>0.27</v>
      </c>
      <c r="J25" s="1144">
        <v>1.78</v>
      </c>
      <c r="K25" s="1148">
        <v>5.76</v>
      </c>
      <c r="L25" s="1142">
        <v>1.5</v>
      </c>
      <c r="M25" s="1145">
        <v>5.5549999999999997</v>
      </c>
      <c r="N25" s="359"/>
      <c r="O25" s="1144">
        <f>C25*0.13</f>
        <v>4.5123000000000006</v>
      </c>
      <c r="P25" s="360"/>
      <c r="Q25" s="1147">
        <v>0.17</v>
      </c>
      <c r="R25" s="1144">
        <v>1.3</v>
      </c>
      <c r="S25" s="1144">
        <v>0.03</v>
      </c>
      <c r="T25" s="1145">
        <v>0.189</v>
      </c>
      <c r="U25" s="357">
        <f>SUM(D25:T25)-O25</f>
        <v>59.026300000000006</v>
      </c>
      <c r="V25" s="664">
        <f>IF(D25="","",$V$5*2080)</f>
        <v>62.4</v>
      </c>
      <c r="W25" s="364">
        <f t="shared" ref="W25" si="25">IF(D25="","",$W$22*2080)</f>
        <v>245.44</v>
      </c>
      <c r="X25" s="365">
        <f>IF(D25="","",(V25+W25))</f>
        <v>307.83999999999997</v>
      </c>
      <c r="Y25" s="365">
        <f>IF(D25="","",2080-X25)</f>
        <v>1772.16</v>
      </c>
      <c r="Z25" s="320">
        <f t="shared" ref="Z25:Z26" si="26">IF(Y25="","",+Y25/2080)</f>
        <v>0.85200000000000009</v>
      </c>
      <c r="AA25" s="366">
        <f>+U25/Z25</f>
        <v>69.279694835680758</v>
      </c>
      <c r="AB25" s="367">
        <f t="shared" ref="AB25" si="27">IF(D25="","",(AA25/D25)-1)</f>
        <v>0.76633432602577489</v>
      </c>
    </row>
    <row r="26" spans="2:28" s="372" customFormat="1" ht="24.95" customHeight="1" x14ac:dyDescent="0.25">
      <c r="B26" s="368"/>
      <c r="C26" s="369"/>
      <c r="D26" s="359" t="str">
        <f>IF(N26="","",SUM(C26:L26))</f>
        <v/>
      </c>
      <c r="E26" s="359" t="str">
        <f>IF(O26="","",SUM(D26:M26))</f>
        <v/>
      </c>
      <c r="F26" s="359" t="str">
        <f>IF(P26="","",SUM(E26:N26))</f>
        <v/>
      </c>
      <c r="G26" s="359" t="str">
        <f>IF(O26="","",IF(($F$5*O26)&gt;2118.6,2118.6,$F$5*O26))</f>
        <v/>
      </c>
      <c r="H26" s="359" t="str">
        <f>IF(O26="","",IF(O26*$G$5&gt;1024.51,1024.51,O26*$G$5))</f>
        <v/>
      </c>
      <c r="I26" s="359" t="str">
        <f>IF(O26="","",O26*$H$5)</f>
        <v/>
      </c>
      <c r="J26" s="359" t="str">
        <f>IF(O26="","",O26*#REF!)</f>
        <v/>
      </c>
      <c r="K26" s="359"/>
      <c r="L26" s="370" t="str">
        <f>IF(O26="","",O26*$J$5)</f>
        <v/>
      </c>
      <c r="M26" s="370" t="str">
        <f>IF(P26="","",P26*$J$5)</f>
        <v/>
      </c>
      <c r="N26" s="359"/>
      <c r="O26" s="359" t="str">
        <f>IF(C26="","",C26*2080)</f>
        <v/>
      </c>
      <c r="P26" s="359" t="str">
        <f t="shared" ref="P26:T26" si="28">IF(D26="","",D26*2080)</f>
        <v/>
      </c>
      <c r="Q26" s="371" t="str">
        <f t="shared" si="28"/>
        <v/>
      </c>
      <c r="R26" s="359" t="str">
        <f t="shared" si="28"/>
        <v/>
      </c>
      <c r="S26" s="359" t="str">
        <f t="shared" si="28"/>
        <v/>
      </c>
      <c r="T26" s="359" t="str">
        <f t="shared" si="28"/>
        <v/>
      </c>
      <c r="U26" s="359" t="str">
        <f>IF(I26="","",I26*2080)</f>
        <v/>
      </c>
      <c r="V26" s="319" t="str">
        <f>IF(O26="","",$Z$5*2080)</f>
        <v/>
      </c>
      <c r="W26" s="364" t="str">
        <f>IF(D26="","",$Z$9*2080)</f>
        <v/>
      </c>
      <c r="X26" s="365" t="str">
        <f>IF(D26="","",(V26+W26))</f>
        <v/>
      </c>
      <c r="Y26" s="365" t="str">
        <f>IF(D26="","",2080-X26)</f>
        <v/>
      </c>
      <c r="Z26" s="320" t="str">
        <f t="shared" si="26"/>
        <v/>
      </c>
      <c r="AA26" s="322" t="str">
        <f>IF(O26="","",E26/Y26)</f>
        <v/>
      </c>
      <c r="AB26" s="367" t="str">
        <f>IF(O26="","",(AA26/C26)-1)</f>
        <v/>
      </c>
    </row>
    <row r="27" spans="2:28" ht="15.75" thickBot="1" x14ac:dyDescent="0.3">
      <c r="B27" s="373"/>
      <c r="C27" s="374"/>
      <c r="D27" s="375"/>
      <c r="E27" s="376"/>
      <c r="F27" s="377"/>
      <c r="G27" s="375"/>
      <c r="H27" s="378"/>
      <c r="I27" s="375"/>
      <c r="J27" s="375"/>
      <c r="K27" s="379"/>
      <c r="L27" s="375"/>
      <c r="M27" s="377"/>
      <c r="N27" s="380"/>
      <c r="O27" s="379"/>
      <c r="P27" s="381"/>
      <c r="Q27" s="381"/>
      <c r="R27" s="382"/>
      <c r="S27" s="382"/>
      <c r="T27" s="382"/>
      <c r="U27" s="383">
        <f>AVERAGE(U24:U26)</f>
        <v>63.829775700000006</v>
      </c>
      <c r="V27" s="384"/>
      <c r="W27" s="385"/>
      <c r="X27" s="386"/>
      <c r="Y27" s="387"/>
      <c r="Z27" s="388"/>
      <c r="AA27" s="389">
        <f>AVERAGE(AA24:AA26)</f>
        <v>74.917577112676057</v>
      </c>
      <c r="AB27" s="390"/>
    </row>
    <row r="30" spans="2:28" ht="13.5" customHeight="1" x14ac:dyDescent="0.25"/>
    <row r="31" spans="2:28" hidden="1" x14ac:dyDescent="0.25"/>
    <row r="32" spans="2:28" hidden="1" x14ac:dyDescent="0.25"/>
  </sheetData>
  <mergeCells count="2">
    <mergeCell ref="B2:AB2"/>
    <mergeCell ref="P4:U4"/>
  </mergeCells>
  <pageMargins left="0.32" right="0.28000000000000003" top="0.75" bottom="0.75" header="0.3" footer="0.3"/>
  <pageSetup paperSize="5" scale="55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84"/>
  <sheetViews>
    <sheetView topLeftCell="A19" workbookViewId="0">
      <selection activeCell="D36" sqref="D36"/>
    </sheetView>
  </sheetViews>
  <sheetFormatPr baseColWidth="10" defaultColWidth="9.140625" defaultRowHeight="15" x14ac:dyDescent="0.25"/>
  <cols>
    <col min="1" max="1" width="2.7109375" style="40" customWidth="1"/>
    <col min="2" max="2" width="27.5703125" style="40" customWidth="1"/>
    <col min="3" max="3" width="30.28515625" style="40" customWidth="1"/>
    <col min="4" max="4" width="13.140625" style="40" customWidth="1"/>
    <col min="5" max="5" width="17.28515625" style="40" customWidth="1"/>
    <col min="6" max="6" width="1.7109375" style="40" customWidth="1"/>
    <col min="7" max="7" width="10.5703125" style="40" bestFit="1" customWidth="1"/>
    <col min="8" max="8" width="9.140625" style="40"/>
    <col min="9" max="10" width="9.28515625" style="40" bestFit="1" customWidth="1"/>
    <col min="11" max="11" width="5.28515625" style="40" customWidth="1"/>
    <col min="12" max="12" width="14.42578125" style="40" customWidth="1"/>
    <col min="13" max="13" width="17.85546875" style="40" customWidth="1"/>
    <col min="14" max="14" width="10.7109375" style="40" customWidth="1"/>
    <col min="15" max="15" width="15.85546875" style="672" customWidth="1"/>
    <col min="16" max="16" width="13" style="40" bestFit="1" customWidth="1"/>
    <col min="17" max="17" width="9.140625" style="40"/>
    <col min="18" max="18" width="12" style="40" bestFit="1" customWidth="1"/>
    <col min="19" max="20" width="9.140625" style="40"/>
    <col min="21" max="21" width="13" style="40" bestFit="1" customWidth="1"/>
    <col min="22" max="256" width="9.140625" style="40"/>
    <col min="257" max="257" width="2.7109375" style="40" customWidth="1"/>
    <col min="258" max="258" width="27.5703125" style="40" customWidth="1"/>
    <col min="259" max="259" width="30.28515625" style="40" customWidth="1"/>
    <col min="260" max="260" width="13.140625" style="40" customWidth="1"/>
    <col min="261" max="261" width="17.28515625" style="40" customWidth="1"/>
    <col min="262" max="262" width="1.7109375" style="40" customWidth="1"/>
    <col min="263" max="263" width="10.5703125" style="40" bestFit="1" customWidth="1"/>
    <col min="264" max="264" width="9.140625" style="40"/>
    <col min="265" max="266" width="9.28515625" style="40" bestFit="1" customWidth="1"/>
    <col min="267" max="268" width="9.140625" style="40"/>
    <col min="269" max="269" width="17.85546875" style="40" customWidth="1"/>
    <col min="270" max="512" width="9.140625" style="40"/>
    <col min="513" max="513" width="2.7109375" style="40" customWidth="1"/>
    <col min="514" max="514" width="27.5703125" style="40" customWidth="1"/>
    <col min="515" max="515" width="30.28515625" style="40" customWidth="1"/>
    <col min="516" max="516" width="13.140625" style="40" customWidth="1"/>
    <col min="517" max="517" width="17.28515625" style="40" customWidth="1"/>
    <col min="518" max="518" width="1.7109375" style="40" customWidth="1"/>
    <col min="519" max="519" width="10.5703125" style="40" bestFit="1" customWidth="1"/>
    <col min="520" max="520" width="9.140625" style="40"/>
    <col min="521" max="522" width="9.28515625" style="40" bestFit="1" customWidth="1"/>
    <col min="523" max="524" width="9.140625" style="40"/>
    <col min="525" max="525" width="17.85546875" style="40" customWidth="1"/>
    <col min="526" max="768" width="9.140625" style="40"/>
    <col min="769" max="769" width="2.7109375" style="40" customWidth="1"/>
    <col min="770" max="770" width="27.5703125" style="40" customWidth="1"/>
    <col min="771" max="771" width="30.28515625" style="40" customWidth="1"/>
    <col min="772" max="772" width="13.140625" style="40" customWidth="1"/>
    <col min="773" max="773" width="17.28515625" style="40" customWidth="1"/>
    <col min="774" max="774" width="1.7109375" style="40" customWidth="1"/>
    <col min="775" max="775" width="10.5703125" style="40" bestFit="1" customWidth="1"/>
    <col min="776" max="776" width="9.140625" style="40"/>
    <col min="777" max="778" width="9.28515625" style="40" bestFit="1" customWidth="1"/>
    <col min="779" max="780" width="9.140625" style="40"/>
    <col min="781" max="781" width="17.85546875" style="40" customWidth="1"/>
    <col min="782" max="1024" width="9.140625" style="40"/>
    <col min="1025" max="1025" width="2.7109375" style="40" customWidth="1"/>
    <col min="1026" max="1026" width="27.5703125" style="40" customWidth="1"/>
    <col min="1027" max="1027" width="30.28515625" style="40" customWidth="1"/>
    <col min="1028" max="1028" width="13.140625" style="40" customWidth="1"/>
    <col min="1029" max="1029" width="17.28515625" style="40" customWidth="1"/>
    <col min="1030" max="1030" width="1.7109375" style="40" customWidth="1"/>
    <col min="1031" max="1031" width="10.5703125" style="40" bestFit="1" customWidth="1"/>
    <col min="1032" max="1032" width="9.140625" style="40"/>
    <col min="1033" max="1034" width="9.28515625" style="40" bestFit="1" customWidth="1"/>
    <col min="1035" max="1036" width="9.140625" style="40"/>
    <col min="1037" max="1037" width="17.85546875" style="40" customWidth="1"/>
    <col min="1038" max="1280" width="9.140625" style="40"/>
    <col min="1281" max="1281" width="2.7109375" style="40" customWidth="1"/>
    <col min="1282" max="1282" width="27.5703125" style="40" customWidth="1"/>
    <col min="1283" max="1283" width="30.28515625" style="40" customWidth="1"/>
    <col min="1284" max="1284" width="13.140625" style="40" customWidth="1"/>
    <col min="1285" max="1285" width="17.28515625" style="40" customWidth="1"/>
    <col min="1286" max="1286" width="1.7109375" style="40" customWidth="1"/>
    <col min="1287" max="1287" width="10.5703125" style="40" bestFit="1" customWidth="1"/>
    <col min="1288" max="1288" width="9.140625" style="40"/>
    <col min="1289" max="1290" width="9.28515625" style="40" bestFit="1" customWidth="1"/>
    <col min="1291" max="1292" width="9.140625" style="40"/>
    <col min="1293" max="1293" width="17.85546875" style="40" customWidth="1"/>
    <col min="1294" max="1536" width="9.140625" style="40"/>
    <col min="1537" max="1537" width="2.7109375" style="40" customWidth="1"/>
    <col min="1538" max="1538" width="27.5703125" style="40" customWidth="1"/>
    <col min="1539" max="1539" width="30.28515625" style="40" customWidth="1"/>
    <col min="1540" max="1540" width="13.140625" style="40" customWidth="1"/>
    <col min="1541" max="1541" width="17.28515625" style="40" customWidth="1"/>
    <col min="1542" max="1542" width="1.7109375" style="40" customWidth="1"/>
    <col min="1543" max="1543" width="10.5703125" style="40" bestFit="1" customWidth="1"/>
    <col min="1544" max="1544" width="9.140625" style="40"/>
    <col min="1545" max="1546" width="9.28515625" style="40" bestFit="1" customWidth="1"/>
    <col min="1547" max="1548" width="9.140625" style="40"/>
    <col min="1549" max="1549" width="17.85546875" style="40" customWidth="1"/>
    <col min="1550" max="1792" width="9.140625" style="40"/>
    <col min="1793" max="1793" width="2.7109375" style="40" customWidth="1"/>
    <col min="1794" max="1794" width="27.5703125" style="40" customWidth="1"/>
    <col min="1795" max="1795" width="30.28515625" style="40" customWidth="1"/>
    <col min="1796" max="1796" width="13.140625" style="40" customWidth="1"/>
    <col min="1797" max="1797" width="17.28515625" style="40" customWidth="1"/>
    <col min="1798" max="1798" width="1.7109375" style="40" customWidth="1"/>
    <col min="1799" max="1799" width="10.5703125" style="40" bestFit="1" customWidth="1"/>
    <col min="1800" max="1800" width="9.140625" style="40"/>
    <col min="1801" max="1802" width="9.28515625" style="40" bestFit="1" customWidth="1"/>
    <col min="1803" max="1804" width="9.140625" style="40"/>
    <col min="1805" max="1805" width="17.85546875" style="40" customWidth="1"/>
    <col min="1806" max="2048" width="9.140625" style="40"/>
    <col min="2049" max="2049" width="2.7109375" style="40" customWidth="1"/>
    <col min="2050" max="2050" width="27.5703125" style="40" customWidth="1"/>
    <col min="2051" max="2051" width="30.28515625" style="40" customWidth="1"/>
    <col min="2052" max="2052" width="13.140625" style="40" customWidth="1"/>
    <col min="2053" max="2053" width="17.28515625" style="40" customWidth="1"/>
    <col min="2054" max="2054" width="1.7109375" style="40" customWidth="1"/>
    <col min="2055" max="2055" width="10.5703125" style="40" bestFit="1" customWidth="1"/>
    <col min="2056" max="2056" width="9.140625" style="40"/>
    <col min="2057" max="2058" width="9.28515625" style="40" bestFit="1" customWidth="1"/>
    <col min="2059" max="2060" width="9.140625" style="40"/>
    <col min="2061" max="2061" width="17.85546875" style="40" customWidth="1"/>
    <col min="2062" max="2304" width="9.140625" style="40"/>
    <col min="2305" max="2305" width="2.7109375" style="40" customWidth="1"/>
    <col min="2306" max="2306" width="27.5703125" style="40" customWidth="1"/>
    <col min="2307" max="2307" width="30.28515625" style="40" customWidth="1"/>
    <col min="2308" max="2308" width="13.140625" style="40" customWidth="1"/>
    <col min="2309" max="2309" width="17.28515625" style="40" customWidth="1"/>
    <col min="2310" max="2310" width="1.7109375" style="40" customWidth="1"/>
    <col min="2311" max="2311" width="10.5703125" style="40" bestFit="1" customWidth="1"/>
    <col min="2312" max="2312" width="9.140625" style="40"/>
    <col min="2313" max="2314" width="9.28515625" style="40" bestFit="1" customWidth="1"/>
    <col min="2315" max="2316" width="9.140625" style="40"/>
    <col min="2317" max="2317" width="17.85546875" style="40" customWidth="1"/>
    <col min="2318" max="2560" width="9.140625" style="40"/>
    <col min="2561" max="2561" width="2.7109375" style="40" customWidth="1"/>
    <col min="2562" max="2562" width="27.5703125" style="40" customWidth="1"/>
    <col min="2563" max="2563" width="30.28515625" style="40" customWidth="1"/>
    <col min="2564" max="2564" width="13.140625" style="40" customWidth="1"/>
    <col min="2565" max="2565" width="17.28515625" style="40" customWidth="1"/>
    <col min="2566" max="2566" width="1.7109375" style="40" customWidth="1"/>
    <col min="2567" max="2567" width="10.5703125" style="40" bestFit="1" customWidth="1"/>
    <col min="2568" max="2568" width="9.140625" style="40"/>
    <col min="2569" max="2570" width="9.28515625" style="40" bestFit="1" customWidth="1"/>
    <col min="2571" max="2572" width="9.140625" style="40"/>
    <col min="2573" max="2573" width="17.85546875" style="40" customWidth="1"/>
    <col min="2574" max="2816" width="9.140625" style="40"/>
    <col min="2817" max="2817" width="2.7109375" style="40" customWidth="1"/>
    <col min="2818" max="2818" width="27.5703125" style="40" customWidth="1"/>
    <col min="2819" max="2819" width="30.28515625" style="40" customWidth="1"/>
    <col min="2820" max="2820" width="13.140625" style="40" customWidth="1"/>
    <col min="2821" max="2821" width="17.28515625" style="40" customWidth="1"/>
    <col min="2822" max="2822" width="1.7109375" style="40" customWidth="1"/>
    <col min="2823" max="2823" width="10.5703125" style="40" bestFit="1" customWidth="1"/>
    <col min="2824" max="2824" width="9.140625" style="40"/>
    <col min="2825" max="2826" width="9.28515625" style="40" bestFit="1" customWidth="1"/>
    <col min="2827" max="2828" width="9.140625" style="40"/>
    <col min="2829" max="2829" width="17.85546875" style="40" customWidth="1"/>
    <col min="2830" max="3072" width="9.140625" style="40"/>
    <col min="3073" max="3073" width="2.7109375" style="40" customWidth="1"/>
    <col min="3074" max="3074" width="27.5703125" style="40" customWidth="1"/>
    <col min="3075" max="3075" width="30.28515625" style="40" customWidth="1"/>
    <col min="3076" max="3076" width="13.140625" style="40" customWidth="1"/>
    <col min="3077" max="3077" width="17.28515625" style="40" customWidth="1"/>
    <col min="3078" max="3078" width="1.7109375" style="40" customWidth="1"/>
    <col min="3079" max="3079" width="10.5703125" style="40" bestFit="1" customWidth="1"/>
    <col min="3080" max="3080" width="9.140625" style="40"/>
    <col min="3081" max="3082" width="9.28515625" style="40" bestFit="1" customWidth="1"/>
    <col min="3083" max="3084" width="9.140625" style="40"/>
    <col min="3085" max="3085" width="17.85546875" style="40" customWidth="1"/>
    <col min="3086" max="3328" width="9.140625" style="40"/>
    <col min="3329" max="3329" width="2.7109375" style="40" customWidth="1"/>
    <col min="3330" max="3330" width="27.5703125" style="40" customWidth="1"/>
    <col min="3331" max="3331" width="30.28515625" style="40" customWidth="1"/>
    <col min="3332" max="3332" width="13.140625" style="40" customWidth="1"/>
    <col min="3333" max="3333" width="17.28515625" style="40" customWidth="1"/>
    <col min="3334" max="3334" width="1.7109375" style="40" customWidth="1"/>
    <col min="3335" max="3335" width="10.5703125" style="40" bestFit="1" customWidth="1"/>
    <col min="3336" max="3336" width="9.140625" style="40"/>
    <col min="3337" max="3338" width="9.28515625" style="40" bestFit="1" customWidth="1"/>
    <col min="3339" max="3340" width="9.140625" style="40"/>
    <col min="3341" max="3341" width="17.85546875" style="40" customWidth="1"/>
    <col min="3342" max="3584" width="9.140625" style="40"/>
    <col min="3585" max="3585" width="2.7109375" style="40" customWidth="1"/>
    <col min="3586" max="3586" width="27.5703125" style="40" customWidth="1"/>
    <col min="3587" max="3587" width="30.28515625" style="40" customWidth="1"/>
    <col min="3588" max="3588" width="13.140625" style="40" customWidth="1"/>
    <col min="3589" max="3589" width="17.28515625" style="40" customWidth="1"/>
    <col min="3590" max="3590" width="1.7109375" style="40" customWidth="1"/>
    <col min="3591" max="3591" width="10.5703125" style="40" bestFit="1" customWidth="1"/>
    <col min="3592" max="3592" width="9.140625" style="40"/>
    <col min="3593" max="3594" width="9.28515625" style="40" bestFit="1" customWidth="1"/>
    <col min="3595" max="3596" width="9.140625" style="40"/>
    <col min="3597" max="3597" width="17.85546875" style="40" customWidth="1"/>
    <col min="3598" max="3840" width="9.140625" style="40"/>
    <col min="3841" max="3841" width="2.7109375" style="40" customWidth="1"/>
    <col min="3842" max="3842" width="27.5703125" style="40" customWidth="1"/>
    <col min="3843" max="3843" width="30.28515625" style="40" customWidth="1"/>
    <col min="3844" max="3844" width="13.140625" style="40" customWidth="1"/>
    <col min="3845" max="3845" width="17.28515625" style="40" customWidth="1"/>
    <col min="3846" max="3846" width="1.7109375" style="40" customWidth="1"/>
    <col min="3847" max="3847" width="10.5703125" style="40" bestFit="1" customWidth="1"/>
    <col min="3848" max="3848" width="9.140625" style="40"/>
    <col min="3849" max="3850" width="9.28515625" style="40" bestFit="1" customWidth="1"/>
    <col min="3851" max="3852" width="9.140625" style="40"/>
    <col min="3853" max="3853" width="17.85546875" style="40" customWidth="1"/>
    <col min="3854" max="4096" width="9.140625" style="40"/>
    <col min="4097" max="4097" width="2.7109375" style="40" customWidth="1"/>
    <col min="4098" max="4098" width="27.5703125" style="40" customWidth="1"/>
    <col min="4099" max="4099" width="30.28515625" style="40" customWidth="1"/>
    <col min="4100" max="4100" width="13.140625" style="40" customWidth="1"/>
    <col min="4101" max="4101" width="17.28515625" style="40" customWidth="1"/>
    <col min="4102" max="4102" width="1.7109375" style="40" customWidth="1"/>
    <col min="4103" max="4103" width="10.5703125" style="40" bestFit="1" customWidth="1"/>
    <col min="4104" max="4104" width="9.140625" style="40"/>
    <col min="4105" max="4106" width="9.28515625" style="40" bestFit="1" customWidth="1"/>
    <col min="4107" max="4108" width="9.140625" style="40"/>
    <col min="4109" max="4109" width="17.85546875" style="40" customWidth="1"/>
    <col min="4110" max="4352" width="9.140625" style="40"/>
    <col min="4353" max="4353" width="2.7109375" style="40" customWidth="1"/>
    <col min="4354" max="4354" width="27.5703125" style="40" customWidth="1"/>
    <col min="4355" max="4355" width="30.28515625" style="40" customWidth="1"/>
    <col min="4356" max="4356" width="13.140625" style="40" customWidth="1"/>
    <col min="4357" max="4357" width="17.28515625" style="40" customWidth="1"/>
    <col min="4358" max="4358" width="1.7109375" style="40" customWidth="1"/>
    <col min="4359" max="4359" width="10.5703125" style="40" bestFit="1" customWidth="1"/>
    <col min="4360" max="4360" width="9.140625" style="40"/>
    <col min="4361" max="4362" width="9.28515625" style="40" bestFit="1" customWidth="1"/>
    <col min="4363" max="4364" width="9.140625" style="40"/>
    <col min="4365" max="4365" width="17.85546875" style="40" customWidth="1"/>
    <col min="4366" max="4608" width="9.140625" style="40"/>
    <col min="4609" max="4609" width="2.7109375" style="40" customWidth="1"/>
    <col min="4610" max="4610" width="27.5703125" style="40" customWidth="1"/>
    <col min="4611" max="4611" width="30.28515625" style="40" customWidth="1"/>
    <col min="4612" max="4612" width="13.140625" style="40" customWidth="1"/>
    <col min="4613" max="4613" width="17.28515625" style="40" customWidth="1"/>
    <col min="4614" max="4614" width="1.7109375" style="40" customWidth="1"/>
    <col min="4615" max="4615" width="10.5703125" style="40" bestFit="1" customWidth="1"/>
    <col min="4616" max="4616" width="9.140625" style="40"/>
    <col min="4617" max="4618" width="9.28515625" style="40" bestFit="1" customWidth="1"/>
    <col min="4619" max="4620" width="9.140625" style="40"/>
    <col min="4621" max="4621" width="17.85546875" style="40" customWidth="1"/>
    <col min="4622" max="4864" width="9.140625" style="40"/>
    <col min="4865" max="4865" width="2.7109375" style="40" customWidth="1"/>
    <col min="4866" max="4866" width="27.5703125" style="40" customWidth="1"/>
    <col min="4867" max="4867" width="30.28515625" style="40" customWidth="1"/>
    <col min="4868" max="4868" width="13.140625" style="40" customWidth="1"/>
    <col min="4869" max="4869" width="17.28515625" style="40" customWidth="1"/>
    <col min="4870" max="4870" width="1.7109375" style="40" customWidth="1"/>
    <col min="4871" max="4871" width="10.5703125" style="40" bestFit="1" customWidth="1"/>
    <col min="4872" max="4872" width="9.140625" style="40"/>
    <col min="4873" max="4874" width="9.28515625" style="40" bestFit="1" customWidth="1"/>
    <col min="4875" max="4876" width="9.140625" style="40"/>
    <col min="4877" max="4877" width="17.85546875" style="40" customWidth="1"/>
    <col min="4878" max="5120" width="9.140625" style="40"/>
    <col min="5121" max="5121" width="2.7109375" style="40" customWidth="1"/>
    <col min="5122" max="5122" width="27.5703125" style="40" customWidth="1"/>
    <col min="5123" max="5123" width="30.28515625" style="40" customWidth="1"/>
    <col min="5124" max="5124" width="13.140625" style="40" customWidth="1"/>
    <col min="5125" max="5125" width="17.28515625" style="40" customWidth="1"/>
    <col min="5126" max="5126" width="1.7109375" style="40" customWidth="1"/>
    <col min="5127" max="5127" width="10.5703125" style="40" bestFit="1" customWidth="1"/>
    <col min="5128" max="5128" width="9.140625" style="40"/>
    <col min="5129" max="5130" width="9.28515625" style="40" bestFit="1" customWidth="1"/>
    <col min="5131" max="5132" width="9.140625" style="40"/>
    <col min="5133" max="5133" width="17.85546875" style="40" customWidth="1"/>
    <col min="5134" max="5376" width="9.140625" style="40"/>
    <col min="5377" max="5377" width="2.7109375" style="40" customWidth="1"/>
    <col min="5378" max="5378" width="27.5703125" style="40" customWidth="1"/>
    <col min="5379" max="5379" width="30.28515625" style="40" customWidth="1"/>
    <col min="5380" max="5380" width="13.140625" style="40" customWidth="1"/>
    <col min="5381" max="5381" width="17.28515625" style="40" customWidth="1"/>
    <col min="5382" max="5382" width="1.7109375" style="40" customWidth="1"/>
    <col min="5383" max="5383" width="10.5703125" style="40" bestFit="1" customWidth="1"/>
    <col min="5384" max="5384" width="9.140625" style="40"/>
    <col min="5385" max="5386" width="9.28515625" style="40" bestFit="1" customWidth="1"/>
    <col min="5387" max="5388" width="9.140625" style="40"/>
    <col min="5389" max="5389" width="17.85546875" style="40" customWidth="1"/>
    <col min="5390" max="5632" width="9.140625" style="40"/>
    <col min="5633" max="5633" width="2.7109375" style="40" customWidth="1"/>
    <col min="5634" max="5634" width="27.5703125" style="40" customWidth="1"/>
    <col min="5635" max="5635" width="30.28515625" style="40" customWidth="1"/>
    <col min="5636" max="5636" width="13.140625" style="40" customWidth="1"/>
    <col min="5637" max="5637" width="17.28515625" style="40" customWidth="1"/>
    <col min="5638" max="5638" width="1.7109375" style="40" customWidth="1"/>
    <col min="5639" max="5639" width="10.5703125" style="40" bestFit="1" customWidth="1"/>
    <col min="5640" max="5640" width="9.140625" style="40"/>
    <col min="5641" max="5642" width="9.28515625" style="40" bestFit="1" customWidth="1"/>
    <col min="5643" max="5644" width="9.140625" style="40"/>
    <col min="5645" max="5645" width="17.85546875" style="40" customWidth="1"/>
    <col min="5646" max="5888" width="9.140625" style="40"/>
    <col min="5889" max="5889" width="2.7109375" style="40" customWidth="1"/>
    <col min="5890" max="5890" width="27.5703125" style="40" customWidth="1"/>
    <col min="5891" max="5891" width="30.28515625" style="40" customWidth="1"/>
    <col min="5892" max="5892" width="13.140625" style="40" customWidth="1"/>
    <col min="5893" max="5893" width="17.28515625" style="40" customWidth="1"/>
    <col min="5894" max="5894" width="1.7109375" style="40" customWidth="1"/>
    <col min="5895" max="5895" width="10.5703125" style="40" bestFit="1" customWidth="1"/>
    <col min="5896" max="5896" width="9.140625" style="40"/>
    <col min="5897" max="5898" width="9.28515625" style="40" bestFit="1" customWidth="1"/>
    <col min="5899" max="5900" width="9.140625" style="40"/>
    <col min="5901" max="5901" width="17.85546875" style="40" customWidth="1"/>
    <col min="5902" max="6144" width="9.140625" style="40"/>
    <col min="6145" max="6145" width="2.7109375" style="40" customWidth="1"/>
    <col min="6146" max="6146" width="27.5703125" style="40" customWidth="1"/>
    <col min="6147" max="6147" width="30.28515625" style="40" customWidth="1"/>
    <col min="6148" max="6148" width="13.140625" style="40" customWidth="1"/>
    <col min="6149" max="6149" width="17.28515625" style="40" customWidth="1"/>
    <col min="6150" max="6150" width="1.7109375" style="40" customWidth="1"/>
    <col min="6151" max="6151" width="10.5703125" style="40" bestFit="1" customWidth="1"/>
    <col min="6152" max="6152" width="9.140625" style="40"/>
    <col min="6153" max="6154" width="9.28515625" style="40" bestFit="1" customWidth="1"/>
    <col min="6155" max="6156" width="9.140625" style="40"/>
    <col min="6157" max="6157" width="17.85546875" style="40" customWidth="1"/>
    <col min="6158" max="6400" width="9.140625" style="40"/>
    <col min="6401" max="6401" width="2.7109375" style="40" customWidth="1"/>
    <col min="6402" max="6402" width="27.5703125" style="40" customWidth="1"/>
    <col min="6403" max="6403" width="30.28515625" style="40" customWidth="1"/>
    <col min="6404" max="6404" width="13.140625" style="40" customWidth="1"/>
    <col min="6405" max="6405" width="17.28515625" style="40" customWidth="1"/>
    <col min="6406" max="6406" width="1.7109375" style="40" customWidth="1"/>
    <col min="6407" max="6407" width="10.5703125" style="40" bestFit="1" customWidth="1"/>
    <col min="6408" max="6408" width="9.140625" style="40"/>
    <col min="6409" max="6410" width="9.28515625" style="40" bestFit="1" customWidth="1"/>
    <col min="6411" max="6412" width="9.140625" style="40"/>
    <col min="6413" max="6413" width="17.85546875" style="40" customWidth="1"/>
    <col min="6414" max="6656" width="9.140625" style="40"/>
    <col min="6657" max="6657" width="2.7109375" style="40" customWidth="1"/>
    <col min="6658" max="6658" width="27.5703125" style="40" customWidth="1"/>
    <col min="6659" max="6659" width="30.28515625" style="40" customWidth="1"/>
    <col min="6660" max="6660" width="13.140625" style="40" customWidth="1"/>
    <col min="6661" max="6661" width="17.28515625" style="40" customWidth="1"/>
    <col min="6662" max="6662" width="1.7109375" style="40" customWidth="1"/>
    <col min="6663" max="6663" width="10.5703125" style="40" bestFit="1" customWidth="1"/>
    <col min="6664" max="6664" width="9.140625" style="40"/>
    <col min="6665" max="6666" width="9.28515625" style="40" bestFit="1" customWidth="1"/>
    <col min="6667" max="6668" width="9.140625" style="40"/>
    <col min="6669" max="6669" width="17.85546875" style="40" customWidth="1"/>
    <col min="6670" max="6912" width="9.140625" style="40"/>
    <col min="6913" max="6913" width="2.7109375" style="40" customWidth="1"/>
    <col min="6914" max="6914" width="27.5703125" style="40" customWidth="1"/>
    <col min="6915" max="6915" width="30.28515625" style="40" customWidth="1"/>
    <col min="6916" max="6916" width="13.140625" style="40" customWidth="1"/>
    <col min="6917" max="6917" width="17.28515625" style="40" customWidth="1"/>
    <col min="6918" max="6918" width="1.7109375" style="40" customWidth="1"/>
    <col min="6919" max="6919" width="10.5703125" style="40" bestFit="1" customWidth="1"/>
    <col min="6920" max="6920" width="9.140625" style="40"/>
    <col min="6921" max="6922" width="9.28515625" style="40" bestFit="1" customWidth="1"/>
    <col min="6923" max="6924" width="9.140625" style="40"/>
    <col min="6925" max="6925" width="17.85546875" style="40" customWidth="1"/>
    <col min="6926" max="7168" width="9.140625" style="40"/>
    <col min="7169" max="7169" width="2.7109375" style="40" customWidth="1"/>
    <col min="7170" max="7170" width="27.5703125" style="40" customWidth="1"/>
    <col min="7171" max="7171" width="30.28515625" style="40" customWidth="1"/>
    <col min="7172" max="7172" width="13.140625" style="40" customWidth="1"/>
    <col min="7173" max="7173" width="17.28515625" style="40" customWidth="1"/>
    <col min="7174" max="7174" width="1.7109375" style="40" customWidth="1"/>
    <col min="7175" max="7175" width="10.5703125" style="40" bestFit="1" customWidth="1"/>
    <col min="7176" max="7176" width="9.140625" style="40"/>
    <col min="7177" max="7178" width="9.28515625" style="40" bestFit="1" customWidth="1"/>
    <col min="7179" max="7180" width="9.140625" style="40"/>
    <col min="7181" max="7181" width="17.85546875" style="40" customWidth="1"/>
    <col min="7182" max="7424" width="9.140625" style="40"/>
    <col min="7425" max="7425" width="2.7109375" style="40" customWidth="1"/>
    <col min="7426" max="7426" width="27.5703125" style="40" customWidth="1"/>
    <col min="7427" max="7427" width="30.28515625" style="40" customWidth="1"/>
    <col min="7428" max="7428" width="13.140625" style="40" customWidth="1"/>
    <col min="7429" max="7429" width="17.28515625" style="40" customWidth="1"/>
    <col min="7430" max="7430" width="1.7109375" style="40" customWidth="1"/>
    <col min="7431" max="7431" width="10.5703125" style="40" bestFit="1" customWidth="1"/>
    <col min="7432" max="7432" width="9.140625" style="40"/>
    <col min="7433" max="7434" width="9.28515625" style="40" bestFit="1" customWidth="1"/>
    <col min="7435" max="7436" width="9.140625" style="40"/>
    <col min="7437" max="7437" width="17.85546875" style="40" customWidth="1"/>
    <col min="7438" max="7680" width="9.140625" style="40"/>
    <col min="7681" max="7681" width="2.7109375" style="40" customWidth="1"/>
    <col min="7682" max="7682" width="27.5703125" style="40" customWidth="1"/>
    <col min="7683" max="7683" width="30.28515625" style="40" customWidth="1"/>
    <col min="7684" max="7684" width="13.140625" style="40" customWidth="1"/>
    <col min="7685" max="7685" width="17.28515625" style="40" customWidth="1"/>
    <col min="7686" max="7686" width="1.7109375" style="40" customWidth="1"/>
    <col min="7687" max="7687" width="10.5703125" style="40" bestFit="1" customWidth="1"/>
    <col min="7688" max="7688" width="9.140625" style="40"/>
    <col min="7689" max="7690" width="9.28515625" style="40" bestFit="1" customWidth="1"/>
    <col min="7691" max="7692" width="9.140625" style="40"/>
    <col min="7693" max="7693" width="17.85546875" style="40" customWidth="1"/>
    <col min="7694" max="7936" width="9.140625" style="40"/>
    <col min="7937" max="7937" width="2.7109375" style="40" customWidth="1"/>
    <col min="7938" max="7938" width="27.5703125" style="40" customWidth="1"/>
    <col min="7939" max="7939" width="30.28515625" style="40" customWidth="1"/>
    <col min="7940" max="7940" width="13.140625" style="40" customWidth="1"/>
    <col min="7941" max="7941" width="17.28515625" style="40" customWidth="1"/>
    <col min="7942" max="7942" width="1.7109375" style="40" customWidth="1"/>
    <col min="7943" max="7943" width="10.5703125" style="40" bestFit="1" customWidth="1"/>
    <col min="7944" max="7944" width="9.140625" style="40"/>
    <col min="7945" max="7946" width="9.28515625" style="40" bestFit="1" customWidth="1"/>
    <col min="7947" max="7948" width="9.140625" style="40"/>
    <col min="7949" max="7949" width="17.85546875" style="40" customWidth="1"/>
    <col min="7950" max="8192" width="9.140625" style="40"/>
    <col min="8193" max="8193" width="2.7109375" style="40" customWidth="1"/>
    <col min="8194" max="8194" width="27.5703125" style="40" customWidth="1"/>
    <col min="8195" max="8195" width="30.28515625" style="40" customWidth="1"/>
    <col min="8196" max="8196" width="13.140625" style="40" customWidth="1"/>
    <col min="8197" max="8197" width="17.28515625" style="40" customWidth="1"/>
    <col min="8198" max="8198" width="1.7109375" style="40" customWidth="1"/>
    <col min="8199" max="8199" width="10.5703125" style="40" bestFit="1" customWidth="1"/>
    <col min="8200" max="8200" width="9.140625" style="40"/>
    <col min="8201" max="8202" width="9.28515625" style="40" bestFit="1" customWidth="1"/>
    <col min="8203" max="8204" width="9.140625" style="40"/>
    <col min="8205" max="8205" width="17.85546875" style="40" customWidth="1"/>
    <col min="8206" max="8448" width="9.140625" style="40"/>
    <col min="8449" max="8449" width="2.7109375" style="40" customWidth="1"/>
    <col min="8450" max="8450" width="27.5703125" style="40" customWidth="1"/>
    <col min="8451" max="8451" width="30.28515625" style="40" customWidth="1"/>
    <col min="8452" max="8452" width="13.140625" style="40" customWidth="1"/>
    <col min="8453" max="8453" width="17.28515625" style="40" customWidth="1"/>
    <col min="8454" max="8454" width="1.7109375" style="40" customWidth="1"/>
    <col min="8455" max="8455" width="10.5703125" style="40" bestFit="1" customWidth="1"/>
    <col min="8456" max="8456" width="9.140625" style="40"/>
    <col min="8457" max="8458" width="9.28515625" style="40" bestFit="1" customWidth="1"/>
    <col min="8459" max="8460" width="9.140625" style="40"/>
    <col min="8461" max="8461" width="17.85546875" style="40" customWidth="1"/>
    <col min="8462" max="8704" width="9.140625" style="40"/>
    <col min="8705" max="8705" width="2.7109375" style="40" customWidth="1"/>
    <col min="8706" max="8706" width="27.5703125" style="40" customWidth="1"/>
    <col min="8707" max="8707" width="30.28515625" style="40" customWidth="1"/>
    <col min="8708" max="8708" width="13.140625" style="40" customWidth="1"/>
    <col min="8709" max="8709" width="17.28515625" style="40" customWidth="1"/>
    <col min="8710" max="8710" width="1.7109375" style="40" customWidth="1"/>
    <col min="8711" max="8711" width="10.5703125" style="40" bestFit="1" customWidth="1"/>
    <col min="8712" max="8712" width="9.140625" style="40"/>
    <col min="8713" max="8714" width="9.28515625" style="40" bestFit="1" customWidth="1"/>
    <col min="8715" max="8716" width="9.140625" style="40"/>
    <col min="8717" max="8717" width="17.85546875" style="40" customWidth="1"/>
    <col min="8718" max="8960" width="9.140625" style="40"/>
    <col min="8961" max="8961" width="2.7109375" style="40" customWidth="1"/>
    <col min="8962" max="8962" width="27.5703125" style="40" customWidth="1"/>
    <col min="8963" max="8963" width="30.28515625" style="40" customWidth="1"/>
    <col min="8964" max="8964" width="13.140625" style="40" customWidth="1"/>
    <col min="8965" max="8965" width="17.28515625" style="40" customWidth="1"/>
    <col min="8966" max="8966" width="1.7109375" style="40" customWidth="1"/>
    <col min="8967" max="8967" width="10.5703125" style="40" bestFit="1" customWidth="1"/>
    <col min="8968" max="8968" width="9.140625" style="40"/>
    <col min="8969" max="8970" width="9.28515625" style="40" bestFit="1" customWidth="1"/>
    <col min="8971" max="8972" width="9.140625" style="40"/>
    <col min="8973" max="8973" width="17.85546875" style="40" customWidth="1"/>
    <col min="8974" max="9216" width="9.140625" style="40"/>
    <col min="9217" max="9217" width="2.7109375" style="40" customWidth="1"/>
    <col min="9218" max="9218" width="27.5703125" style="40" customWidth="1"/>
    <col min="9219" max="9219" width="30.28515625" style="40" customWidth="1"/>
    <col min="9220" max="9220" width="13.140625" style="40" customWidth="1"/>
    <col min="9221" max="9221" width="17.28515625" style="40" customWidth="1"/>
    <col min="9222" max="9222" width="1.7109375" style="40" customWidth="1"/>
    <col min="9223" max="9223" width="10.5703125" style="40" bestFit="1" customWidth="1"/>
    <col min="9224" max="9224" width="9.140625" style="40"/>
    <col min="9225" max="9226" width="9.28515625" style="40" bestFit="1" customWidth="1"/>
    <col min="9227" max="9228" width="9.140625" style="40"/>
    <col min="9229" max="9229" width="17.85546875" style="40" customWidth="1"/>
    <col min="9230" max="9472" width="9.140625" style="40"/>
    <col min="9473" max="9473" width="2.7109375" style="40" customWidth="1"/>
    <col min="9474" max="9474" width="27.5703125" style="40" customWidth="1"/>
    <col min="9475" max="9475" width="30.28515625" style="40" customWidth="1"/>
    <col min="9476" max="9476" width="13.140625" style="40" customWidth="1"/>
    <col min="9477" max="9477" width="17.28515625" style="40" customWidth="1"/>
    <col min="9478" max="9478" width="1.7109375" style="40" customWidth="1"/>
    <col min="9479" max="9479" width="10.5703125" style="40" bestFit="1" customWidth="1"/>
    <col min="9480" max="9480" width="9.140625" style="40"/>
    <col min="9481" max="9482" width="9.28515625" style="40" bestFit="1" customWidth="1"/>
    <col min="9483" max="9484" width="9.140625" style="40"/>
    <col min="9485" max="9485" width="17.85546875" style="40" customWidth="1"/>
    <col min="9486" max="9728" width="9.140625" style="40"/>
    <col min="9729" max="9729" width="2.7109375" style="40" customWidth="1"/>
    <col min="9730" max="9730" width="27.5703125" style="40" customWidth="1"/>
    <col min="9731" max="9731" width="30.28515625" style="40" customWidth="1"/>
    <col min="9732" max="9732" width="13.140625" style="40" customWidth="1"/>
    <col min="9733" max="9733" width="17.28515625" style="40" customWidth="1"/>
    <col min="9734" max="9734" width="1.7109375" style="40" customWidth="1"/>
    <col min="9735" max="9735" width="10.5703125" style="40" bestFit="1" customWidth="1"/>
    <col min="9736" max="9736" width="9.140625" style="40"/>
    <col min="9737" max="9738" width="9.28515625" style="40" bestFit="1" customWidth="1"/>
    <col min="9739" max="9740" width="9.140625" style="40"/>
    <col min="9741" max="9741" width="17.85546875" style="40" customWidth="1"/>
    <col min="9742" max="9984" width="9.140625" style="40"/>
    <col min="9985" max="9985" width="2.7109375" style="40" customWidth="1"/>
    <col min="9986" max="9986" width="27.5703125" style="40" customWidth="1"/>
    <col min="9987" max="9987" width="30.28515625" style="40" customWidth="1"/>
    <col min="9988" max="9988" width="13.140625" style="40" customWidth="1"/>
    <col min="9989" max="9989" width="17.28515625" style="40" customWidth="1"/>
    <col min="9990" max="9990" width="1.7109375" style="40" customWidth="1"/>
    <col min="9991" max="9991" width="10.5703125" style="40" bestFit="1" customWidth="1"/>
    <col min="9992" max="9992" width="9.140625" style="40"/>
    <col min="9993" max="9994" width="9.28515625" style="40" bestFit="1" customWidth="1"/>
    <col min="9995" max="9996" width="9.140625" style="40"/>
    <col min="9997" max="9997" width="17.85546875" style="40" customWidth="1"/>
    <col min="9998" max="10240" width="9.140625" style="40"/>
    <col min="10241" max="10241" width="2.7109375" style="40" customWidth="1"/>
    <col min="10242" max="10242" width="27.5703125" style="40" customWidth="1"/>
    <col min="10243" max="10243" width="30.28515625" style="40" customWidth="1"/>
    <col min="10244" max="10244" width="13.140625" style="40" customWidth="1"/>
    <col min="10245" max="10245" width="17.28515625" style="40" customWidth="1"/>
    <col min="10246" max="10246" width="1.7109375" style="40" customWidth="1"/>
    <col min="10247" max="10247" width="10.5703125" style="40" bestFit="1" customWidth="1"/>
    <col min="10248" max="10248" width="9.140625" style="40"/>
    <col min="10249" max="10250" width="9.28515625" style="40" bestFit="1" customWidth="1"/>
    <col min="10251" max="10252" width="9.140625" style="40"/>
    <col min="10253" max="10253" width="17.85546875" style="40" customWidth="1"/>
    <col min="10254" max="10496" width="9.140625" style="40"/>
    <col min="10497" max="10497" width="2.7109375" style="40" customWidth="1"/>
    <col min="10498" max="10498" width="27.5703125" style="40" customWidth="1"/>
    <col min="10499" max="10499" width="30.28515625" style="40" customWidth="1"/>
    <col min="10500" max="10500" width="13.140625" style="40" customWidth="1"/>
    <col min="10501" max="10501" width="17.28515625" style="40" customWidth="1"/>
    <col min="10502" max="10502" width="1.7109375" style="40" customWidth="1"/>
    <col min="10503" max="10503" width="10.5703125" style="40" bestFit="1" customWidth="1"/>
    <col min="10504" max="10504" width="9.140625" style="40"/>
    <col min="10505" max="10506" width="9.28515625" style="40" bestFit="1" customWidth="1"/>
    <col min="10507" max="10508" width="9.140625" style="40"/>
    <col min="10509" max="10509" width="17.85546875" style="40" customWidth="1"/>
    <col min="10510" max="10752" width="9.140625" style="40"/>
    <col min="10753" max="10753" width="2.7109375" style="40" customWidth="1"/>
    <col min="10754" max="10754" width="27.5703125" style="40" customWidth="1"/>
    <col min="10755" max="10755" width="30.28515625" style="40" customWidth="1"/>
    <col min="10756" max="10756" width="13.140625" style="40" customWidth="1"/>
    <col min="10757" max="10757" width="17.28515625" style="40" customWidth="1"/>
    <col min="10758" max="10758" width="1.7109375" style="40" customWidth="1"/>
    <col min="10759" max="10759" width="10.5703125" style="40" bestFit="1" customWidth="1"/>
    <col min="10760" max="10760" width="9.140625" style="40"/>
    <col min="10761" max="10762" width="9.28515625" style="40" bestFit="1" customWidth="1"/>
    <col min="10763" max="10764" width="9.140625" style="40"/>
    <col min="10765" max="10765" width="17.85546875" style="40" customWidth="1"/>
    <col min="10766" max="11008" width="9.140625" style="40"/>
    <col min="11009" max="11009" width="2.7109375" style="40" customWidth="1"/>
    <col min="11010" max="11010" width="27.5703125" style="40" customWidth="1"/>
    <col min="11011" max="11011" width="30.28515625" style="40" customWidth="1"/>
    <col min="11012" max="11012" width="13.140625" style="40" customWidth="1"/>
    <col min="11013" max="11013" width="17.28515625" style="40" customWidth="1"/>
    <col min="11014" max="11014" width="1.7109375" style="40" customWidth="1"/>
    <col min="11015" max="11015" width="10.5703125" style="40" bestFit="1" customWidth="1"/>
    <col min="11016" max="11016" width="9.140625" style="40"/>
    <col min="11017" max="11018" width="9.28515625" style="40" bestFit="1" customWidth="1"/>
    <col min="11019" max="11020" width="9.140625" style="40"/>
    <col min="11021" max="11021" width="17.85546875" style="40" customWidth="1"/>
    <col min="11022" max="11264" width="9.140625" style="40"/>
    <col min="11265" max="11265" width="2.7109375" style="40" customWidth="1"/>
    <col min="11266" max="11266" width="27.5703125" style="40" customWidth="1"/>
    <col min="11267" max="11267" width="30.28515625" style="40" customWidth="1"/>
    <col min="11268" max="11268" width="13.140625" style="40" customWidth="1"/>
    <col min="11269" max="11269" width="17.28515625" style="40" customWidth="1"/>
    <col min="11270" max="11270" width="1.7109375" style="40" customWidth="1"/>
    <col min="11271" max="11271" width="10.5703125" style="40" bestFit="1" customWidth="1"/>
    <col min="11272" max="11272" width="9.140625" style="40"/>
    <col min="11273" max="11274" width="9.28515625" style="40" bestFit="1" customWidth="1"/>
    <col min="11275" max="11276" width="9.140625" style="40"/>
    <col min="11277" max="11277" width="17.85546875" style="40" customWidth="1"/>
    <col min="11278" max="11520" width="9.140625" style="40"/>
    <col min="11521" max="11521" width="2.7109375" style="40" customWidth="1"/>
    <col min="11522" max="11522" width="27.5703125" style="40" customWidth="1"/>
    <col min="11523" max="11523" width="30.28515625" style="40" customWidth="1"/>
    <col min="11524" max="11524" width="13.140625" style="40" customWidth="1"/>
    <col min="11525" max="11525" width="17.28515625" style="40" customWidth="1"/>
    <col min="11526" max="11526" width="1.7109375" style="40" customWidth="1"/>
    <col min="11527" max="11527" width="10.5703125" style="40" bestFit="1" customWidth="1"/>
    <col min="11528" max="11528" width="9.140625" style="40"/>
    <col min="11529" max="11530" width="9.28515625" style="40" bestFit="1" customWidth="1"/>
    <col min="11531" max="11532" width="9.140625" style="40"/>
    <col min="11533" max="11533" width="17.85546875" style="40" customWidth="1"/>
    <col min="11534" max="11776" width="9.140625" style="40"/>
    <col min="11777" max="11777" width="2.7109375" style="40" customWidth="1"/>
    <col min="11778" max="11778" width="27.5703125" style="40" customWidth="1"/>
    <col min="11779" max="11779" width="30.28515625" style="40" customWidth="1"/>
    <col min="11780" max="11780" width="13.140625" style="40" customWidth="1"/>
    <col min="11781" max="11781" width="17.28515625" style="40" customWidth="1"/>
    <col min="11782" max="11782" width="1.7109375" style="40" customWidth="1"/>
    <col min="11783" max="11783" width="10.5703125" style="40" bestFit="1" customWidth="1"/>
    <col min="11784" max="11784" width="9.140625" style="40"/>
    <col min="11785" max="11786" width="9.28515625" style="40" bestFit="1" customWidth="1"/>
    <col min="11787" max="11788" width="9.140625" style="40"/>
    <col min="11789" max="11789" width="17.85546875" style="40" customWidth="1"/>
    <col min="11790" max="12032" width="9.140625" style="40"/>
    <col min="12033" max="12033" width="2.7109375" style="40" customWidth="1"/>
    <col min="12034" max="12034" width="27.5703125" style="40" customWidth="1"/>
    <col min="12035" max="12035" width="30.28515625" style="40" customWidth="1"/>
    <col min="12036" max="12036" width="13.140625" style="40" customWidth="1"/>
    <col min="12037" max="12037" width="17.28515625" style="40" customWidth="1"/>
    <col min="12038" max="12038" width="1.7109375" style="40" customWidth="1"/>
    <col min="12039" max="12039" width="10.5703125" style="40" bestFit="1" customWidth="1"/>
    <col min="12040" max="12040" width="9.140625" style="40"/>
    <col min="12041" max="12042" width="9.28515625" style="40" bestFit="1" customWidth="1"/>
    <col min="12043" max="12044" width="9.140625" style="40"/>
    <col min="12045" max="12045" width="17.85546875" style="40" customWidth="1"/>
    <col min="12046" max="12288" width="9.140625" style="40"/>
    <col min="12289" max="12289" width="2.7109375" style="40" customWidth="1"/>
    <col min="12290" max="12290" width="27.5703125" style="40" customWidth="1"/>
    <col min="12291" max="12291" width="30.28515625" style="40" customWidth="1"/>
    <col min="12292" max="12292" width="13.140625" style="40" customWidth="1"/>
    <col min="12293" max="12293" width="17.28515625" style="40" customWidth="1"/>
    <col min="12294" max="12294" width="1.7109375" style="40" customWidth="1"/>
    <col min="12295" max="12295" width="10.5703125" style="40" bestFit="1" customWidth="1"/>
    <col min="12296" max="12296" width="9.140625" style="40"/>
    <col min="12297" max="12298" width="9.28515625" style="40" bestFit="1" customWidth="1"/>
    <col min="12299" max="12300" width="9.140625" style="40"/>
    <col min="12301" max="12301" width="17.85546875" style="40" customWidth="1"/>
    <col min="12302" max="12544" width="9.140625" style="40"/>
    <col min="12545" max="12545" width="2.7109375" style="40" customWidth="1"/>
    <col min="12546" max="12546" width="27.5703125" style="40" customWidth="1"/>
    <col min="12547" max="12547" width="30.28515625" style="40" customWidth="1"/>
    <col min="12548" max="12548" width="13.140625" style="40" customWidth="1"/>
    <col min="12549" max="12549" width="17.28515625" style="40" customWidth="1"/>
    <col min="12550" max="12550" width="1.7109375" style="40" customWidth="1"/>
    <col min="12551" max="12551" width="10.5703125" style="40" bestFit="1" customWidth="1"/>
    <col min="12552" max="12552" width="9.140625" style="40"/>
    <col min="12553" max="12554" width="9.28515625" style="40" bestFit="1" customWidth="1"/>
    <col min="12555" max="12556" width="9.140625" style="40"/>
    <col min="12557" max="12557" width="17.85546875" style="40" customWidth="1"/>
    <col min="12558" max="12800" width="9.140625" style="40"/>
    <col min="12801" max="12801" width="2.7109375" style="40" customWidth="1"/>
    <col min="12802" max="12802" width="27.5703125" style="40" customWidth="1"/>
    <col min="12803" max="12803" width="30.28515625" style="40" customWidth="1"/>
    <col min="12804" max="12804" width="13.140625" style="40" customWidth="1"/>
    <col min="12805" max="12805" width="17.28515625" style="40" customWidth="1"/>
    <col min="12806" max="12806" width="1.7109375" style="40" customWidth="1"/>
    <col min="12807" max="12807" width="10.5703125" style="40" bestFit="1" customWidth="1"/>
    <col min="12808" max="12808" width="9.140625" style="40"/>
    <col min="12809" max="12810" width="9.28515625" style="40" bestFit="1" customWidth="1"/>
    <col min="12811" max="12812" width="9.140625" style="40"/>
    <col min="12813" max="12813" width="17.85546875" style="40" customWidth="1"/>
    <col min="12814" max="13056" width="9.140625" style="40"/>
    <col min="13057" max="13057" width="2.7109375" style="40" customWidth="1"/>
    <col min="13058" max="13058" width="27.5703125" style="40" customWidth="1"/>
    <col min="13059" max="13059" width="30.28515625" style="40" customWidth="1"/>
    <col min="13060" max="13060" width="13.140625" style="40" customWidth="1"/>
    <col min="13061" max="13061" width="17.28515625" style="40" customWidth="1"/>
    <col min="13062" max="13062" width="1.7109375" style="40" customWidth="1"/>
    <col min="13063" max="13063" width="10.5703125" style="40" bestFit="1" customWidth="1"/>
    <col min="13064" max="13064" width="9.140625" style="40"/>
    <col min="13065" max="13066" width="9.28515625" style="40" bestFit="1" customWidth="1"/>
    <col min="13067" max="13068" width="9.140625" style="40"/>
    <col min="13069" max="13069" width="17.85546875" style="40" customWidth="1"/>
    <col min="13070" max="13312" width="9.140625" style="40"/>
    <col min="13313" max="13313" width="2.7109375" style="40" customWidth="1"/>
    <col min="13314" max="13314" width="27.5703125" style="40" customWidth="1"/>
    <col min="13315" max="13315" width="30.28515625" style="40" customWidth="1"/>
    <col min="13316" max="13316" width="13.140625" style="40" customWidth="1"/>
    <col min="13317" max="13317" width="17.28515625" style="40" customWidth="1"/>
    <col min="13318" max="13318" width="1.7109375" style="40" customWidth="1"/>
    <col min="13319" max="13319" width="10.5703125" style="40" bestFit="1" customWidth="1"/>
    <col min="13320" max="13320" width="9.140625" style="40"/>
    <col min="13321" max="13322" width="9.28515625" style="40" bestFit="1" customWidth="1"/>
    <col min="13323" max="13324" width="9.140625" style="40"/>
    <col min="13325" max="13325" width="17.85546875" style="40" customWidth="1"/>
    <col min="13326" max="13568" width="9.140625" style="40"/>
    <col min="13569" max="13569" width="2.7109375" style="40" customWidth="1"/>
    <col min="13570" max="13570" width="27.5703125" style="40" customWidth="1"/>
    <col min="13571" max="13571" width="30.28515625" style="40" customWidth="1"/>
    <col min="13572" max="13572" width="13.140625" style="40" customWidth="1"/>
    <col min="13573" max="13573" width="17.28515625" style="40" customWidth="1"/>
    <col min="13574" max="13574" width="1.7109375" style="40" customWidth="1"/>
    <col min="13575" max="13575" width="10.5703125" style="40" bestFit="1" customWidth="1"/>
    <col min="13576" max="13576" width="9.140625" style="40"/>
    <col min="13577" max="13578" width="9.28515625" style="40" bestFit="1" customWidth="1"/>
    <col min="13579" max="13580" width="9.140625" style="40"/>
    <col min="13581" max="13581" width="17.85546875" style="40" customWidth="1"/>
    <col min="13582" max="13824" width="9.140625" style="40"/>
    <col min="13825" max="13825" width="2.7109375" style="40" customWidth="1"/>
    <col min="13826" max="13826" width="27.5703125" style="40" customWidth="1"/>
    <col min="13827" max="13827" width="30.28515625" style="40" customWidth="1"/>
    <col min="13828" max="13828" width="13.140625" style="40" customWidth="1"/>
    <col min="13829" max="13829" width="17.28515625" style="40" customWidth="1"/>
    <col min="13830" max="13830" width="1.7109375" style="40" customWidth="1"/>
    <col min="13831" max="13831" width="10.5703125" style="40" bestFit="1" customWidth="1"/>
    <col min="13832" max="13832" width="9.140625" style="40"/>
    <col min="13833" max="13834" width="9.28515625" style="40" bestFit="1" customWidth="1"/>
    <col min="13835" max="13836" width="9.140625" style="40"/>
    <col min="13837" max="13837" width="17.85546875" style="40" customWidth="1"/>
    <col min="13838" max="14080" width="9.140625" style="40"/>
    <col min="14081" max="14081" width="2.7109375" style="40" customWidth="1"/>
    <col min="14082" max="14082" width="27.5703125" style="40" customWidth="1"/>
    <col min="14083" max="14083" width="30.28515625" style="40" customWidth="1"/>
    <col min="14084" max="14084" width="13.140625" style="40" customWidth="1"/>
    <col min="14085" max="14085" width="17.28515625" style="40" customWidth="1"/>
    <col min="14086" max="14086" width="1.7109375" style="40" customWidth="1"/>
    <col min="14087" max="14087" width="10.5703125" style="40" bestFit="1" customWidth="1"/>
    <col min="14088" max="14088" width="9.140625" style="40"/>
    <col min="14089" max="14090" width="9.28515625" style="40" bestFit="1" customWidth="1"/>
    <col min="14091" max="14092" width="9.140625" style="40"/>
    <col min="14093" max="14093" width="17.85546875" style="40" customWidth="1"/>
    <col min="14094" max="14336" width="9.140625" style="40"/>
    <col min="14337" max="14337" width="2.7109375" style="40" customWidth="1"/>
    <col min="14338" max="14338" width="27.5703125" style="40" customWidth="1"/>
    <col min="14339" max="14339" width="30.28515625" style="40" customWidth="1"/>
    <col min="14340" max="14340" width="13.140625" style="40" customWidth="1"/>
    <col min="14341" max="14341" width="17.28515625" style="40" customWidth="1"/>
    <col min="14342" max="14342" width="1.7109375" style="40" customWidth="1"/>
    <col min="14343" max="14343" width="10.5703125" style="40" bestFit="1" customWidth="1"/>
    <col min="14344" max="14344" width="9.140625" style="40"/>
    <col min="14345" max="14346" width="9.28515625" style="40" bestFit="1" customWidth="1"/>
    <col min="14347" max="14348" width="9.140625" style="40"/>
    <col min="14349" max="14349" width="17.85546875" style="40" customWidth="1"/>
    <col min="14350" max="14592" width="9.140625" style="40"/>
    <col min="14593" max="14593" width="2.7109375" style="40" customWidth="1"/>
    <col min="14594" max="14594" width="27.5703125" style="40" customWidth="1"/>
    <col min="14595" max="14595" width="30.28515625" style="40" customWidth="1"/>
    <col min="14596" max="14596" width="13.140625" style="40" customWidth="1"/>
    <col min="14597" max="14597" width="17.28515625" style="40" customWidth="1"/>
    <col min="14598" max="14598" width="1.7109375" style="40" customWidth="1"/>
    <col min="14599" max="14599" width="10.5703125" style="40" bestFit="1" customWidth="1"/>
    <col min="14600" max="14600" width="9.140625" style="40"/>
    <col min="14601" max="14602" width="9.28515625" style="40" bestFit="1" customWidth="1"/>
    <col min="14603" max="14604" width="9.140625" style="40"/>
    <col min="14605" max="14605" width="17.85546875" style="40" customWidth="1"/>
    <col min="14606" max="14848" width="9.140625" style="40"/>
    <col min="14849" max="14849" width="2.7109375" style="40" customWidth="1"/>
    <col min="14850" max="14850" width="27.5703125" style="40" customWidth="1"/>
    <col min="14851" max="14851" width="30.28515625" style="40" customWidth="1"/>
    <col min="14852" max="14852" width="13.140625" style="40" customWidth="1"/>
    <col min="14853" max="14853" width="17.28515625" style="40" customWidth="1"/>
    <col min="14854" max="14854" width="1.7109375" style="40" customWidth="1"/>
    <col min="14855" max="14855" width="10.5703125" style="40" bestFit="1" customWidth="1"/>
    <col min="14856" max="14856" width="9.140625" style="40"/>
    <col min="14857" max="14858" width="9.28515625" style="40" bestFit="1" customWidth="1"/>
    <col min="14859" max="14860" width="9.140625" style="40"/>
    <col min="14861" max="14861" width="17.85546875" style="40" customWidth="1"/>
    <col min="14862" max="15104" width="9.140625" style="40"/>
    <col min="15105" max="15105" width="2.7109375" style="40" customWidth="1"/>
    <col min="15106" max="15106" width="27.5703125" style="40" customWidth="1"/>
    <col min="15107" max="15107" width="30.28515625" style="40" customWidth="1"/>
    <col min="15108" max="15108" width="13.140625" style="40" customWidth="1"/>
    <col min="15109" max="15109" width="17.28515625" style="40" customWidth="1"/>
    <col min="15110" max="15110" width="1.7109375" style="40" customWidth="1"/>
    <col min="15111" max="15111" width="10.5703125" style="40" bestFit="1" customWidth="1"/>
    <col min="15112" max="15112" width="9.140625" style="40"/>
    <col min="15113" max="15114" width="9.28515625" style="40" bestFit="1" customWidth="1"/>
    <col min="15115" max="15116" width="9.140625" style="40"/>
    <col min="15117" max="15117" width="17.85546875" style="40" customWidth="1"/>
    <col min="15118" max="15360" width="9.140625" style="40"/>
    <col min="15361" max="15361" width="2.7109375" style="40" customWidth="1"/>
    <col min="15362" max="15362" width="27.5703125" style="40" customWidth="1"/>
    <col min="15363" max="15363" width="30.28515625" style="40" customWidth="1"/>
    <col min="15364" max="15364" width="13.140625" style="40" customWidth="1"/>
    <col min="15365" max="15365" width="17.28515625" style="40" customWidth="1"/>
    <col min="15366" max="15366" width="1.7109375" style="40" customWidth="1"/>
    <col min="15367" max="15367" width="10.5703125" style="40" bestFit="1" customWidth="1"/>
    <col min="15368" max="15368" width="9.140625" style="40"/>
    <col min="15369" max="15370" width="9.28515625" style="40" bestFit="1" customWidth="1"/>
    <col min="15371" max="15372" width="9.140625" style="40"/>
    <col min="15373" max="15373" width="17.85546875" style="40" customWidth="1"/>
    <col min="15374" max="15616" width="9.140625" style="40"/>
    <col min="15617" max="15617" width="2.7109375" style="40" customWidth="1"/>
    <col min="15618" max="15618" width="27.5703125" style="40" customWidth="1"/>
    <col min="15619" max="15619" width="30.28515625" style="40" customWidth="1"/>
    <col min="15620" max="15620" width="13.140625" style="40" customWidth="1"/>
    <col min="15621" max="15621" width="17.28515625" style="40" customWidth="1"/>
    <col min="15622" max="15622" width="1.7109375" style="40" customWidth="1"/>
    <col min="15623" max="15623" width="10.5703125" style="40" bestFit="1" customWidth="1"/>
    <col min="15624" max="15624" width="9.140625" style="40"/>
    <col min="15625" max="15626" width="9.28515625" style="40" bestFit="1" customWidth="1"/>
    <col min="15627" max="15628" width="9.140625" style="40"/>
    <col min="15629" max="15629" width="17.85546875" style="40" customWidth="1"/>
    <col min="15630" max="15872" width="9.140625" style="40"/>
    <col min="15873" max="15873" width="2.7109375" style="40" customWidth="1"/>
    <col min="15874" max="15874" width="27.5703125" style="40" customWidth="1"/>
    <col min="15875" max="15875" width="30.28515625" style="40" customWidth="1"/>
    <col min="15876" max="15876" width="13.140625" style="40" customWidth="1"/>
    <col min="15877" max="15877" width="17.28515625" style="40" customWidth="1"/>
    <col min="15878" max="15878" width="1.7109375" style="40" customWidth="1"/>
    <col min="15879" max="15879" width="10.5703125" style="40" bestFit="1" customWidth="1"/>
    <col min="15880" max="15880" width="9.140625" style="40"/>
    <col min="15881" max="15882" width="9.28515625" style="40" bestFit="1" customWidth="1"/>
    <col min="15883" max="15884" width="9.140625" style="40"/>
    <col min="15885" max="15885" width="17.85546875" style="40" customWidth="1"/>
    <col min="15886" max="16128" width="9.140625" style="40"/>
    <col min="16129" max="16129" width="2.7109375" style="40" customWidth="1"/>
    <col min="16130" max="16130" width="27.5703125" style="40" customWidth="1"/>
    <col min="16131" max="16131" width="30.28515625" style="40" customWidth="1"/>
    <col min="16132" max="16132" width="13.140625" style="40" customWidth="1"/>
    <col min="16133" max="16133" width="17.28515625" style="40" customWidth="1"/>
    <col min="16134" max="16134" width="1.7109375" style="40" customWidth="1"/>
    <col min="16135" max="16135" width="10.5703125" style="40" bestFit="1" customWidth="1"/>
    <col min="16136" max="16136" width="9.140625" style="40"/>
    <col min="16137" max="16138" width="9.28515625" style="40" bestFit="1" customWidth="1"/>
    <col min="16139" max="16140" width="9.140625" style="40"/>
    <col min="16141" max="16141" width="17.85546875" style="40" customWidth="1"/>
    <col min="16142" max="16384" width="9.140625" style="40"/>
  </cols>
  <sheetData>
    <row r="1" spans="1:23" x14ac:dyDescent="0.25">
      <c r="A1" s="391"/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3"/>
    </row>
    <row r="2" spans="1:23" x14ac:dyDescent="0.25">
      <c r="A2" s="317"/>
      <c r="B2" s="394" t="s">
        <v>171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18"/>
    </row>
    <row r="3" spans="1:23" x14ac:dyDescent="0.25">
      <c r="A3" s="317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18"/>
    </row>
    <row r="4" spans="1:23" ht="15.75" thickBot="1" x14ac:dyDescent="0.3">
      <c r="A4" s="317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 t="s">
        <v>378</v>
      </c>
      <c r="N4" s="318"/>
    </row>
    <row r="5" spans="1:23" ht="24.95" customHeight="1" thickBot="1" x14ac:dyDescent="0.3">
      <c r="A5" s="317"/>
      <c r="B5" s="395"/>
      <c r="C5" s="396" t="s">
        <v>172</v>
      </c>
      <c r="D5" s="397"/>
      <c r="E5" s="1335">
        <f>+M19</f>
        <v>546030</v>
      </c>
      <c r="F5" s="1336"/>
      <c r="G5" s="1337"/>
      <c r="H5" s="397"/>
      <c r="I5" s="397"/>
      <c r="J5" s="39"/>
      <c r="K5" s="39"/>
      <c r="L5" s="39"/>
      <c r="M5" s="39"/>
      <c r="N5" s="318"/>
      <c r="Q5" s="652"/>
      <c r="R5" s="652"/>
      <c r="S5" s="652"/>
      <c r="T5" s="652"/>
      <c r="U5" s="652"/>
      <c r="V5" s="652"/>
      <c r="W5" s="652"/>
    </row>
    <row r="6" spans="1:23" ht="12.75" customHeight="1" thickBot="1" x14ac:dyDescent="0.3">
      <c r="A6" s="317"/>
      <c r="B6" s="398"/>
      <c r="C6" s="399"/>
      <c r="D6" s="397"/>
      <c r="E6" s="400"/>
      <c r="F6" s="401"/>
      <c r="G6" s="401"/>
      <c r="H6" s="397"/>
      <c r="I6" s="397"/>
      <c r="J6" s="39"/>
      <c r="K6" s="39"/>
      <c r="L6" s="39"/>
      <c r="M6" s="39"/>
      <c r="N6" s="318"/>
      <c r="Q6" s="652"/>
      <c r="R6" s="652"/>
      <c r="S6" s="652"/>
      <c r="T6" s="652"/>
      <c r="U6" s="652"/>
      <c r="V6" s="652"/>
      <c r="W6" s="652"/>
    </row>
    <row r="7" spans="1:23" ht="24.95" customHeight="1" thickBot="1" x14ac:dyDescent="0.3">
      <c r="A7" s="317"/>
      <c r="B7" s="395"/>
      <c r="C7" s="396" t="s">
        <v>173</v>
      </c>
      <c r="D7" s="402">
        <f>+N10</f>
        <v>0.49814517300516664</v>
      </c>
      <c r="E7" s="1338">
        <f>+N10+IF(E5="","",E5*D7)</f>
        <v>272002.70696118416</v>
      </c>
      <c r="F7" s="1339"/>
      <c r="G7" s="1340"/>
      <c r="H7" s="397"/>
      <c r="I7" s="397"/>
      <c r="J7" s="39"/>
      <c r="K7" s="39"/>
      <c r="L7" s="403" t="s">
        <v>174</v>
      </c>
      <c r="M7" s="404">
        <v>1537177</v>
      </c>
      <c r="N7" s="405">
        <f>+M7/$M$7</f>
        <v>1</v>
      </c>
      <c r="P7" s="673"/>
      <c r="Q7" s="674"/>
      <c r="R7" s="674"/>
      <c r="S7" s="674"/>
      <c r="T7" s="674"/>
      <c r="U7" s="674"/>
      <c r="V7" s="652"/>
      <c r="W7" s="652"/>
    </row>
    <row r="8" spans="1:23" ht="12.75" customHeight="1" thickBot="1" x14ac:dyDescent="0.3">
      <c r="A8" s="317"/>
      <c r="B8" s="398"/>
      <c r="C8" s="399"/>
      <c r="D8" s="397"/>
      <c r="E8" s="400"/>
      <c r="F8" s="401"/>
      <c r="G8" s="401"/>
      <c r="H8" s="397"/>
      <c r="I8" s="397"/>
      <c r="J8" s="39"/>
      <c r="K8" s="39"/>
      <c r="L8" s="21"/>
      <c r="M8" s="406"/>
      <c r="N8" s="407"/>
      <c r="P8" s="673"/>
      <c r="Q8" s="674"/>
      <c r="R8" s="674"/>
      <c r="S8" s="674"/>
      <c r="T8" s="674"/>
      <c r="U8" s="674"/>
      <c r="V8" s="652"/>
      <c r="W8" s="652"/>
    </row>
    <row r="9" spans="1:23" ht="24.95" customHeight="1" thickBot="1" x14ac:dyDescent="0.3">
      <c r="A9" s="317"/>
      <c r="B9" s="395"/>
      <c r="C9" s="396" t="s">
        <v>175</v>
      </c>
      <c r="D9" s="408">
        <f>IF(D7="","",1-D7)</f>
        <v>0.5018548269948333</v>
      </c>
      <c r="E9" s="1338">
        <f>+IF(E5="","",E5*D9)</f>
        <v>274027.79118398885</v>
      </c>
      <c r="F9" s="1339"/>
      <c r="G9" s="1340"/>
      <c r="H9" s="397"/>
      <c r="I9" s="397"/>
      <c r="J9" s="39"/>
      <c r="K9" s="39" t="s">
        <v>176</v>
      </c>
      <c r="L9" s="409" t="s">
        <v>119</v>
      </c>
      <c r="M9" s="410">
        <f>390166+72774</f>
        <v>462940</v>
      </c>
      <c r="N9" s="411">
        <f>+M9/$M$11</f>
        <v>0.50185482699483341</v>
      </c>
      <c r="P9" s="673"/>
      <c r="Q9" s="674"/>
      <c r="R9" s="674"/>
      <c r="S9" s="674"/>
      <c r="T9" s="674"/>
      <c r="U9" s="674"/>
      <c r="V9" s="652"/>
      <c r="W9" s="652"/>
    </row>
    <row r="10" spans="1:23" ht="15.75" thickBot="1" x14ac:dyDescent="0.3">
      <c r="A10" s="317"/>
      <c r="B10" s="397"/>
      <c r="C10" s="397"/>
      <c r="D10" s="397"/>
      <c r="E10" s="397"/>
      <c r="F10" s="397"/>
      <c r="G10" s="397"/>
      <c r="H10" s="397"/>
      <c r="I10" s="397"/>
      <c r="J10" s="39"/>
      <c r="K10" s="39"/>
      <c r="L10" s="412" t="s">
        <v>348</v>
      </c>
      <c r="M10" s="413">
        <v>459518</v>
      </c>
      <c r="N10" s="414">
        <f>+M10/$M$11</f>
        <v>0.49814517300516664</v>
      </c>
      <c r="P10" s="673"/>
      <c r="Q10" s="674"/>
      <c r="R10" s="674"/>
      <c r="S10" s="674"/>
      <c r="T10" s="674"/>
      <c r="U10" s="674"/>
      <c r="V10" s="652"/>
      <c r="W10" s="652"/>
    </row>
    <row r="11" spans="1:23" ht="24.95" customHeight="1" thickBot="1" x14ac:dyDescent="0.3">
      <c r="A11" s="317"/>
      <c r="B11" s="415"/>
      <c r="C11" s="396" t="s">
        <v>177</v>
      </c>
      <c r="D11" s="397"/>
      <c r="E11" s="1335">
        <f>+M10</f>
        <v>459518</v>
      </c>
      <c r="F11" s="1336"/>
      <c r="G11" s="1337"/>
      <c r="H11" s="397"/>
      <c r="I11" s="397"/>
      <c r="J11" s="39"/>
      <c r="K11" s="39"/>
      <c r="L11" s="416" t="s">
        <v>355</v>
      </c>
      <c r="M11" s="417">
        <f>SUM(M9:M10)</f>
        <v>922458</v>
      </c>
      <c r="N11" s="418">
        <f>+M11/$M$11</f>
        <v>1</v>
      </c>
      <c r="P11" s="673"/>
      <c r="Q11" s="674"/>
      <c r="R11" s="674"/>
      <c r="S11" s="674"/>
      <c r="T11" s="674"/>
      <c r="U11" s="674"/>
      <c r="V11" s="652"/>
      <c r="W11" s="652"/>
    </row>
    <row r="12" spans="1:23" ht="15.75" thickBot="1" x14ac:dyDescent="0.3">
      <c r="A12" s="317"/>
      <c r="B12" s="397"/>
      <c r="C12" s="397"/>
      <c r="D12" s="397"/>
      <c r="E12" s="397"/>
      <c r="F12" s="397"/>
      <c r="G12" s="397"/>
      <c r="H12" s="397"/>
      <c r="I12" s="397"/>
      <c r="J12" s="39"/>
      <c r="K12" s="39"/>
      <c r="L12" s="39"/>
      <c r="M12" s="419"/>
      <c r="N12" s="318"/>
      <c r="P12" s="673"/>
      <c r="Q12" s="674"/>
      <c r="R12" s="674"/>
      <c r="S12" s="674"/>
      <c r="T12" s="674"/>
      <c r="U12" s="674"/>
      <c r="V12" s="652"/>
      <c r="W12" s="652"/>
    </row>
    <row r="13" spans="1:23" ht="24.95" customHeight="1" thickBot="1" x14ac:dyDescent="0.3">
      <c r="A13" s="317"/>
      <c r="B13" s="415"/>
      <c r="C13" s="396" t="s">
        <v>178</v>
      </c>
      <c r="D13" s="397"/>
      <c r="E13" s="466">
        <f>IF(E11="","",E7/E11)</f>
        <v>0.59193047271528898</v>
      </c>
      <c r="F13" s="467"/>
      <c r="G13" s="468"/>
      <c r="H13" s="397"/>
      <c r="I13" s="397"/>
      <c r="J13" s="39"/>
      <c r="K13" s="39"/>
      <c r="L13" s="420" t="s">
        <v>349</v>
      </c>
      <c r="M13" s="421">
        <f>+M7-M11</f>
        <v>614719</v>
      </c>
      <c r="N13" s="405">
        <f>+M13/$M$7</f>
        <v>0.39990124754663908</v>
      </c>
      <c r="P13" s="673"/>
      <c r="Q13" s="674"/>
      <c r="R13" s="674"/>
      <c r="S13" s="674"/>
      <c r="T13" s="674"/>
      <c r="U13" s="674"/>
      <c r="V13" s="652"/>
      <c r="W13" s="652"/>
    </row>
    <row r="14" spans="1:23" ht="15.75" thickBot="1" x14ac:dyDescent="0.3">
      <c r="A14" s="317"/>
      <c r="B14" s="397"/>
      <c r="C14" s="397"/>
      <c r="D14" s="397"/>
      <c r="E14" s="397"/>
      <c r="F14" s="397"/>
      <c r="G14" s="397"/>
      <c r="H14" s="397"/>
      <c r="I14" s="397"/>
      <c r="J14" s="39"/>
      <c r="K14" s="39"/>
      <c r="L14" s="21"/>
      <c r="M14" s="406"/>
      <c r="N14" s="422"/>
      <c r="P14" s="673"/>
      <c r="Q14" s="674"/>
      <c r="R14" s="674"/>
      <c r="S14" s="674"/>
      <c r="T14" s="674"/>
      <c r="U14" s="674"/>
      <c r="V14" s="652"/>
      <c r="W14" s="652"/>
    </row>
    <row r="15" spans="1:23" ht="24.75" customHeight="1" thickBot="1" x14ac:dyDescent="0.3">
      <c r="A15" s="317"/>
      <c r="B15" s="415"/>
      <c r="C15" s="396" t="s">
        <v>179</v>
      </c>
      <c r="D15" s="397"/>
      <c r="E15" s="1332">
        <v>0.12</v>
      </c>
      <c r="F15" s="1333"/>
      <c r="G15" s="1334"/>
      <c r="H15" s="397"/>
      <c r="I15" s="397"/>
      <c r="J15" s="39"/>
      <c r="K15" s="39"/>
      <c r="L15" s="409" t="s">
        <v>350</v>
      </c>
      <c r="M15" s="410">
        <f>M10+M16</f>
        <v>589613</v>
      </c>
      <c r="N15" s="411">
        <f>+M15/$M$7</f>
        <v>0.38356871069499476</v>
      </c>
      <c r="P15" s="673"/>
      <c r="Q15" s="674"/>
      <c r="R15" s="674"/>
      <c r="S15" s="674"/>
      <c r="T15" s="674"/>
      <c r="U15" s="674"/>
      <c r="V15" s="652"/>
      <c r="W15" s="652"/>
    </row>
    <row r="16" spans="1:23" ht="15.75" thickBot="1" x14ac:dyDescent="0.3">
      <c r="A16" s="317"/>
      <c r="B16" s="397"/>
      <c r="C16" s="397"/>
      <c r="D16" s="397"/>
      <c r="E16" s="397" t="s">
        <v>379</v>
      </c>
      <c r="F16" s="397"/>
      <c r="G16" s="397"/>
      <c r="H16" s="397"/>
      <c r="I16" s="397"/>
      <c r="J16" s="39"/>
      <c r="K16" s="39"/>
      <c r="L16" s="423" t="s">
        <v>351</v>
      </c>
      <c r="M16" s="424">
        <v>130095</v>
      </c>
      <c r="N16" s="425">
        <f>+M16/$M$7</f>
        <v>8.4632413833930636E-2</v>
      </c>
      <c r="P16" s="673"/>
      <c r="Q16" s="674"/>
      <c r="R16" s="674"/>
      <c r="S16" s="674"/>
      <c r="T16" s="674"/>
      <c r="U16" s="674"/>
      <c r="V16" s="652"/>
      <c r="W16" s="652"/>
    </row>
    <row r="17" spans="1:23" ht="24.75" thickBot="1" x14ac:dyDescent="0.3">
      <c r="A17" s="317"/>
      <c r="B17" s="426" t="s">
        <v>180</v>
      </c>
      <c r="C17" s="426" t="s">
        <v>131</v>
      </c>
      <c r="D17" s="427" t="s">
        <v>181</v>
      </c>
      <c r="E17" s="427" t="s">
        <v>182</v>
      </c>
      <c r="F17" s="397"/>
      <c r="G17" s="427" t="s">
        <v>183</v>
      </c>
      <c r="H17" s="397"/>
      <c r="I17" s="397"/>
      <c r="J17" s="39"/>
      <c r="K17" s="39"/>
      <c r="L17" s="423" t="s">
        <v>352</v>
      </c>
      <c r="M17" s="671">
        <f>372621-113399</f>
        <v>259222</v>
      </c>
      <c r="N17" s="425">
        <f>+M17/$M$7</f>
        <v>0.16863510187831329</v>
      </c>
      <c r="P17" s="673"/>
      <c r="Q17" s="674"/>
      <c r="R17" s="674"/>
      <c r="S17" s="674"/>
      <c r="T17" s="674"/>
      <c r="U17" s="674"/>
      <c r="V17" s="652"/>
      <c r="W17" s="652"/>
    </row>
    <row r="18" spans="1:23" x14ac:dyDescent="0.25">
      <c r="A18" s="317"/>
      <c r="B18" s="397"/>
      <c r="C18" s="397"/>
      <c r="D18" s="397"/>
      <c r="E18" s="397"/>
      <c r="F18" s="397"/>
      <c r="G18" s="397"/>
      <c r="H18" s="397"/>
      <c r="I18" s="397"/>
      <c r="J18" s="39"/>
      <c r="K18" s="39"/>
      <c r="L18" s="423" t="s">
        <v>353</v>
      </c>
      <c r="M18" s="424">
        <f>113399+43314</f>
        <v>156713</v>
      </c>
      <c r="N18" s="425">
        <f t="shared" ref="N18:N23" si="0">+M18/$M$7</f>
        <v>0.10194857196015814</v>
      </c>
      <c r="P18" s="673"/>
      <c r="Q18" s="674"/>
      <c r="R18" s="674"/>
      <c r="S18" s="674"/>
      <c r="T18" s="674"/>
      <c r="U18" s="674"/>
      <c r="V18" s="652"/>
      <c r="W18" s="652"/>
    </row>
    <row r="19" spans="1:23" ht="15.75" thickBot="1" x14ac:dyDescent="0.3">
      <c r="A19" s="317"/>
      <c r="B19" s="397"/>
      <c r="C19" s="397"/>
      <c r="D19" s="397"/>
      <c r="E19" s="397"/>
      <c r="F19" s="397"/>
      <c r="G19" s="397"/>
      <c r="H19" s="916" t="s">
        <v>344</v>
      </c>
      <c r="I19" s="916"/>
      <c r="J19" s="39"/>
      <c r="K19" s="39"/>
      <c r="L19" s="428" t="s">
        <v>354</v>
      </c>
      <c r="M19" s="429">
        <f>SUM(M16:M18)</f>
        <v>546030</v>
      </c>
      <c r="N19" s="425">
        <f>+M19/$M$7</f>
        <v>0.35521608767240209</v>
      </c>
      <c r="P19" s="673"/>
      <c r="Q19" s="674"/>
      <c r="R19" s="674"/>
      <c r="S19" s="674"/>
      <c r="T19" s="674"/>
      <c r="U19" s="674"/>
      <c r="V19" s="652"/>
      <c r="W19" s="652"/>
    </row>
    <row r="20" spans="1:23" ht="24.95" customHeight="1" x14ac:dyDescent="0.3">
      <c r="A20" s="317"/>
      <c r="B20" s="1005" t="str">
        <f>IF('calcul fardeau'!B6="","",'calcul fardeau'!B6)</f>
        <v>William Desrochers</v>
      </c>
      <c r="C20" s="1006">
        <f>IF('calcul fardeau'!C6,'calcul fardeau'!C6,"")</f>
        <v>20</v>
      </c>
      <c r="D20" s="1006">
        <f>IF('calcul fardeau'!AA6,'calcul fardeau'!AA6,"")</f>
        <v>32.742957022414146</v>
      </c>
      <c r="E20" s="1007">
        <f>IF(D20="","",IF($E$13="","",D20*(1+$E$13)))</f>
        <v>52.124511050788144</v>
      </c>
      <c r="F20" s="1008"/>
      <c r="G20" s="1009">
        <f>IF(D20="","",E20/(1-$E$15))</f>
        <v>59.23239892135016</v>
      </c>
      <c r="H20" s="1010">
        <f>'calcul fardeau'!M6/2080</f>
        <v>24.496769230769232</v>
      </c>
      <c r="I20" s="916"/>
      <c r="J20" s="39"/>
      <c r="K20" s="39"/>
      <c r="L20" s="423"/>
      <c r="M20" s="424"/>
      <c r="N20" s="567">
        <f>+M19/M11</f>
        <v>0.59192938865509326</v>
      </c>
      <c r="P20" s="673"/>
      <c r="Q20" s="674"/>
      <c r="R20" s="674"/>
      <c r="S20" s="674"/>
      <c r="T20" s="674"/>
      <c r="U20" s="674"/>
      <c r="V20" s="652"/>
      <c r="W20" s="652"/>
    </row>
    <row r="21" spans="1:23" ht="24.95" customHeight="1" x14ac:dyDescent="0.3">
      <c r="A21" s="317"/>
      <c r="B21" s="1005" t="str">
        <f>IF('calcul fardeau'!B7="","",'calcul fardeau'!B7)</f>
        <v>Patrick Jacob</v>
      </c>
      <c r="C21" s="1006">
        <f>IF('calcul fardeau'!C7,'calcul fardeau'!C7,"")</f>
        <v>20</v>
      </c>
      <c r="D21" s="1006">
        <f>IF('calcul fardeau'!AA7,'calcul fardeau'!AA7,"")</f>
        <v>32.100349578449517</v>
      </c>
      <c r="E21" s="1011">
        <f>IF(D21="","",IF($E$13="","",D21*(1+$E$13)))</f>
        <v>51.101524678747168</v>
      </c>
      <c r="F21" s="1008"/>
      <c r="G21" s="1012">
        <f t="shared" ref="G21:G45" si="1">IF(D21="","",E21/(1-$E$15))</f>
        <v>58.069914407667234</v>
      </c>
      <c r="H21" s="1010">
        <f>'calcul fardeau'!M7/2080</f>
        <v>24.015999999999998</v>
      </c>
      <c r="I21" s="916"/>
      <c r="J21" s="39"/>
      <c r="K21" s="39"/>
      <c r="L21" s="435" t="s">
        <v>184</v>
      </c>
      <c r="M21" s="429">
        <f>+M13-M19</f>
        <v>68689</v>
      </c>
      <c r="N21" s="425">
        <f>+M21/$M$7</f>
        <v>4.4685159874236997E-2</v>
      </c>
      <c r="P21" s="673"/>
      <c r="Q21" s="674"/>
      <c r="R21" s="674"/>
      <c r="S21" s="674"/>
      <c r="T21" s="674"/>
      <c r="U21" s="674"/>
      <c r="V21" s="652"/>
      <c r="W21" s="652"/>
    </row>
    <row r="22" spans="1:23" ht="24.95" customHeight="1" x14ac:dyDescent="0.25">
      <c r="A22" s="317"/>
      <c r="B22" s="430" t="str">
        <f>IF('calcul fardeau'!B8="","",'calcul fardeau'!B8)</f>
        <v>Gabriel Durocher</v>
      </c>
      <c r="C22" s="321">
        <f>IF('calcul fardeau'!C8,'calcul fardeau'!C8,"")</f>
        <v>20</v>
      </c>
      <c r="D22" s="321">
        <f>IF('calcul fardeau'!AA8,'calcul fardeau'!AA8,"")</f>
        <v>35.490793780687397</v>
      </c>
      <c r="E22" s="433">
        <f>IF(D22="","",IF($E$13="","",D22*(1+$E$13)))</f>
        <v>56.498876120330529</v>
      </c>
      <c r="F22" s="397"/>
      <c r="G22" s="434">
        <f t="shared" si="1"/>
        <v>64.20326831855742</v>
      </c>
      <c r="H22" s="923">
        <f>'calcul fardeau'!M8/2080</f>
        <v>26.689076923076922</v>
      </c>
      <c r="I22" s="916"/>
      <c r="K22" s="39"/>
      <c r="L22" s="423"/>
      <c r="M22" s="424">
        <v>0</v>
      </c>
      <c r="N22" s="425">
        <f t="shared" si="0"/>
        <v>0</v>
      </c>
      <c r="P22" s="673"/>
      <c r="Q22" s="674"/>
      <c r="R22" s="674"/>
      <c r="S22" s="674"/>
      <c r="T22" s="674"/>
      <c r="U22" s="674"/>
      <c r="V22" s="652"/>
      <c r="W22" s="652"/>
    </row>
    <row r="23" spans="1:23" ht="24.95" customHeight="1" thickBot="1" x14ac:dyDescent="0.3">
      <c r="A23" s="317"/>
      <c r="B23" s="430" t="str">
        <f>IF('calcul fardeau'!B9="","",'calcul fardeau'!B9)</f>
        <v>Steve Peterson</v>
      </c>
      <c r="C23" s="321">
        <f>IF('calcul fardeau'!C9,'calcul fardeau'!C9,"")</f>
        <v>24</v>
      </c>
      <c r="D23" s="321">
        <f>IF('calcul fardeau'!AA9,'calcul fardeau'!AA9,"")</f>
        <v>44.102856834842605</v>
      </c>
      <c r="E23" s="433">
        <f>IF(D23="","",IF($E$13="","",D23*(1+$E$13)))</f>
        <v>70.208681729185699</v>
      </c>
      <c r="F23" s="397"/>
      <c r="G23" s="434">
        <f t="shared" si="1"/>
        <v>79.782592874074652</v>
      </c>
      <c r="H23" s="923">
        <f>'calcul fardeau'!M9/2080</f>
        <v>31.469084615384617</v>
      </c>
      <c r="I23" s="916"/>
      <c r="J23" s="39"/>
      <c r="K23" s="39"/>
      <c r="L23" s="436"/>
      <c r="M23" s="437">
        <f>+M21-M22</f>
        <v>68689</v>
      </c>
      <c r="N23" s="438">
        <f t="shared" si="0"/>
        <v>4.4685159874236997E-2</v>
      </c>
      <c r="P23" s="673"/>
      <c r="Q23" s="674"/>
      <c r="R23" s="674"/>
      <c r="S23" s="674"/>
      <c r="T23" s="674"/>
      <c r="U23" s="674"/>
      <c r="V23" s="652"/>
      <c r="W23" s="652"/>
    </row>
    <row r="24" spans="1:23" ht="24.95" customHeight="1" x14ac:dyDescent="0.25">
      <c r="A24" s="317"/>
      <c r="B24" s="430" t="str">
        <f>IF('calcul fardeau'!B10="","",'calcul fardeau'!B10)</f>
        <v>Daniel Gignac</v>
      </c>
      <c r="C24" s="321">
        <f>IF('calcul fardeau'!C10,'calcul fardeau'!C10,"")</f>
        <v>25</v>
      </c>
      <c r="D24" s="321">
        <f>IF('calcul fardeau'!AA10,'calcul fardeau'!AA10,"")</f>
        <v>49.68953390720133</v>
      </c>
      <c r="E24" s="433">
        <f>IF(D24="","",IF($E$13="","",D24*(1+$E$13)))</f>
        <v>79.1022832018934</v>
      </c>
      <c r="F24" s="397"/>
      <c r="G24" s="434">
        <f t="shared" si="1"/>
        <v>89.888958183969777</v>
      </c>
      <c r="H24" s="923">
        <f>'calcul fardeau'!M10/2080</f>
        <v>36.410961538461535</v>
      </c>
      <c r="I24" s="916"/>
      <c r="J24" s="39"/>
      <c r="K24" s="39"/>
      <c r="L24" s="39"/>
      <c r="M24" s="39"/>
      <c r="N24" s="318"/>
      <c r="P24" s="673"/>
      <c r="Q24" s="674"/>
      <c r="R24" s="674"/>
      <c r="S24" s="674"/>
      <c r="T24" s="674"/>
      <c r="U24" s="674"/>
      <c r="V24" s="652"/>
      <c r="W24" s="652"/>
    </row>
    <row r="25" spans="1:23" ht="24.95" customHeight="1" x14ac:dyDescent="0.25">
      <c r="A25" s="317"/>
      <c r="B25" s="430" t="str">
        <f>IF('calcul fardeau'!B11="","",'calcul fardeau'!B11)</f>
        <v>Christian Joyal</v>
      </c>
      <c r="C25" s="321">
        <f>IF('calcul fardeau'!C11,'calcul fardeau'!C11,"")</f>
        <v>30</v>
      </c>
      <c r="D25" s="321">
        <f>IF('calcul fardeau'!AA11,'calcul fardeau'!AA11,"")</f>
        <v>50.937075517464415</v>
      </c>
      <c r="E25" s="433">
        <f t="shared" ref="E25" si="2">IF(D25="","",IF($E$13="","",D25*(1+$E$13)))</f>
        <v>81.088282707251494</v>
      </c>
      <c r="F25" s="397"/>
      <c r="G25" s="434">
        <f t="shared" si="1"/>
        <v>92.145775803694875</v>
      </c>
      <c r="H25" s="923">
        <f>'calcul fardeau'!M11/2080</f>
        <v>36.345562499999993</v>
      </c>
      <c r="I25" s="916"/>
      <c r="J25" s="39"/>
      <c r="K25" s="39"/>
      <c r="L25" s="39"/>
      <c r="M25" s="39"/>
      <c r="N25" s="318"/>
      <c r="Q25" s="652"/>
      <c r="R25" s="652"/>
      <c r="S25" s="652"/>
      <c r="T25" s="652"/>
      <c r="U25" s="652"/>
      <c r="V25" s="652"/>
      <c r="W25" s="652"/>
    </row>
    <row r="26" spans="1:23" ht="24.95" customHeight="1" x14ac:dyDescent="0.25">
      <c r="A26" s="317"/>
      <c r="B26" s="430" t="str">
        <f>IF('calcul fardeau'!B12="","",'calcul fardeau'!B12)</f>
        <v/>
      </c>
      <c r="C26" s="321" t="str">
        <f>IF('calcul fardeau'!C12,'calcul fardeau'!C12,"")</f>
        <v/>
      </c>
      <c r="D26" s="321" t="str">
        <f>IF('calcul fardeau'!AA12,'calcul fardeau'!AA12,"")</f>
        <v/>
      </c>
      <c r="E26" s="433" t="str">
        <f>IF(D26="","",IF($E$13="","",D26*(1+$E$13)))</f>
        <v/>
      </c>
      <c r="G26" s="434" t="str">
        <f t="shared" si="1"/>
        <v/>
      </c>
      <c r="H26" s="923">
        <f>'calcul fardeau'!M12/2080</f>
        <v>0</v>
      </c>
      <c r="I26" s="917"/>
      <c r="J26" s="447"/>
      <c r="K26" s="39"/>
      <c r="L26" s="39"/>
      <c r="M26" s="39"/>
      <c r="N26" s="318"/>
      <c r="Q26" s="652"/>
      <c r="R26" s="652"/>
      <c r="S26" s="652"/>
      <c r="T26" s="653"/>
      <c r="U26" s="653"/>
      <c r="V26" s="652"/>
      <c r="W26" s="652"/>
    </row>
    <row r="27" spans="1:23" ht="24.95" customHeight="1" x14ac:dyDescent="0.25">
      <c r="A27" s="317"/>
      <c r="B27" s="430" t="str">
        <f>IF('calcul fardeau'!B13="","",'calcul fardeau'!B13)</f>
        <v>Pascal Desrochers</v>
      </c>
      <c r="C27" s="321">
        <f>IF('calcul fardeau'!C13,'calcul fardeau'!C13,"")</f>
        <v>35</v>
      </c>
      <c r="D27" s="321">
        <f>IF('calcul fardeau'!AA13,'calcul fardeau'!AA13,"")</f>
        <v>62.021352145321245</v>
      </c>
      <c r="E27" s="450">
        <f t="shared" ref="E27" si="3">IF(D27="","",IF($E$13="","",D27*(1+$E$13)))</f>
        <v>98.733680439142645</v>
      </c>
      <c r="F27" s="397"/>
      <c r="G27" s="434">
        <f t="shared" ref="G27:G32" si="4">IF(D27="","",E27/(1-$E$15))</f>
        <v>112.19736413538936</v>
      </c>
      <c r="H27" s="923">
        <f>'calcul fardeau'!M13/2080</f>
        <v>44.254620192307684</v>
      </c>
      <c r="J27" s="39"/>
      <c r="K27" s="39"/>
      <c r="L27" s="39"/>
      <c r="M27" s="39"/>
      <c r="N27" s="318"/>
      <c r="Q27" s="652"/>
      <c r="R27" s="652"/>
      <c r="S27" s="652"/>
      <c r="T27" s="652"/>
      <c r="U27" s="652"/>
      <c r="V27" s="652"/>
      <c r="W27" s="652"/>
    </row>
    <row r="28" spans="1:23" ht="24.95" customHeight="1" x14ac:dyDescent="0.25">
      <c r="A28" s="317"/>
      <c r="B28" s="430" t="str">
        <f>IF('calcul fardeau'!B14="","",'calcul fardeau'!B14)</f>
        <v>Estimation</v>
      </c>
      <c r="C28" s="321">
        <f>IF('calcul fardeau'!C14,'calcul fardeau'!C14,"")</f>
        <v>29</v>
      </c>
      <c r="D28" s="321">
        <f>IF('calcul fardeau'!AA14,'calcul fardeau'!AA14,"")</f>
        <v>48.371614920224232</v>
      </c>
      <c r="E28" s="450">
        <f>IF(D28="","",IF($E$13="","",D28*(1+$E$13)))</f>
        <v>77.004247805954492</v>
      </c>
      <c r="F28" s="397"/>
      <c r="G28" s="434">
        <f t="shared" si="4"/>
        <v>87.504827052221017</v>
      </c>
      <c r="H28" s="923">
        <f>'calcul fardeau'!M14/2080</f>
        <v>34.515007692307691</v>
      </c>
      <c r="I28" s="916"/>
      <c r="J28" s="39"/>
      <c r="K28" s="39"/>
      <c r="L28" s="39"/>
      <c r="M28" s="39"/>
      <c r="N28" s="318"/>
      <c r="Q28" s="652"/>
      <c r="R28" s="652"/>
      <c r="S28" s="652"/>
      <c r="T28" s="652"/>
      <c r="U28" s="652"/>
      <c r="V28" s="652"/>
      <c r="W28" s="652"/>
    </row>
    <row r="29" spans="1:23" ht="24.95" customHeight="1" x14ac:dyDescent="0.25">
      <c r="A29" s="317"/>
      <c r="B29" s="430" t="str">
        <f>IF('calcul fardeau'!B15="","",'calcul fardeau'!B15)</f>
        <v>Alexandre Jutras</v>
      </c>
      <c r="C29" s="321">
        <f>IF('calcul fardeau'!C15,'calcul fardeau'!C15,"")</f>
        <v>14.18</v>
      </c>
      <c r="D29" s="321">
        <f>IF('calcul fardeau'!AA15,'calcul fardeau'!AA15,"")</f>
        <v>26.197368248772499</v>
      </c>
      <c r="E29" s="450">
        <f>IF(D29="","",IF($E$13="","",D29*(1+$E$13)))</f>
        <v>41.704388820164908</v>
      </c>
      <c r="F29" s="397"/>
      <c r="G29" s="434">
        <f t="shared" si="4"/>
        <v>47.391350932005579</v>
      </c>
      <c r="H29" s="923">
        <f>'calcul fardeau'!M15/2080</f>
        <v>19.700420923076919</v>
      </c>
      <c r="I29" s="916"/>
      <c r="J29" s="39"/>
      <c r="K29" s="39"/>
      <c r="L29" s="39"/>
      <c r="M29" s="39"/>
      <c r="N29" s="318"/>
      <c r="Q29" s="652"/>
      <c r="R29" s="652"/>
      <c r="S29" s="652"/>
      <c r="T29" s="652"/>
      <c r="U29" s="652"/>
      <c r="V29" s="652"/>
      <c r="W29" s="652"/>
    </row>
    <row r="30" spans="1:23" ht="24.95" customHeight="1" x14ac:dyDescent="0.25">
      <c r="A30" s="317"/>
      <c r="B30" s="430" t="str">
        <f>IF('calcul fardeau'!B16="","",'calcul fardeau'!B16)</f>
        <v>Michel Desrosiers</v>
      </c>
      <c r="C30" s="321">
        <f>IF('calcul fardeau'!C16,'calcul fardeau'!C16,"")</f>
        <v>20</v>
      </c>
      <c r="D30" s="321">
        <f>IF('calcul fardeau'!AA16,'calcul fardeau'!AA16,"")</f>
        <v>35.490793780687397</v>
      </c>
      <c r="E30" s="450">
        <f>IF(D30="","",IF($E$13="","",D30*(1+$E$13)))</f>
        <v>56.498876120330529</v>
      </c>
      <c r="F30" s="397"/>
      <c r="G30" s="434">
        <f t="shared" si="4"/>
        <v>64.20326831855742</v>
      </c>
      <c r="H30" s="923">
        <f>'calcul fardeau'!M16/2080</f>
        <v>26.689076923076922</v>
      </c>
      <c r="I30" s="397"/>
      <c r="J30" s="39"/>
      <c r="K30" s="39"/>
      <c r="L30" s="39"/>
      <c r="M30" s="39"/>
      <c r="N30" s="318"/>
      <c r="Q30" s="652"/>
      <c r="R30" s="652"/>
      <c r="S30" s="652"/>
      <c r="T30" s="652"/>
      <c r="U30" s="652"/>
      <c r="V30" s="652"/>
      <c r="W30" s="652"/>
    </row>
    <row r="31" spans="1:23" ht="24.95" customHeight="1" x14ac:dyDescent="0.25">
      <c r="A31" s="317"/>
      <c r="B31" s="430" t="str">
        <f>IF('calcul fardeau'!B17="","",'calcul fardeau'!B17)</f>
        <v>Marc-Antoine Gignac</v>
      </c>
      <c r="C31" s="321">
        <f>IF('calcul fardeau'!C17,'calcul fardeau'!C17,"")</f>
        <v>20</v>
      </c>
      <c r="D31" s="321">
        <f>IF('calcul fardeau'!AA17,'calcul fardeau'!AA17,"")</f>
        <v>35.490793780687397</v>
      </c>
      <c r="E31" s="450">
        <f>IF(D31="","",IF($E$13="","",D31*(1+$E$13)))</f>
        <v>56.498876120330529</v>
      </c>
      <c r="F31" s="397"/>
      <c r="G31" s="434">
        <f t="shared" si="4"/>
        <v>64.20326831855742</v>
      </c>
      <c r="H31" s="923">
        <f>'calcul fardeau'!M17/2080</f>
        <v>26.689076923076922</v>
      </c>
      <c r="I31" s="397"/>
      <c r="J31" s="39"/>
      <c r="K31" s="39"/>
      <c r="L31" s="39"/>
      <c r="M31" s="39"/>
      <c r="N31" s="318"/>
      <c r="Q31" s="652"/>
      <c r="R31" s="652"/>
      <c r="S31" s="652"/>
      <c r="T31" s="652"/>
      <c r="U31" s="652"/>
      <c r="V31" s="652"/>
      <c r="W31" s="652"/>
    </row>
    <row r="32" spans="1:23" ht="24.95" customHeight="1" x14ac:dyDescent="0.25">
      <c r="A32" s="317"/>
      <c r="B32" s="430" t="str">
        <f>IF('calcul fardeau'!B18="","",'calcul fardeau'!B18)</f>
        <v>Keven Gauvreau</v>
      </c>
      <c r="C32" s="321">
        <f>IF('calcul fardeau'!C18,'calcul fardeau'!C18,"")</f>
        <v>22</v>
      </c>
      <c r="D32" s="321">
        <f>IF('calcul fardeau'!AA18,'calcul fardeau'!AA18,"")</f>
        <v>38.684410801963985</v>
      </c>
      <c r="E32" s="450">
        <f>IF(D32="","",IF($E$13="","",D32*(1+$E$13)))</f>
        <v>61.582892374682956</v>
      </c>
      <c r="F32" s="397"/>
      <c r="G32" s="434">
        <f t="shared" si="4"/>
        <v>69.980559516685176</v>
      </c>
      <c r="H32" s="923">
        <f>'calcul fardeau'!M18/2080</f>
        <v>29.09067692307692</v>
      </c>
      <c r="J32" s="39"/>
      <c r="K32" s="39"/>
      <c r="L32" s="39"/>
      <c r="M32" s="39"/>
      <c r="N32" s="318"/>
      <c r="Q32" s="652"/>
      <c r="R32" s="652"/>
      <c r="S32" s="652"/>
      <c r="T32" s="652"/>
      <c r="U32" s="652"/>
      <c r="V32" s="652"/>
      <c r="W32" s="652"/>
    </row>
    <row r="33" spans="1:23" ht="24.95" customHeight="1" x14ac:dyDescent="0.25">
      <c r="A33" s="317"/>
      <c r="B33" s="430" t="str">
        <f>IF('calcul fardeau'!B19="","",'calcul fardeau'!B19)</f>
        <v/>
      </c>
      <c r="C33" s="321" t="str">
        <f>IF('calcul fardeau'!C19,'calcul fardeau'!C19,"")</f>
        <v/>
      </c>
      <c r="D33" s="321"/>
      <c r="E33" s="450"/>
      <c r="F33" s="397"/>
      <c r="G33" s="434"/>
      <c r="H33" s="397"/>
      <c r="I33" s="397"/>
      <c r="J33" s="39"/>
      <c r="K33" s="39"/>
      <c r="L33" s="39"/>
      <c r="M33" s="39"/>
      <c r="N33" s="318"/>
      <c r="Q33" s="652"/>
      <c r="R33" s="652"/>
      <c r="S33" s="652"/>
      <c r="T33" s="652"/>
      <c r="U33" s="652"/>
      <c r="V33" s="652"/>
      <c r="W33" s="652"/>
    </row>
    <row r="34" spans="1:23" ht="24.95" customHeight="1" thickBot="1" x14ac:dyDescent="0.3">
      <c r="A34" s="317"/>
      <c r="B34" s="430" t="str">
        <f>IF('calcul fardeau'!B20="","",'calcul fardeau'!B20)</f>
        <v/>
      </c>
      <c r="C34" s="431" t="str">
        <f>IF('[2]Fardeau de la Main d''oeuvre'!C14="","",'[2]Fardeau de la Main d''oeuvre'!C14)</f>
        <v/>
      </c>
      <c r="D34" s="432"/>
      <c r="E34" s="433"/>
      <c r="F34" s="397"/>
      <c r="G34" s="434"/>
      <c r="H34" s="397"/>
      <c r="I34" s="446">
        <f>(H20+H21+H22+H23+H24+H29+H30+H31+H32)/9</f>
        <v>27.250127111111109</v>
      </c>
      <c r="J34" s="447"/>
      <c r="K34" s="39"/>
      <c r="L34" s="39"/>
      <c r="M34" s="39"/>
      <c r="N34" s="318"/>
      <c r="Q34" s="652"/>
      <c r="R34" s="652"/>
      <c r="S34" s="652"/>
      <c r="T34" s="653"/>
      <c r="U34" s="652"/>
      <c r="V34" s="652"/>
      <c r="W34" s="652"/>
    </row>
    <row r="35" spans="1:23" ht="24.95" customHeight="1" thickBot="1" x14ac:dyDescent="0.3">
      <c r="A35" s="317"/>
      <c r="B35" s="430" t="str">
        <f>IF('calcul fardeau'!B21="","",'calcul fardeau'!B21)</f>
        <v/>
      </c>
      <c r="C35" s="441" t="s">
        <v>185</v>
      </c>
      <c r="D35" s="442">
        <f>AVERAGE(D20:D34)</f>
        <v>40.943325026559677</v>
      </c>
      <c r="E35" s="443">
        <f>IF(D35="","",IF($E$13="","",D35*(1+$E$13)))</f>
        <v>65.178926764066873</v>
      </c>
      <c r="F35" s="444"/>
      <c r="G35" s="445">
        <f>IF(D35="","",E35/(1-$E$15))</f>
        <v>74.066962231894166</v>
      </c>
      <c r="H35" s="1004">
        <f>AVERAGE(H20:H34)</f>
        <v>27.720487260355029</v>
      </c>
      <c r="I35" s="397"/>
      <c r="J35" s="904"/>
      <c r="K35" s="39"/>
      <c r="L35" s="39"/>
      <c r="M35" s="39"/>
      <c r="N35" s="318"/>
      <c r="Q35" s="652"/>
      <c r="R35" s="652"/>
      <c r="S35" s="652"/>
      <c r="T35" s="652"/>
      <c r="U35" s="652"/>
      <c r="V35" s="652"/>
      <c r="W35" s="652"/>
    </row>
    <row r="36" spans="1:23" ht="24.95" customHeight="1" x14ac:dyDescent="0.25">
      <c r="A36" s="317"/>
      <c r="B36" s="430" t="s">
        <v>187</v>
      </c>
      <c r="C36" s="431" t="str">
        <f>IF('[2]Fardeau de la Main d''oeuvre'!C16="","",'[2]Fardeau de la Main d''oeuvre'!C16)</f>
        <v>Taux horaire</v>
      </c>
      <c r="D36" s="432"/>
      <c r="E36" s="433"/>
      <c r="F36" s="397"/>
      <c r="G36" s="434" t="str">
        <f t="shared" si="1"/>
        <v/>
      </c>
      <c r="H36" s="397"/>
      <c r="I36" s="397" t="s">
        <v>370</v>
      </c>
      <c r="J36" s="39"/>
      <c r="K36" s="39"/>
      <c r="L36" s="39"/>
      <c r="M36" s="39"/>
      <c r="N36" s="318"/>
      <c r="Q36" s="652"/>
      <c r="R36" s="652"/>
      <c r="S36" s="652"/>
      <c r="T36" s="652"/>
      <c r="U36" s="652"/>
      <c r="V36" s="652"/>
      <c r="W36" s="652"/>
    </row>
    <row r="37" spans="1:23" ht="24.95" customHeight="1" x14ac:dyDescent="0.25">
      <c r="A37" s="317"/>
      <c r="B37" s="430" t="str">
        <f>IF('calcul fardeau'!B23="","",'calcul fardeau'!B23)</f>
        <v>Apprenti 1</v>
      </c>
      <c r="C37" s="431">
        <f>IF(   'calcul fardeau'!C23="","",'calcul fardeau'!C23)</f>
        <v>24.5</v>
      </c>
      <c r="D37" s="464">
        <f>IF(   'calcul fardeau'!AA23="","",'calcul fardeau'!AA23)</f>
        <v>52.006373239436613</v>
      </c>
      <c r="E37" s="433">
        <f>IF(D37="","",IF($E$13="","",D37*(1+$E$13)))</f>
        <v>82.79053033526408</v>
      </c>
      <c r="F37" s="397"/>
      <c r="G37" s="434">
        <f>IF(D37="","",E37/(1-$E$15))</f>
        <v>94.080148108254633</v>
      </c>
      <c r="H37" s="1028">
        <f>'calcul fardeau'!U23</f>
        <v>44.309429999999999</v>
      </c>
      <c r="I37" s="976">
        <v>0.2</v>
      </c>
      <c r="J37" s="39"/>
      <c r="K37" s="39"/>
      <c r="L37" s="39"/>
      <c r="M37" s="39"/>
      <c r="N37" s="318"/>
      <c r="Q37" s="652"/>
      <c r="R37" s="652"/>
      <c r="S37" s="652"/>
      <c r="T37" s="652"/>
      <c r="U37" s="652"/>
      <c r="V37" s="652"/>
      <c r="W37" s="652"/>
    </row>
    <row r="38" spans="1:23" ht="24.95" customHeight="1" x14ac:dyDescent="0.25">
      <c r="A38" s="317"/>
      <c r="B38" s="430" t="str">
        <f>IF('calcul fardeau'!B24="","",'calcul fardeau'!B24)</f>
        <v>chantier compagnon</v>
      </c>
      <c r="C38" s="431">
        <f>IF(   'calcul fardeau'!C24="","",'calcul fardeau'!C24)</f>
        <v>40.840000000000003</v>
      </c>
      <c r="D38" s="464">
        <f>IF(   'calcul fardeau'!AA24="","",'calcul fardeau'!AA24)</f>
        <v>80.555459389671356</v>
      </c>
      <c r="E38" s="918">
        <f>IF(D38="","",IF($E$13="","",D38*(1+$E$13)))</f>
        <v>128.23869054599677</v>
      </c>
      <c r="F38" s="397"/>
      <c r="G38" s="434">
        <f>IF(D38="","",E38/(1-$E$15))</f>
        <v>145.72578471135998</v>
      </c>
      <c r="H38" s="1028">
        <f>'calcul fardeau'!U24</f>
        <v>68.633251400000006</v>
      </c>
      <c r="I38" s="397"/>
      <c r="J38" s="39"/>
      <c r="K38" s="39"/>
      <c r="L38" s="39"/>
      <c r="M38" s="39"/>
      <c r="N38" s="318"/>
      <c r="Q38" s="652"/>
      <c r="R38" s="652"/>
      <c r="S38" s="652"/>
      <c r="T38" s="652"/>
      <c r="U38" s="652"/>
      <c r="V38" s="652"/>
      <c r="W38" s="652"/>
    </row>
    <row r="39" spans="1:23" ht="24.95" customHeight="1" x14ac:dyDescent="0.25">
      <c r="A39" s="317"/>
      <c r="B39" s="430" t="str">
        <f>IF('calcul fardeau'!B25="","",'calcul fardeau'!B25)</f>
        <v>chantier apprenti 3</v>
      </c>
      <c r="C39" s="431">
        <f>IF(   'calcul fardeau'!C25="","",'calcul fardeau'!C25)</f>
        <v>34.71</v>
      </c>
      <c r="D39" s="464">
        <f>IF(   'calcul fardeau'!AA25="","",'calcul fardeau'!AA25)</f>
        <v>69.279694835680758</v>
      </c>
      <c r="E39" s="433">
        <f>IF(D39="","",IF($E$13="","",D39*(1+$E$13)))</f>
        <v>110.28845734933623</v>
      </c>
      <c r="F39" s="397"/>
      <c r="G39" s="434">
        <f>IF(D39="","",E39/(1-$E$15))</f>
        <v>125.32779244242754</v>
      </c>
      <c r="H39" s="1028">
        <f>'calcul fardeau'!U25</f>
        <v>59.026300000000006</v>
      </c>
      <c r="I39" s="397"/>
      <c r="J39" s="39"/>
      <c r="K39" s="39"/>
      <c r="L39" s="39"/>
      <c r="M39" s="39"/>
      <c r="N39" s="318"/>
      <c r="Q39" s="652"/>
      <c r="R39" s="652"/>
      <c r="S39" s="652"/>
      <c r="T39" s="652"/>
      <c r="U39" s="652"/>
      <c r="V39" s="652"/>
      <c r="W39" s="652"/>
    </row>
    <row r="40" spans="1:23" ht="24.95" customHeight="1" thickBot="1" x14ac:dyDescent="0.3">
      <c r="A40" s="317"/>
      <c r="B40" s="430"/>
      <c r="C40" s="439"/>
      <c r="D40" s="454"/>
      <c r="E40" s="440"/>
      <c r="F40" s="397"/>
      <c r="G40" s="434" t="str">
        <f>IF(D40="","",E40/(1-$E$15))</f>
        <v/>
      </c>
      <c r="H40" s="397"/>
      <c r="I40" s="397"/>
      <c r="J40" s="39"/>
      <c r="K40" s="39"/>
      <c r="L40" s="39"/>
      <c r="M40" s="39"/>
      <c r="N40" s="318"/>
      <c r="Q40" s="652"/>
      <c r="R40" s="652"/>
      <c r="S40" s="652"/>
      <c r="T40" s="652"/>
      <c r="U40" s="652"/>
      <c r="V40" s="652"/>
      <c r="W40" s="652"/>
    </row>
    <row r="41" spans="1:23" ht="24.95" customHeight="1" thickBot="1" x14ac:dyDescent="0.3">
      <c r="A41" s="317"/>
      <c r="B41" s="430"/>
      <c r="C41" s="441" t="s">
        <v>186</v>
      </c>
      <c r="D41" s="442">
        <f>SUM(D38:D40)/2</f>
        <v>74.917577112676057</v>
      </c>
      <c r="E41" s="443">
        <f>IF(D41="","",IF($E$13="","",D41*(1+$E$13)))</f>
        <v>119.26357394766652</v>
      </c>
      <c r="F41" s="451"/>
      <c r="G41" s="445">
        <f>IF(D41="","",E41/(1-$E$15))</f>
        <v>135.52678857689378</v>
      </c>
      <c r="H41" s="446" t="s">
        <v>187</v>
      </c>
      <c r="I41" s="397"/>
      <c r="J41" s="39"/>
      <c r="K41" s="39"/>
      <c r="L41" s="39"/>
      <c r="M41" s="39"/>
      <c r="N41" s="318"/>
      <c r="Q41" s="652"/>
      <c r="R41" s="652"/>
      <c r="S41" s="652"/>
      <c r="T41" s="652"/>
      <c r="U41" s="652"/>
      <c r="V41" s="652"/>
      <c r="W41" s="652"/>
    </row>
    <row r="42" spans="1:23" ht="24.95" customHeight="1" x14ac:dyDescent="0.25">
      <c r="A42" s="317"/>
      <c r="B42" s="430"/>
      <c r="C42" s="448"/>
      <c r="D42" s="449"/>
      <c r="E42" s="450"/>
      <c r="F42" s="397"/>
      <c r="G42" s="434" t="str">
        <f t="shared" si="1"/>
        <v/>
      </c>
      <c r="H42" s="397"/>
      <c r="I42" s="397"/>
      <c r="J42" s="39"/>
      <c r="K42" s="39"/>
      <c r="L42" s="39"/>
      <c r="M42" s="39"/>
      <c r="N42" s="318"/>
      <c r="Q42" s="652"/>
      <c r="R42" s="652"/>
      <c r="S42" s="652"/>
      <c r="T42" s="652"/>
      <c r="U42" s="652"/>
      <c r="V42" s="652"/>
      <c r="W42" s="652"/>
    </row>
    <row r="43" spans="1:23" ht="24.95" customHeight="1" x14ac:dyDescent="0.25">
      <c r="A43" s="317"/>
      <c r="B43" s="430"/>
      <c r="C43" s="431"/>
      <c r="D43" s="432"/>
      <c r="E43" s="433"/>
      <c r="F43" s="397"/>
      <c r="G43" s="434" t="str">
        <f t="shared" si="1"/>
        <v/>
      </c>
      <c r="H43" s="397"/>
      <c r="I43" s="397"/>
      <c r="J43" s="39"/>
      <c r="K43" s="39"/>
      <c r="L43" s="39"/>
      <c r="M43" s="39"/>
      <c r="N43" s="318"/>
      <c r="Q43" s="652"/>
      <c r="R43" s="652"/>
      <c r="S43" s="652"/>
      <c r="T43" s="652"/>
      <c r="U43" s="652"/>
      <c r="V43" s="652"/>
      <c r="W43" s="652"/>
    </row>
    <row r="44" spans="1:23" ht="24.95" customHeight="1" x14ac:dyDescent="0.25">
      <c r="A44" s="317"/>
      <c r="B44" s="430"/>
      <c r="C44" s="431"/>
      <c r="D44" s="432"/>
      <c r="E44" s="433"/>
      <c r="F44" s="397"/>
      <c r="G44" s="434" t="str">
        <f t="shared" si="1"/>
        <v/>
      </c>
      <c r="H44" s="397"/>
      <c r="I44" s="397"/>
      <c r="J44" s="39"/>
      <c r="K44" s="39"/>
      <c r="L44" s="39"/>
      <c r="M44" s="39"/>
      <c r="N44" s="318"/>
      <c r="Q44" s="652"/>
      <c r="R44" s="652"/>
      <c r="S44" s="652"/>
      <c r="T44" s="652"/>
      <c r="U44" s="652"/>
      <c r="V44" s="652"/>
      <c r="W44" s="652"/>
    </row>
    <row r="45" spans="1:23" ht="24.95" customHeight="1" thickBot="1" x14ac:dyDescent="0.3">
      <c r="A45" s="317"/>
      <c r="B45" s="452"/>
      <c r="C45" s="453"/>
      <c r="D45" s="454"/>
      <c r="E45" s="455"/>
      <c r="F45" s="397"/>
      <c r="G45" s="456" t="str">
        <f t="shared" si="1"/>
        <v/>
      </c>
      <c r="H45" s="397"/>
      <c r="I45" s="397"/>
      <c r="J45" s="39"/>
      <c r="K45" s="39"/>
      <c r="L45" s="39"/>
      <c r="M45" s="39"/>
      <c r="N45" s="318"/>
      <c r="Q45" s="652"/>
      <c r="R45" s="652"/>
      <c r="S45" s="652"/>
      <c r="T45" s="652"/>
      <c r="U45" s="652"/>
      <c r="V45" s="652"/>
      <c r="W45" s="652"/>
    </row>
    <row r="46" spans="1:23" ht="24.95" customHeight="1" x14ac:dyDescent="0.25">
      <c r="A46" s="317"/>
      <c r="B46" s="397"/>
      <c r="C46" s="397"/>
      <c r="D46" s="397"/>
      <c r="E46" s="397"/>
      <c r="F46" s="397"/>
      <c r="G46" s="457"/>
      <c r="H46" s="397"/>
      <c r="I46" s="397"/>
      <c r="J46" s="39"/>
      <c r="K46" s="39"/>
      <c r="L46" s="39"/>
      <c r="M46" s="39"/>
      <c r="N46" s="318"/>
      <c r="Q46" s="652"/>
      <c r="R46" s="652"/>
      <c r="S46" s="652"/>
      <c r="T46" s="652"/>
      <c r="U46" s="652"/>
      <c r="V46" s="652"/>
      <c r="W46" s="652"/>
    </row>
    <row r="47" spans="1:23" ht="61.5" customHeight="1" thickBot="1" x14ac:dyDescent="0.3">
      <c r="A47" s="323"/>
      <c r="B47" s="458"/>
      <c r="C47" s="459"/>
      <c r="D47" s="459"/>
      <c r="E47" s="459"/>
      <c r="F47" s="460"/>
      <c r="G47" s="461" t="str">
        <f>IF(D47="","",E47/(1-E15))</f>
        <v/>
      </c>
      <c r="H47" s="462"/>
      <c r="I47" s="462"/>
      <c r="J47" s="324"/>
      <c r="K47" s="324"/>
      <c r="L47" s="324"/>
      <c r="M47" s="324"/>
      <c r="N47" s="325"/>
      <c r="Q47" s="652"/>
      <c r="R47" s="652"/>
      <c r="S47" s="652"/>
      <c r="T47" s="652"/>
      <c r="U47" s="652"/>
      <c r="V47" s="652"/>
      <c r="W47" s="652"/>
    </row>
    <row r="48" spans="1:23" ht="41.25" customHeight="1" x14ac:dyDescent="0.25">
      <c r="B48" s="463"/>
      <c r="C48" s="463"/>
      <c r="D48" s="463"/>
      <c r="E48" s="463"/>
      <c r="F48" s="463"/>
      <c r="G48" s="463"/>
      <c r="H48" s="463"/>
      <c r="I48" s="463"/>
      <c r="Q48" s="652"/>
      <c r="R48" s="652"/>
      <c r="S48" s="652"/>
      <c r="T48" s="652"/>
      <c r="U48" s="652"/>
      <c r="V48" s="652"/>
      <c r="W48" s="652"/>
    </row>
    <row r="49" spans="2:23" ht="33" customHeight="1" x14ac:dyDescent="0.25">
      <c r="B49" s="463"/>
      <c r="C49" s="463"/>
      <c r="D49" s="463"/>
      <c r="E49" s="463"/>
      <c r="F49" s="463"/>
      <c r="G49" s="463"/>
      <c r="H49" s="463"/>
      <c r="I49" s="463"/>
      <c r="Q49" s="652"/>
      <c r="R49" s="652"/>
      <c r="S49" s="652"/>
      <c r="T49" s="652"/>
      <c r="U49" s="652"/>
      <c r="V49" s="652"/>
      <c r="W49" s="652"/>
    </row>
    <row r="50" spans="2:23" ht="33" customHeight="1" x14ac:dyDescent="0.25">
      <c r="B50" s="463"/>
      <c r="C50" s="463"/>
      <c r="D50" s="463"/>
      <c r="E50" s="463"/>
      <c r="F50" s="463"/>
      <c r="G50" s="463"/>
      <c r="H50" s="463"/>
      <c r="I50" s="463"/>
      <c r="Q50" s="652"/>
      <c r="R50" s="652"/>
      <c r="S50" s="652"/>
      <c r="T50" s="652"/>
      <c r="U50" s="652"/>
      <c r="V50" s="652"/>
      <c r="W50" s="652"/>
    </row>
    <row r="51" spans="2:23" ht="33" customHeight="1" x14ac:dyDescent="0.25">
      <c r="B51" s="463"/>
      <c r="C51" s="463"/>
      <c r="D51" s="463"/>
      <c r="E51" s="463"/>
      <c r="F51" s="463"/>
      <c r="G51" s="463"/>
      <c r="H51" s="463"/>
      <c r="I51" s="463"/>
      <c r="Q51" s="652"/>
      <c r="R51" s="652"/>
      <c r="S51" s="652"/>
      <c r="T51" s="652"/>
      <c r="U51" s="652"/>
      <c r="V51" s="652"/>
      <c r="W51" s="652"/>
    </row>
    <row r="52" spans="2:23" ht="33" customHeight="1" x14ac:dyDescent="0.25">
      <c r="B52" s="463"/>
      <c r="C52" s="463"/>
      <c r="D52" s="463"/>
      <c r="E52" s="463"/>
      <c r="F52" s="463"/>
      <c r="G52" s="463"/>
      <c r="H52" s="463"/>
      <c r="I52" s="463"/>
      <c r="Q52" s="654"/>
      <c r="R52" s="654"/>
      <c r="S52" s="654"/>
      <c r="T52" s="654"/>
      <c r="U52" s="654"/>
      <c r="V52" s="654"/>
      <c r="W52" s="654"/>
    </row>
    <row r="53" spans="2:23" ht="33" customHeight="1" x14ac:dyDescent="0.25">
      <c r="B53" s="463"/>
      <c r="C53" s="463"/>
      <c r="D53" s="463"/>
      <c r="E53" s="463"/>
      <c r="F53" s="463"/>
      <c r="G53" s="463"/>
      <c r="H53" s="463"/>
      <c r="I53" s="463"/>
      <c r="Q53" s="654"/>
      <c r="R53" s="654"/>
      <c r="S53" s="654"/>
      <c r="T53" s="654"/>
      <c r="U53" s="654"/>
      <c r="V53" s="654"/>
      <c r="W53" s="654"/>
    </row>
    <row r="54" spans="2:23" ht="33" customHeight="1" x14ac:dyDescent="0.25">
      <c r="B54" s="463"/>
      <c r="C54" s="463"/>
      <c r="D54" s="463"/>
      <c r="E54" s="463"/>
      <c r="F54" s="463"/>
      <c r="G54" s="463"/>
      <c r="H54" s="463"/>
      <c r="I54" s="463"/>
      <c r="Q54" s="654"/>
      <c r="R54" s="654"/>
      <c r="S54" s="654"/>
      <c r="T54" s="654"/>
      <c r="U54" s="654"/>
      <c r="V54" s="654"/>
      <c r="W54" s="654"/>
    </row>
    <row r="55" spans="2:23" ht="33" customHeight="1" x14ac:dyDescent="0.25">
      <c r="B55" s="463"/>
      <c r="C55" s="463"/>
      <c r="D55" s="463"/>
      <c r="E55" s="463"/>
      <c r="F55" s="463"/>
      <c r="G55" s="463"/>
      <c r="H55" s="463"/>
      <c r="I55" s="463"/>
      <c r="Q55" s="654"/>
      <c r="R55" s="654"/>
      <c r="S55" s="654"/>
      <c r="T55" s="654"/>
      <c r="U55" s="654"/>
      <c r="V55" s="654"/>
      <c r="W55" s="654"/>
    </row>
    <row r="56" spans="2:23" ht="33" customHeight="1" x14ac:dyDescent="0.25">
      <c r="B56" s="463"/>
      <c r="C56" s="463"/>
      <c r="D56" s="463"/>
      <c r="E56" s="463"/>
      <c r="F56" s="463"/>
      <c r="G56" s="463"/>
      <c r="H56" s="463"/>
      <c r="I56" s="463"/>
    </row>
    <row r="57" spans="2:23" ht="33" customHeight="1" x14ac:dyDescent="0.25">
      <c r="B57" s="463"/>
      <c r="C57" s="463"/>
      <c r="D57" s="463"/>
      <c r="E57" s="463"/>
      <c r="F57" s="463"/>
      <c r="G57" s="463"/>
      <c r="H57" s="463"/>
      <c r="I57" s="463"/>
    </row>
    <row r="58" spans="2:23" ht="33" customHeight="1" x14ac:dyDescent="0.25">
      <c r="B58" s="463"/>
      <c r="C58" s="463"/>
      <c r="D58" s="463"/>
      <c r="E58" s="463"/>
      <c r="F58" s="463"/>
      <c r="G58" s="463"/>
      <c r="H58" s="463"/>
      <c r="I58" s="463"/>
    </row>
    <row r="59" spans="2:23" x14ac:dyDescent="0.25">
      <c r="B59" s="463"/>
      <c r="C59" s="463"/>
      <c r="D59" s="463"/>
      <c r="E59" s="463"/>
      <c r="F59" s="463"/>
      <c r="G59" s="463"/>
      <c r="H59" s="463"/>
      <c r="I59" s="463"/>
    </row>
    <row r="60" spans="2:23" x14ac:dyDescent="0.25">
      <c r="B60" s="463"/>
      <c r="C60" s="463"/>
      <c r="D60" s="463"/>
      <c r="E60" s="463"/>
      <c r="F60" s="463"/>
      <c r="G60" s="463"/>
      <c r="H60" s="463"/>
      <c r="I60" s="463"/>
    </row>
    <row r="61" spans="2:23" x14ac:dyDescent="0.25">
      <c r="B61" s="463"/>
      <c r="C61" s="463"/>
      <c r="D61" s="463"/>
      <c r="E61" s="463"/>
      <c r="F61" s="463"/>
      <c r="G61" s="463"/>
      <c r="H61" s="463"/>
      <c r="I61" s="463"/>
    </row>
    <row r="62" spans="2:23" x14ac:dyDescent="0.25">
      <c r="B62" s="463"/>
      <c r="C62" s="463"/>
      <c r="D62" s="463"/>
      <c r="E62" s="463"/>
      <c r="F62" s="463"/>
      <c r="G62" s="463"/>
      <c r="H62" s="463"/>
      <c r="I62" s="463"/>
    </row>
    <row r="63" spans="2:23" x14ac:dyDescent="0.25">
      <c r="B63" s="463"/>
      <c r="C63" s="463"/>
      <c r="D63" s="463"/>
      <c r="E63" s="463"/>
      <c r="F63" s="463"/>
      <c r="G63" s="463"/>
      <c r="H63" s="463"/>
      <c r="I63" s="463"/>
    </row>
    <row r="64" spans="2:23" x14ac:dyDescent="0.25">
      <c r="B64" s="463"/>
      <c r="C64" s="463"/>
      <c r="D64" s="463"/>
      <c r="E64" s="463"/>
      <c r="F64" s="463"/>
      <c r="G64" s="463"/>
      <c r="H64" s="463"/>
      <c r="I64" s="463"/>
    </row>
    <row r="65" spans="2:9" x14ac:dyDescent="0.25">
      <c r="B65" s="463"/>
      <c r="C65" s="463"/>
      <c r="D65" s="463"/>
      <c r="E65" s="463"/>
      <c r="F65" s="463"/>
      <c r="G65" s="463"/>
      <c r="H65" s="463"/>
      <c r="I65" s="463"/>
    </row>
    <row r="66" spans="2:9" x14ac:dyDescent="0.25">
      <c r="B66" s="463"/>
      <c r="C66" s="463"/>
      <c r="D66" s="463"/>
      <c r="E66" s="463"/>
      <c r="F66" s="463"/>
      <c r="G66" s="463"/>
      <c r="H66" s="463"/>
      <c r="I66" s="463"/>
    </row>
    <row r="67" spans="2:9" x14ac:dyDescent="0.25">
      <c r="B67" s="463"/>
      <c r="C67" s="463"/>
      <c r="D67" s="463"/>
      <c r="E67" s="463"/>
      <c r="F67" s="463"/>
      <c r="G67" s="463"/>
      <c r="H67" s="463"/>
      <c r="I67" s="463"/>
    </row>
    <row r="68" spans="2:9" x14ac:dyDescent="0.25">
      <c r="B68" s="463"/>
      <c r="C68" s="463"/>
      <c r="D68" s="463"/>
      <c r="E68" s="463"/>
      <c r="F68" s="463"/>
      <c r="G68" s="463"/>
      <c r="H68" s="463"/>
      <c r="I68" s="463"/>
    </row>
    <row r="69" spans="2:9" x14ac:dyDescent="0.25">
      <c r="B69" s="463"/>
      <c r="C69" s="463"/>
      <c r="D69" s="463"/>
      <c r="E69" s="463"/>
      <c r="F69" s="463"/>
      <c r="G69" s="463"/>
      <c r="H69" s="463"/>
      <c r="I69" s="463"/>
    </row>
    <row r="70" spans="2:9" x14ac:dyDescent="0.25">
      <c r="B70" s="463"/>
      <c r="C70" s="463"/>
      <c r="D70" s="463"/>
      <c r="E70" s="463"/>
      <c r="F70" s="463"/>
      <c r="G70" s="463"/>
      <c r="H70" s="463"/>
      <c r="I70" s="463"/>
    </row>
    <row r="71" spans="2:9" x14ac:dyDescent="0.25">
      <c r="B71" s="463"/>
      <c r="C71" s="463"/>
      <c r="D71" s="463"/>
      <c r="E71" s="463"/>
      <c r="F71" s="463"/>
      <c r="G71" s="463"/>
      <c r="H71" s="463"/>
      <c r="I71" s="463"/>
    </row>
    <row r="72" spans="2:9" x14ac:dyDescent="0.25">
      <c r="B72" s="463"/>
      <c r="C72" s="463"/>
      <c r="D72" s="463"/>
      <c r="E72" s="463"/>
      <c r="F72" s="463"/>
      <c r="G72" s="463"/>
      <c r="H72" s="463"/>
      <c r="I72" s="463"/>
    </row>
    <row r="73" spans="2:9" x14ac:dyDescent="0.25">
      <c r="B73" s="463"/>
      <c r="C73" s="463"/>
      <c r="D73" s="463"/>
      <c r="E73" s="463"/>
      <c r="F73" s="463"/>
      <c r="G73" s="463"/>
      <c r="H73" s="463"/>
      <c r="I73" s="463"/>
    </row>
    <row r="74" spans="2:9" x14ac:dyDescent="0.25">
      <c r="B74" s="463"/>
      <c r="C74" s="463"/>
      <c r="D74" s="463"/>
      <c r="E74" s="463"/>
      <c r="F74" s="463"/>
      <c r="G74" s="463"/>
      <c r="H74" s="463"/>
      <c r="I74" s="463"/>
    </row>
    <row r="75" spans="2:9" x14ac:dyDescent="0.25">
      <c r="B75" s="463"/>
      <c r="C75" s="463"/>
      <c r="D75" s="463"/>
      <c r="E75" s="463"/>
      <c r="F75" s="463"/>
      <c r="G75" s="463"/>
      <c r="H75" s="463"/>
      <c r="I75" s="463"/>
    </row>
    <row r="76" spans="2:9" x14ac:dyDescent="0.25">
      <c r="B76" s="463"/>
      <c r="C76" s="463"/>
      <c r="D76" s="463"/>
      <c r="E76" s="463"/>
      <c r="F76" s="463"/>
      <c r="G76" s="463"/>
      <c r="H76" s="463"/>
      <c r="I76" s="463"/>
    </row>
    <row r="77" spans="2:9" x14ac:dyDescent="0.25">
      <c r="B77" s="463"/>
      <c r="C77" s="463"/>
      <c r="D77" s="463"/>
      <c r="E77" s="463"/>
      <c r="F77" s="463"/>
      <c r="G77" s="463"/>
      <c r="H77" s="463"/>
      <c r="I77" s="463"/>
    </row>
    <row r="78" spans="2:9" x14ac:dyDescent="0.25">
      <c r="B78" s="463"/>
      <c r="C78" s="463"/>
      <c r="D78" s="463"/>
      <c r="E78" s="463"/>
      <c r="F78" s="463"/>
      <c r="G78" s="463"/>
      <c r="H78" s="463"/>
      <c r="I78" s="463"/>
    </row>
    <row r="79" spans="2:9" x14ac:dyDescent="0.25">
      <c r="B79" s="463"/>
      <c r="C79" s="463"/>
      <c r="D79" s="463"/>
      <c r="E79" s="463"/>
      <c r="F79" s="463"/>
      <c r="G79" s="463"/>
      <c r="H79" s="463"/>
      <c r="I79" s="463"/>
    </row>
    <row r="80" spans="2:9" x14ac:dyDescent="0.25">
      <c r="B80" s="463"/>
      <c r="C80" s="463"/>
      <c r="D80" s="463"/>
      <c r="E80" s="463"/>
      <c r="F80" s="463"/>
      <c r="G80" s="463"/>
      <c r="H80" s="463"/>
      <c r="I80" s="463"/>
    </row>
    <row r="81" spans="2:9" x14ac:dyDescent="0.25">
      <c r="B81" s="463"/>
      <c r="C81" s="463"/>
      <c r="D81" s="463"/>
      <c r="E81" s="463"/>
      <c r="F81" s="463"/>
      <c r="G81" s="463"/>
      <c r="H81" s="463"/>
      <c r="I81" s="463"/>
    </row>
    <row r="82" spans="2:9" x14ac:dyDescent="0.25">
      <c r="B82" s="463"/>
      <c r="C82" s="463"/>
      <c r="D82" s="463"/>
      <c r="E82" s="463"/>
      <c r="F82" s="463"/>
      <c r="G82" s="463"/>
      <c r="H82" s="463"/>
      <c r="I82" s="463"/>
    </row>
    <row r="83" spans="2:9" x14ac:dyDescent="0.25">
      <c r="B83" s="463"/>
      <c r="C83" s="463"/>
      <c r="D83" s="463"/>
      <c r="E83" s="463"/>
      <c r="F83" s="463"/>
      <c r="G83" s="463"/>
      <c r="H83" s="463"/>
      <c r="I83" s="463"/>
    </row>
    <row r="84" spans="2:9" x14ac:dyDescent="0.25">
      <c r="B84" s="463"/>
      <c r="C84" s="463"/>
      <c r="D84" s="463"/>
      <c r="E84" s="463"/>
      <c r="F84" s="463"/>
      <c r="G84" s="463"/>
      <c r="H84" s="463"/>
      <c r="I84" s="463"/>
    </row>
  </sheetData>
  <mergeCells count="5">
    <mergeCell ref="E15:G15"/>
    <mergeCell ref="E5:G5"/>
    <mergeCell ref="E7:G7"/>
    <mergeCell ref="E9:G9"/>
    <mergeCell ref="E11:G11"/>
  </mergeCells>
  <pageMargins left="0.37" right="0.24" top="0.75" bottom="0.61" header="0.3" footer="0.3"/>
  <pageSetup scale="9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118"/>
  <sheetViews>
    <sheetView workbookViewId="0">
      <selection activeCell="C6" sqref="C6"/>
    </sheetView>
  </sheetViews>
  <sheetFormatPr baseColWidth="10" defaultRowHeight="15" x14ac:dyDescent="0.25"/>
  <cols>
    <col min="1" max="1" width="12.5703125" customWidth="1"/>
    <col min="2" max="2" width="9.42578125" style="736" customWidth="1"/>
    <col min="3" max="4" width="7" customWidth="1"/>
    <col min="5" max="6" width="8.140625" customWidth="1"/>
    <col min="7" max="7" width="11.28515625" customWidth="1"/>
    <col min="8" max="8" width="11.5703125" customWidth="1"/>
    <col min="9" max="9" width="2.85546875" customWidth="1"/>
    <col min="10" max="10" width="8.140625" customWidth="1"/>
    <col min="11" max="11" width="12.42578125" customWidth="1"/>
    <col min="12" max="12" width="4" customWidth="1"/>
    <col min="13" max="13" width="11.42578125" style="676"/>
  </cols>
  <sheetData>
    <row r="2" spans="1:14" ht="15.75" thickBot="1" x14ac:dyDescent="0.3"/>
    <row r="3" spans="1:14" ht="23.25" thickBot="1" x14ac:dyDescent="0.35">
      <c r="A3" s="883" t="s">
        <v>331</v>
      </c>
      <c r="C3" s="899" t="str">
        <f>Sommaire!C4</f>
        <v>.</v>
      </c>
      <c r="D3" s="884"/>
      <c r="E3" s="884"/>
      <c r="F3" s="884"/>
      <c r="G3" s="884"/>
      <c r="H3" s="884"/>
      <c r="I3" s="884"/>
      <c r="J3" s="884"/>
      <c r="K3" s="884"/>
      <c r="M3" s="898" t="s">
        <v>330</v>
      </c>
    </row>
    <row r="4" spans="1:14" x14ac:dyDescent="0.25">
      <c r="E4" s="734"/>
      <c r="G4" s="734"/>
      <c r="J4" s="735"/>
    </row>
    <row r="5" spans="1:14" x14ac:dyDescent="0.25">
      <c r="C5" s="885" t="s">
        <v>275</v>
      </c>
      <c r="D5" s="886"/>
      <c r="E5" s="886"/>
      <c r="F5" s="886"/>
      <c r="G5" s="886"/>
      <c r="H5" s="887"/>
      <c r="J5" s="738" t="s">
        <v>276</v>
      </c>
      <c r="K5" s="739"/>
      <c r="M5" s="888" t="s">
        <v>277</v>
      </c>
      <c r="N5" s="889"/>
    </row>
    <row r="6" spans="1:14" ht="18.75" x14ac:dyDescent="0.4">
      <c r="A6" s="737"/>
      <c r="B6" s="740" t="s">
        <v>278</v>
      </c>
      <c r="C6" s="890" t="s">
        <v>279</v>
      </c>
      <c r="D6" s="891"/>
      <c r="E6" s="892" t="s">
        <v>280</v>
      </c>
      <c r="F6" s="891"/>
      <c r="G6" s="893" t="s">
        <v>281</v>
      </c>
      <c r="H6" s="894"/>
      <c r="J6" s="895" t="s">
        <v>282</v>
      </c>
      <c r="K6" s="896"/>
      <c r="M6" s="864" t="s">
        <v>283</v>
      </c>
      <c r="N6" s="741" t="s">
        <v>284</v>
      </c>
    </row>
    <row r="7" spans="1:14" ht="12" customHeight="1" x14ac:dyDescent="0.3">
      <c r="C7" s="742"/>
      <c r="D7" s="743"/>
      <c r="E7" s="890"/>
      <c r="F7" s="891"/>
      <c r="G7" s="744" t="s">
        <v>285</v>
      </c>
      <c r="H7" s="745" t="s">
        <v>286</v>
      </c>
      <c r="I7" s="746"/>
      <c r="J7" s="747"/>
      <c r="K7" s="745" t="s">
        <v>287</v>
      </c>
    </row>
    <row r="8" spans="1:14" ht="15.75" thickBot="1" x14ac:dyDescent="0.3">
      <c r="C8" s="748" t="s">
        <v>288</v>
      </c>
      <c r="D8" s="749" t="s">
        <v>289</v>
      </c>
      <c r="E8" s="750" t="s">
        <v>288</v>
      </c>
      <c r="F8" s="751" t="s">
        <v>289</v>
      </c>
      <c r="G8" s="752" t="s">
        <v>288</v>
      </c>
      <c r="H8" s="753" t="s">
        <v>194</v>
      </c>
      <c r="J8" s="754" t="s">
        <v>290</v>
      </c>
      <c r="K8" s="755" t="s">
        <v>188</v>
      </c>
    </row>
    <row r="9" spans="1:14" ht="15.75" thickTop="1" x14ac:dyDescent="0.25">
      <c r="C9" s="756"/>
      <c r="D9" s="756"/>
      <c r="E9" s="757"/>
      <c r="F9" s="758"/>
      <c r="G9" s="756"/>
      <c r="H9" s="759"/>
      <c r="I9" s="9"/>
      <c r="J9" s="760"/>
      <c r="K9" s="761"/>
      <c r="L9" s="9"/>
    </row>
    <row r="10" spans="1:14" ht="18" thickBot="1" x14ac:dyDescent="0.35">
      <c r="A10" s="762" t="s">
        <v>291</v>
      </c>
      <c r="B10" s="763"/>
      <c r="C10" s="764"/>
      <c r="D10" s="765"/>
      <c r="E10" s="766"/>
      <c r="F10" s="767"/>
      <c r="G10" s="768">
        <f>C10*E10</f>
        <v>0</v>
      </c>
      <c r="H10" s="769">
        <f>D10*F10</f>
        <v>0</v>
      </c>
      <c r="I10" s="770"/>
      <c r="J10" s="771"/>
      <c r="K10" s="772"/>
      <c r="M10" s="865"/>
      <c r="N10" s="773"/>
    </row>
    <row r="11" spans="1:14" ht="15.75" thickBot="1" x14ac:dyDescent="0.3">
      <c r="A11" s="774" t="s">
        <v>292</v>
      </c>
      <c r="B11" s="775">
        <v>40179</v>
      </c>
      <c r="C11" s="776">
        <v>15</v>
      </c>
      <c r="D11" s="777"/>
      <c r="E11" s="778"/>
      <c r="F11" s="779"/>
      <c r="G11" s="780">
        <f>C11*E11</f>
        <v>0</v>
      </c>
      <c r="H11" s="781">
        <f t="shared" ref="H11:H17" si="0">D11*F11</f>
        <v>0</v>
      </c>
      <c r="I11" s="770"/>
      <c r="J11" s="782"/>
      <c r="K11" s="783"/>
      <c r="M11" s="866">
        <v>0.435</v>
      </c>
      <c r="N11" s="784">
        <f>G11*M11</f>
        <v>0</v>
      </c>
    </row>
    <row r="12" spans="1:14" ht="15.75" thickBot="1" x14ac:dyDescent="0.3">
      <c r="A12" s="785" t="s">
        <v>293</v>
      </c>
      <c r="B12" s="775">
        <v>40179</v>
      </c>
      <c r="C12" s="776">
        <v>16</v>
      </c>
      <c r="D12" s="777"/>
      <c r="E12" s="778"/>
      <c r="F12" s="779"/>
      <c r="G12" s="780">
        <f>C12*E12</f>
        <v>0</v>
      </c>
      <c r="H12" s="781">
        <f t="shared" si="0"/>
        <v>0</v>
      </c>
      <c r="I12" s="770"/>
      <c r="J12" s="782"/>
      <c r="K12" s="783"/>
      <c r="M12" s="867">
        <v>0.2</v>
      </c>
      <c r="N12" s="786">
        <f t="shared" ref="N12:N13" si="1">G12*M12</f>
        <v>0</v>
      </c>
    </row>
    <row r="13" spans="1:14" ht="15.75" thickBot="1" x14ac:dyDescent="0.3">
      <c r="A13" s="785" t="s">
        <v>294</v>
      </c>
      <c r="B13" s="775">
        <v>40179</v>
      </c>
      <c r="C13" s="776">
        <v>16</v>
      </c>
      <c r="D13" s="777"/>
      <c r="E13" s="787"/>
      <c r="F13" s="779"/>
      <c r="G13" s="788">
        <f t="shared" ref="G13:G17" si="2">C13*E13</f>
        <v>0</v>
      </c>
      <c r="H13" s="781">
        <f t="shared" si="0"/>
        <v>0</v>
      </c>
      <c r="I13" s="770"/>
      <c r="J13" s="782"/>
      <c r="K13" s="783">
        <f>F13*J13</f>
        <v>0</v>
      </c>
      <c r="M13" s="867">
        <v>0.2</v>
      </c>
      <c r="N13" s="786">
        <f t="shared" si="1"/>
        <v>0</v>
      </c>
    </row>
    <row r="14" spans="1:14" ht="15.75" thickBot="1" x14ac:dyDescent="0.3">
      <c r="A14" s="785" t="s">
        <v>295</v>
      </c>
      <c r="B14" s="775">
        <v>40179</v>
      </c>
      <c r="C14" s="776">
        <v>10</v>
      </c>
      <c r="D14" s="777"/>
      <c r="E14" s="787"/>
      <c r="F14" s="789"/>
      <c r="G14" s="780">
        <f t="shared" si="2"/>
        <v>0</v>
      </c>
      <c r="H14" s="781">
        <f>D14*F14</f>
        <v>0</v>
      </c>
      <c r="I14" s="770"/>
      <c r="J14" s="782"/>
      <c r="K14" s="783">
        <f>J14*F14</f>
        <v>0</v>
      </c>
      <c r="M14" s="867">
        <v>0.22</v>
      </c>
      <c r="N14" s="786">
        <f>G14*M14</f>
        <v>0</v>
      </c>
    </row>
    <row r="15" spans="1:14" ht="15.75" thickBot="1" x14ac:dyDescent="0.3">
      <c r="A15" s="785" t="s">
        <v>296</v>
      </c>
      <c r="B15" s="775">
        <v>40179</v>
      </c>
      <c r="C15" s="776">
        <v>14</v>
      </c>
      <c r="D15" s="777"/>
      <c r="E15" s="787"/>
      <c r="F15" s="790"/>
      <c r="G15" s="780">
        <f t="shared" si="2"/>
        <v>0</v>
      </c>
      <c r="H15" s="791">
        <f t="shared" si="0"/>
        <v>0</v>
      </c>
      <c r="I15" s="770"/>
      <c r="J15" s="782"/>
      <c r="K15" s="783"/>
      <c r="M15" s="867">
        <v>0.44</v>
      </c>
      <c r="N15" s="786">
        <f t="shared" ref="N15:N16" si="3">G15*M15</f>
        <v>0</v>
      </c>
    </row>
    <row r="16" spans="1:14" ht="15.75" thickBot="1" x14ac:dyDescent="0.3">
      <c r="A16" s="785" t="s">
        <v>297</v>
      </c>
      <c r="B16" s="775">
        <v>40179</v>
      </c>
      <c r="C16" s="776">
        <v>16</v>
      </c>
      <c r="D16" s="777"/>
      <c r="E16" s="792"/>
      <c r="F16" s="793"/>
      <c r="G16" s="780">
        <f>C16*E16</f>
        <v>0</v>
      </c>
      <c r="H16" s="791">
        <f t="shared" si="0"/>
        <v>0</v>
      </c>
      <c r="I16" s="770"/>
      <c r="J16" s="782"/>
      <c r="K16" s="783"/>
      <c r="M16" s="868">
        <v>0.2</v>
      </c>
      <c r="N16" s="786">
        <f t="shared" si="3"/>
        <v>0</v>
      </c>
    </row>
    <row r="17" spans="1:14" x14ac:dyDescent="0.25">
      <c r="A17" s="785"/>
      <c r="B17" s="794"/>
      <c r="C17" s="795"/>
      <c r="D17" s="796"/>
      <c r="E17" s="797"/>
      <c r="F17" s="798"/>
      <c r="G17" s="799">
        <f t="shared" si="2"/>
        <v>0</v>
      </c>
      <c r="H17" s="800">
        <f t="shared" si="0"/>
        <v>0</v>
      </c>
      <c r="I17" s="770"/>
      <c r="J17" s="801"/>
      <c r="K17" s="802"/>
      <c r="L17" s="717"/>
      <c r="M17" s="868"/>
      <c r="N17" s="786"/>
    </row>
    <row r="18" spans="1:14" x14ac:dyDescent="0.25">
      <c r="B18" s="803"/>
      <c r="E18" s="21"/>
      <c r="F18" s="21"/>
      <c r="G18" s="36"/>
      <c r="H18" s="36"/>
      <c r="M18" s="869"/>
      <c r="N18" s="804"/>
    </row>
    <row r="19" spans="1:14" ht="18" thickBot="1" x14ac:dyDescent="0.35">
      <c r="A19" s="805" t="s">
        <v>298</v>
      </c>
      <c r="B19" s="806">
        <v>41275</v>
      </c>
      <c r="C19" s="807">
        <v>25</v>
      </c>
      <c r="D19" s="765"/>
      <c r="E19" s="808"/>
      <c r="F19" s="767"/>
      <c r="G19" s="809">
        <f>C19*E19</f>
        <v>0</v>
      </c>
      <c r="H19" s="769"/>
      <c r="I19" s="770"/>
      <c r="J19" s="771"/>
      <c r="K19" s="772"/>
      <c r="M19" s="870">
        <v>0.55200000000000005</v>
      </c>
      <c r="N19" s="784">
        <f>G19*M19</f>
        <v>0</v>
      </c>
    </row>
    <row r="20" spans="1:14" ht="18" thickBot="1" x14ac:dyDescent="0.35">
      <c r="A20" s="810" t="s">
        <v>299</v>
      </c>
      <c r="B20" s="860">
        <v>41640</v>
      </c>
      <c r="C20" s="859">
        <f>'taux horaire '!C25</f>
        <v>30</v>
      </c>
      <c r="D20" s="777"/>
      <c r="E20" s="811">
        <v>37</v>
      </c>
      <c r="F20" s="779"/>
      <c r="G20" s="780">
        <f>C20*E20</f>
        <v>1110</v>
      </c>
      <c r="H20" s="791"/>
      <c r="I20" s="770"/>
      <c r="J20" s="782"/>
      <c r="K20" s="783"/>
      <c r="M20" s="876">
        <f>'taux horaire '!D25</f>
        <v>50.937075517464415</v>
      </c>
      <c r="N20" s="877">
        <f>M20*E20</f>
        <v>1884.6717941461834</v>
      </c>
    </row>
    <row r="21" spans="1:14" ht="15.75" thickBot="1" x14ac:dyDescent="0.3">
      <c r="A21" s="812"/>
      <c r="B21" s="775">
        <v>40179</v>
      </c>
      <c r="C21" s="776">
        <v>22</v>
      </c>
      <c r="D21" s="777"/>
      <c r="E21" s="813"/>
      <c r="F21" s="790"/>
      <c r="G21" s="788">
        <f t="shared" ref="G21:G22" si="4">C21*E21</f>
        <v>0</v>
      </c>
      <c r="H21" s="791"/>
      <c r="I21" s="770"/>
      <c r="J21" s="782"/>
      <c r="K21" s="783"/>
      <c r="M21" s="876"/>
      <c r="N21" s="877">
        <f t="shared" ref="N21:N23" si="5">M21*E21</f>
        <v>0</v>
      </c>
    </row>
    <row r="22" spans="1:14" ht="15.75" thickBot="1" x14ac:dyDescent="0.3">
      <c r="A22" s="814"/>
      <c r="B22" s="775">
        <v>40544</v>
      </c>
      <c r="C22" s="776">
        <v>22</v>
      </c>
      <c r="D22" s="777"/>
      <c r="E22" s="787"/>
      <c r="F22" s="793"/>
      <c r="G22" s="788">
        <f t="shared" si="4"/>
        <v>0</v>
      </c>
      <c r="H22" s="791"/>
      <c r="I22" s="770"/>
      <c r="J22" s="782"/>
      <c r="K22" s="783"/>
      <c r="M22" s="876"/>
      <c r="N22" s="877">
        <f t="shared" si="5"/>
        <v>0</v>
      </c>
    </row>
    <row r="23" spans="1:14" x14ac:dyDescent="0.25">
      <c r="A23" s="815"/>
      <c r="B23" s="794">
        <v>40909</v>
      </c>
      <c r="C23" s="795">
        <v>25</v>
      </c>
      <c r="D23" s="796"/>
      <c r="E23" s="797"/>
      <c r="F23" s="798"/>
      <c r="G23" s="788">
        <f>C23*E23</f>
        <v>0</v>
      </c>
      <c r="H23" s="816"/>
      <c r="I23" s="770"/>
      <c r="J23" s="801"/>
      <c r="K23" s="802"/>
      <c r="M23" s="876"/>
      <c r="N23" s="877">
        <f t="shared" si="5"/>
        <v>0</v>
      </c>
    </row>
    <row r="24" spans="1:14" x14ac:dyDescent="0.25">
      <c r="A24" s="817"/>
      <c r="B24" s="818"/>
      <c r="C24" s="819"/>
      <c r="D24" s="820"/>
      <c r="E24" s="821"/>
      <c r="F24" s="822"/>
      <c r="G24" s="823"/>
      <c r="H24" s="824"/>
      <c r="I24" s="770"/>
      <c r="J24" s="817"/>
      <c r="K24" s="817"/>
      <c r="M24" s="876"/>
      <c r="N24" s="877"/>
    </row>
    <row r="25" spans="1:14" ht="18" thickBot="1" x14ac:dyDescent="0.35">
      <c r="A25" s="805" t="s">
        <v>300</v>
      </c>
      <c r="B25" s="806">
        <v>41548</v>
      </c>
      <c r="C25" s="807">
        <v>15</v>
      </c>
      <c r="D25" s="765"/>
      <c r="E25" s="766"/>
      <c r="F25" s="767"/>
      <c r="G25" s="809">
        <f>C25*E25</f>
        <v>0</v>
      </c>
      <c r="H25" s="769"/>
      <c r="I25" s="770"/>
      <c r="J25" s="771"/>
      <c r="K25" s="772"/>
      <c r="M25" s="876">
        <f>'taux horaire '!D28</f>
        <v>48.371614920224232</v>
      </c>
      <c r="N25" s="877">
        <f t="shared" ref="N25:N72" si="6">M25*E25</f>
        <v>0</v>
      </c>
    </row>
    <row r="26" spans="1:14" ht="18" thickBot="1" x14ac:dyDescent="0.35">
      <c r="A26" s="810" t="s">
        <v>301</v>
      </c>
      <c r="B26" s="860">
        <v>41640</v>
      </c>
      <c r="C26" s="859">
        <f>'taux horaire '!C28</f>
        <v>29</v>
      </c>
      <c r="D26" s="777"/>
      <c r="E26" s="826"/>
      <c r="F26" s="779"/>
      <c r="G26" s="780">
        <f>C26*E26</f>
        <v>0</v>
      </c>
      <c r="H26" s="791"/>
      <c r="I26" s="770"/>
      <c r="J26" s="782"/>
      <c r="K26" s="783"/>
      <c r="M26" s="876">
        <f>'taux horaire '!D28</f>
        <v>48.371614920224232</v>
      </c>
      <c r="N26" s="877">
        <f t="shared" si="6"/>
        <v>0</v>
      </c>
    </row>
    <row r="27" spans="1:14" ht="15.75" thickBot="1" x14ac:dyDescent="0.3">
      <c r="A27" s="827"/>
      <c r="B27" s="775"/>
      <c r="C27" s="776"/>
      <c r="D27" s="777"/>
      <c r="E27" s="828"/>
      <c r="F27" s="790"/>
      <c r="G27" s="788">
        <f t="shared" ref="G27:G28" si="7">C27*E27</f>
        <v>0</v>
      </c>
      <c r="H27" s="791"/>
      <c r="I27" s="770"/>
      <c r="J27" s="782"/>
      <c r="K27" s="783"/>
      <c r="M27" s="867"/>
      <c r="N27" s="877">
        <f t="shared" si="6"/>
        <v>0</v>
      </c>
    </row>
    <row r="28" spans="1:14" ht="15.75" thickBot="1" x14ac:dyDescent="0.3">
      <c r="A28" s="814"/>
      <c r="B28" s="775"/>
      <c r="C28" s="776"/>
      <c r="D28" s="777"/>
      <c r="E28" s="828"/>
      <c r="F28" s="793"/>
      <c r="G28" s="788">
        <f t="shared" si="7"/>
        <v>0</v>
      </c>
      <c r="H28" s="791"/>
      <c r="I28" s="770"/>
      <c r="J28" s="782"/>
      <c r="K28" s="783"/>
      <c r="M28" s="867"/>
      <c r="N28" s="877">
        <f>M28*E28</f>
        <v>0</v>
      </c>
    </row>
    <row r="29" spans="1:14" x14ac:dyDescent="0.25">
      <c r="A29" s="815"/>
      <c r="B29" s="794"/>
      <c r="C29" s="795"/>
      <c r="D29" s="796"/>
      <c r="E29" s="797"/>
      <c r="F29" s="798"/>
      <c r="G29" s="829"/>
      <c r="H29" s="816"/>
      <c r="I29" s="770"/>
      <c r="J29" s="801"/>
      <c r="K29" s="802"/>
      <c r="M29" s="867"/>
      <c r="N29" s="877">
        <f t="shared" si="6"/>
        <v>0</v>
      </c>
    </row>
    <row r="30" spans="1:14" x14ac:dyDescent="0.25">
      <c r="E30" s="21"/>
      <c r="F30" s="21"/>
      <c r="N30" s="877"/>
    </row>
    <row r="31" spans="1:14" ht="18" thickBot="1" x14ac:dyDescent="0.35">
      <c r="A31" s="825" t="s">
        <v>302</v>
      </c>
      <c r="B31" s="763">
        <v>40179</v>
      </c>
      <c r="C31" s="764">
        <v>16</v>
      </c>
      <c r="D31" s="765"/>
      <c r="E31" s="766"/>
      <c r="F31" s="767"/>
      <c r="G31" s="768">
        <f>C31*E31</f>
        <v>0</v>
      </c>
      <c r="H31" s="769"/>
      <c r="I31" s="770"/>
      <c r="J31" s="771"/>
      <c r="K31" s="772"/>
      <c r="M31" s="871">
        <v>0.23</v>
      </c>
      <c r="N31" s="877">
        <f t="shared" si="6"/>
        <v>0</v>
      </c>
    </row>
    <row r="32" spans="1:14" ht="18" thickBot="1" x14ac:dyDescent="0.35">
      <c r="A32" s="810" t="s">
        <v>303</v>
      </c>
      <c r="B32" s="775">
        <v>40544</v>
      </c>
      <c r="C32" s="776">
        <v>16</v>
      </c>
      <c r="D32" s="777"/>
      <c r="E32" s="828"/>
      <c r="F32" s="779"/>
      <c r="G32" s="788">
        <f t="shared" ref="G32:G34" si="8">C32*E32</f>
        <v>0</v>
      </c>
      <c r="H32" s="781"/>
      <c r="I32" s="770"/>
      <c r="J32" s="782"/>
      <c r="K32" s="783"/>
      <c r="M32" s="871">
        <v>0.23</v>
      </c>
      <c r="N32" s="877">
        <f t="shared" si="6"/>
        <v>0</v>
      </c>
    </row>
    <row r="33" spans="1:14" ht="15.75" thickBot="1" x14ac:dyDescent="0.3">
      <c r="A33" s="783"/>
      <c r="B33" s="775"/>
      <c r="C33" s="776"/>
      <c r="D33" s="777"/>
      <c r="E33" s="828"/>
      <c r="F33" s="790"/>
      <c r="G33" s="780">
        <f t="shared" si="8"/>
        <v>0</v>
      </c>
      <c r="H33" s="781"/>
      <c r="I33" s="770"/>
      <c r="J33" s="782"/>
      <c r="K33" s="783">
        <f>J33*F33</f>
        <v>0</v>
      </c>
      <c r="M33" s="871">
        <v>0.23</v>
      </c>
      <c r="N33" s="877">
        <f t="shared" si="6"/>
        <v>0</v>
      </c>
    </row>
    <row r="34" spans="1:14" x14ac:dyDescent="0.25">
      <c r="A34" s="815"/>
      <c r="B34" s="794"/>
      <c r="C34" s="795"/>
      <c r="D34" s="796"/>
      <c r="E34" s="797"/>
      <c r="F34" s="798"/>
      <c r="G34" s="799">
        <f t="shared" si="8"/>
        <v>0</v>
      </c>
      <c r="H34" s="800"/>
      <c r="I34" s="770"/>
      <c r="J34" s="801"/>
      <c r="K34" s="802"/>
      <c r="M34" s="871">
        <v>0.23</v>
      </c>
      <c r="N34" s="877">
        <f t="shared" si="6"/>
        <v>0</v>
      </c>
    </row>
    <row r="35" spans="1:14" x14ac:dyDescent="0.25">
      <c r="G35" s="36"/>
      <c r="H35" s="36"/>
      <c r="N35" s="877"/>
    </row>
    <row r="36" spans="1:14" ht="18" thickBot="1" x14ac:dyDescent="0.35">
      <c r="A36" s="805" t="s">
        <v>327</v>
      </c>
      <c r="B36" s="763">
        <v>41821</v>
      </c>
      <c r="C36" s="764">
        <v>18</v>
      </c>
      <c r="D36" s="863">
        <f>'taux horaire '!C38</f>
        <v>40.840000000000003</v>
      </c>
      <c r="E36" s="766">
        <v>2.75</v>
      </c>
      <c r="F36" s="767">
        <v>5</v>
      </c>
      <c r="G36" s="768">
        <f>C36*E36</f>
        <v>49.5</v>
      </c>
      <c r="H36" s="769">
        <f>D36*F36</f>
        <v>204.20000000000002</v>
      </c>
      <c r="I36" s="770"/>
      <c r="J36" s="771">
        <f>'taux horaire '!D38</f>
        <v>80.555459389671356</v>
      </c>
      <c r="K36" s="769">
        <f>F36*J36</f>
        <v>402.77729694835676</v>
      </c>
      <c r="M36" s="871">
        <v>34</v>
      </c>
      <c r="N36" s="877">
        <f>M36*E36</f>
        <v>93.5</v>
      </c>
    </row>
    <row r="37" spans="1:14" ht="18" thickBot="1" x14ac:dyDescent="0.35">
      <c r="A37" s="810" t="s">
        <v>328</v>
      </c>
      <c r="B37" s="775"/>
      <c r="C37" s="776"/>
      <c r="D37" s="777"/>
      <c r="E37" s="828"/>
      <c r="F37" s="779"/>
      <c r="G37" s="788">
        <f t="shared" ref="G37:H39" si="9">C37*E37</f>
        <v>0</v>
      </c>
      <c r="H37" s="781">
        <f t="shared" si="9"/>
        <v>0</v>
      </c>
      <c r="I37" s="770"/>
      <c r="J37" s="782"/>
      <c r="K37" s="783"/>
      <c r="M37" s="872"/>
      <c r="N37" s="877">
        <f t="shared" si="6"/>
        <v>0</v>
      </c>
    </row>
    <row r="38" spans="1:14" ht="15.75" thickBot="1" x14ac:dyDescent="0.3">
      <c r="A38" s="783"/>
      <c r="B38" s="775"/>
      <c r="C38" s="776"/>
      <c r="D38" s="777"/>
      <c r="E38" s="828"/>
      <c r="F38" s="790"/>
      <c r="G38" s="780">
        <f t="shared" si="9"/>
        <v>0</v>
      </c>
      <c r="H38" s="781">
        <f t="shared" si="9"/>
        <v>0</v>
      </c>
      <c r="I38" s="770"/>
      <c r="J38" s="782"/>
      <c r="K38" s="783">
        <f>J38*F38</f>
        <v>0</v>
      </c>
      <c r="M38" s="872"/>
      <c r="N38" s="877">
        <f t="shared" si="6"/>
        <v>0</v>
      </c>
    </row>
    <row r="39" spans="1:14" x14ac:dyDescent="0.25">
      <c r="A39" s="815"/>
      <c r="B39" s="794"/>
      <c r="C39" s="795"/>
      <c r="D39" s="796"/>
      <c r="E39" s="797"/>
      <c r="F39" s="798"/>
      <c r="G39" s="799">
        <f t="shared" si="9"/>
        <v>0</v>
      </c>
      <c r="H39" s="800">
        <f t="shared" si="9"/>
        <v>0</v>
      </c>
      <c r="I39" s="770"/>
      <c r="J39" s="801"/>
      <c r="K39" s="802"/>
      <c r="M39" s="871"/>
      <c r="N39" s="877">
        <f t="shared" si="6"/>
        <v>0</v>
      </c>
    </row>
    <row r="40" spans="1:14" x14ac:dyDescent="0.25">
      <c r="N40" s="877"/>
    </row>
    <row r="41" spans="1:14" ht="18" thickBot="1" x14ac:dyDescent="0.35">
      <c r="A41" s="825" t="s">
        <v>329</v>
      </c>
      <c r="B41" s="763">
        <v>41275</v>
      </c>
      <c r="C41" s="764">
        <f>'taux horaire '!C37</f>
        <v>24.5</v>
      </c>
      <c r="D41" s="765">
        <f>'taux horaire '!C37</f>
        <v>24.5</v>
      </c>
      <c r="E41" s="766"/>
      <c r="F41" s="767">
        <v>37.5</v>
      </c>
      <c r="G41" s="768">
        <f>C41*E41</f>
        <v>0</v>
      </c>
      <c r="H41" s="769">
        <f>D41*F41</f>
        <v>918.75</v>
      </c>
      <c r="I41" s="770"/>
      <c r="J41" s="897">
        <f>'taux horaire '!D37</f>
        <v>52.006373239436613</v>
      </c>
      <c r="K41" s="769">
        <f>F41*J41</f>
        <v>1950.2389964788729</v>
      </c>
      <c r="M41" s="873">
        <v>38.83</v>
      </c>
      <c r="N41" s="877">
        <f t="shared" si="6"/>
        <v>0</v>
      </c>
    </row>
    <row r="42" spans="1:14" ht="18" thickBot="1" x14ac:dyDescent="0.35">
      <c r="A42" s="810" t="s">
        <v>312</v>
      </c>
      <c r="B42" s="775"/>
      <c r="C42" s="776"/>
      <c r="D42" s="777"/>
      <c r="E42" s="832"/>
      <c r="F42" s="779"/>
      <c r="G42" s="788">
        <f t="shared" ref="G42:H46" si="10">C42*E42</f>
        <v>0</v>
      </c>
      <c r="H42" s="781">
        <f t="shared" si="10"/>
        <v>0</v>
      </c>
      <c r="I42" s="770"/>
      <c r="J42" s="782"/>
      <c r="K42" s="783"/>
      <c r="M42" s="871">
        <v>0.23</v>
      </c>
      <c r="N42" s="877">
        <f t="shared" si="6"/>
        <v>0</v>
      </c>
    </row>
    <row r="43" spans="1:14" ht="18" thickBot="1" x14ac:dyDescent="0.35">
      <c r="A43" s="810"/>
      <c r="B43" s="775"/>
      <c r="C43" s="776"/>
      <c r="D43" s="777"/>
      <c r="E43" s="828"/>
      <c r="F43" s="779"/>
      <c r="G43" s="788">
        <f t="shared" si="10"/>
        <v>0</v>
      </c>
      <c r="H43" s="781">
        <f t="shared" si="10"/>
        <v>0</v>
      </c>
      <c r="I43" s="770"/>
      <c r="J43" s="782"/>
      <c r="K43" s="783"/>
      <c r="M43" s="871">
        <v>0.23</v>
      </c>
      <c r="N43" s="877">
        <f t="shared" si="6"/>
        <v>0</v>
      </c>
    </row>
    <row r="44" spans="1:14" ht="15.75" thickBot="1" x14ac:dyDescent="0.3">
      <c r="A44" s="783"/>
      <c r="B44" s="775"/>
      <c r="C44" s="776"/>
      <c r="D44" s="777"/>
      <c r="E44" s="826"/>
      <c r="F44" s="790"/>
      <c r="G44" s="780">
        <f t="shared" si="10"/>
        <v>0</v>
      </c>
      <c r="H44" s="781">
        <f t="shared" si="10"/>
        <v>0</v>
      </c>
      <c r="I44" s="770"/>
      <c r="J44" s="782"/>
      <c r="K44" s="783">
        <f>J44*F44</f>
        <v>0</v>
      </c>
      <c r="M44" s="871">
        <v>0.23</v>
      </c>
      <c r="N44" s="877">
        <f t="shared" si="6"/>
        <v>0</v>
      </c>
    </row>
    <row r="45" spans="1:14" ht="15.75" thickBot="1" x14ac:dyDescent="0.3">
      <c r="A45" s="814" t="s">
        <v>304</v>
      </c>
      <c r="B45" s="775"/>
      <c r="C45" s="776"/>
      <c r="D45" s="777"/>
      <c r="E45" s="828"/>
      <c r="F45" s="790"/>
      <c r="G45" s="780">
        <f t="shared" si="10"/>
        <v>0</v>
      </c>
      <c r="H45" s="791">
        <f t="shared" si="10"/>
        <v>0</v>
      </c>
      <c r="I45" s="770"/>
      <c r="J45" s="782"/>
      <c r="K45" s="783"/>
      <c r="M45" s="871">
        <v>0.23</v>
      </c>
      <c r="N45" s="877">
        <f t="shared" si="6"/>
        <v>0</v>
      </c>
    </row>
    <row r="46" spans="1:14" x14ac:dyDescent="0.25">
      <c r="A46" s="815"/>
      <c r="B46" s="794"/>
      <c r="C46" s="795"/>
      <c r="D46" s="796"/>
      <c r="E46" s="797"/>
      <c r="F46" s="798"/>
      <c r="G46" s="799">
        <f t="shared" si="10"/>
        <v>0</v>
      </c>
      <c r="H46" s="800">
        <f t="shared" si="10"/>
        <v>0</v>
      </c>
      <c r="I46" s="770"/>
      <c r="J46" s="801"/>
      <c r="K46" s="802"/>
      <c r="M46" s="871">
        <v>0.23</v>
      </c>
      <c r="N46" s="877">
        <f t="shared" si="6"/>
        <v>0</v>
      </c>
    </row>
    <row r="47" spans="1:14" x14ac:dyDescent="0.25">
      <c r="N47" s="877"/>
    </row>
    <row r="48" spans="1:14" ht="18" thickBot="1" x14ac:dyDescent="0.35">
      <c r="A48" s="805" t="s">
        <v>305</v>
      </c>
      <c r="B48" s="861">
        <v>41791</v>
      </c>
      <c r="C48" s="862">
        <f>'taux horaire '!C24</f>
        <v>25</v>
      </c>
      <c r="D48" s="765"/>
      <c r="E48" s="766">
        <v>15</v>
      </c>
      <c r="F48" s="767"/>
      <c r="G48" s="768">
        <f>C48*E48</f>
        <v>375</v>
      </c>
      <c r="H48" s="769">
        <f>D48*F48</f>
        <v>0</v>
      </c>
      <c r="I48" s="770"/>
      <c r="J48" s="771"/>
      <c r="K48" s="772"/>
      <c r="M48" s="878">
        <f>'taux horaire '!D24</f>
        <v>49.68953390720133</v>
      </c>
      <c r="N48" s="877">
        <f>M48*E48</f>
        <v>745.34300860802</v>
      </c>
    </row>
    <row r="49" spans="1:14" ht="18" thickBot="1" x14ac:dyDescent="0.35">
      <c r="A49" s="810" t="s">
        <v>306</v>
      </c>
      <c r="B49" s="775"/>
      <c r="C49" s="776"/>
      <c r="D49" s="777"/>
      <c r="E49" s="833"/>
      <c r="F49" s="779"/>
      <c r="G49" s="788">
        <f t="shared" ref="G49:H52" si="11">C49*E49</f>
        <v>0</v>
      </c>
      <c r="H49" s="781">
        <f t="shared" si="11"/>
        <v>0</v>
      </c>
      <c r="I49" s="770"/>
      <c r="J49" s="782"/>
      <c r="K49" s="783"/>
      <c r="M49" s="871"/>
      <c r="N49" s="877">
        <f t="shared" si="6"/>
        <v>0</v>
      </c>
    </row>
    <row r="50" spans="1:14" ht="15.75" thickBot="1" x14ac:dyDescent="0.3">
      <c r="A50" s="834"/>
      <c r="B50" s="775"/>
      <c r="C50" s="776"/>
      <c r="D50" s="777"/>
      <c r="E50" s="828"/>
      <c r="F50" s="790"/>
      <c r="G50" s="788">
        <f t="shared" si="11"/>
        <v>0</v>
      </c>
      <c r="H50" s="781">
        <f t="shared" si="11"/>
        <v>0</v>
      </c>
      <c r="I50" s="770"/>
      <c r="J50" s="782"/>
      <c r="K50" s="783"/>
      <c r="M50" s="871"/>
      <c r="N50" s="877">
        <f t="shared" si="6"/>
        <v>0</v>
      </c>
    </row>
    <row r="51" spans="1:14" ht="15.75" thickBot="1" x14ac:dyDescent="0.3">
      <c r="A51" s="814"/>
      <c r="B51" s="775"/>
      <c r="C51" s="776"/>
      <c r="D51" s="777"/>
      <c r="E51" s="828"/>
      <c r="F51" s="793"/>
      <c r="G51" s="788">
        <f t="shared" si="11"/>
        <v>0</v>
      </c>
      <c r="H51" s="791">
        <f t="shared" si="11"/>
        <v>0</v>
      </c>
      <c r="I51" s="770"/>
      <c r="J51" s="782"/>
      <c r="K51" s="783"/>
      <c r="M51" s="871"/>
      <c r="N51" s="877">
        <f t="shared" si="6"/>
        <v>0</v>
      </c>
    </row>
    <row r="52" spans="1:14" x14ac:dyDescent="0.25">
      <c r="A52" s="815"/>
      <c r="B52" s="794"/>
      <c r="C52" s="795"/>
      <c r="D52" s="796"/>
      <c r="E52" s="797"/>
      <c r="F52" s="798"/>
      <c r="G52" s="799">
        <f t="shared" si="11"/>
        <v>0</v>
      </c>
      <c r="H52" s="800">
        <f t="shared" si="11"/>
        <v>0</v>
      </c>
      <c r="I52" s="770"/>
      <c r="J52" s="801"/>
      <c r="K52" s="802"/>
      <c r="M52" s="871"/>
      <c r="N52" s="877">
        <f t="shared" si="6"/>
        <v>0</v>
      </c>
    </row>
    <row r="53" spans="1:14" x14ac:dyDescent="0.25">
      <c r="N53" s="877"/>
    </row>
    <row r="54" spans="1:14" ht="18" thickBot="1" x14ac:dyDescent="0.35">
      <c r="A54" s="825" t="s">
        <v>307</v>
      </c>
      <c r="B54" s="806">
        <v>41275</v>
      </c>
      <c r="C54" s="807">
        <v>20</v>
      </c>
      <c r="D54" s="835">
        <v>35.14</v>
      </c>
      <c r="E54" s="766"/>
      <c r="F54" s="836"/>
      <c r="G54" s="768">
        <f>C54*E54</f>
        <v>0</v>
      </c>
      <c r="H54" s="769">
        <f>D54*F54</f>
        <v>0</v>
      </c>
      <c r="I54" s="770"/>
      <c r="J54" s="837">
        <v>59.53</v>
      </c>
      <c r="K54" s="769">
        <f>F54*J54</f>
        <v>0</v>
      </c>
      <c r="M54" s="873">
        <v>0.47</v>
      </c>
      <c r="N54" s="877">
        <f t="shared" si="6"/>
        <v>0</v>
      </c>
    </row>
    <row r="55" spans="1:14" ht="15.75" thickBot="1" x14ac:dyDescent="0.3">
      <c r="A55" s="785" t="s">
        <v>308</v>
      </c>
      <c r="B55" s="838">
        <v>41548</v>
      </c>
      <c r="C55" s="839">
        <v>20</v>
      </c>
      <c r="D55" s="840">
        <v>35.840000000000003</v>
      </c>
      <c r="E55" s="828"/>
      <c r="F55" s="779"/>
      <c r="G55" s="788">
        <f t="shared" ref="G55:H59" si="12">C55*E55</f>
        <v>0</v>
      </c>
      <c r="H55" s="781">
        <f t="shared" si="12"/>
        <v>0</v>
      </c>
      <c r="I55" s="770"/>
      <c r="J55" s="782">
        <v>59.53</v>
      </c>
      <c r="K55" s="769">
        <f t="shared" ref="K55:K59" si="13">F55*J55</f>
        <v>0</v>
      </c>
      <c r="M55" s="871"/>
      <c r="N55" s="877">
        <f t="shared" si="6"/>
        <v>0</v>
      </c>
    </row>
    <row r="56" spans="1:14" ht="15.75" thickBot="1" x14ac:dyDescent="0.3">
      <c r="A56" s="814"/>
      <c r="B56" s="775">
        <v>40544</v>
      </c>
      <c r="C56" s="776">
        <v>20</v>
      </c>
      <c r="D56" s="777">
        <v>33.590000000000003</v>
      </c>
      <c r="E56" s="828"/>
      <c r="F56" s="793"/>
      <c r="G56" s="788">
        <f t="shared" si="12"/>
        <v>0</v>
      </c>
      <c r="H56" s="791">
        <f t="shared" si="12"/>
        <v>0</v>
      </c>
      <c r="I56" s="770"/>
      <c r="J56" s="782">
        <v>57.84</v>
      </c>
      <c r="K56" s="769">
        <f t="shared" si="13"/>
        <v>0</v>
      </c>
      <c r="M56" s="871"/>
      <c r="N56" s="877">
        <f t="shared" si="6"/>
        <v>0</v>
      </c>
    </row>
    <row r="57" spans="1:14" ht="15.75" thickBot="1" x14ac:dyDescent="0.3">
      <c r="A57" s="814"/>
      <c r="B57" s="775">
        <v>40664</v>
      </c>
      <c r="C57" s="776">
        <v>20</v>
      </c>
      <c r="D57" s="777">
        <v>34.35</v>
      </c>
      <c r="E57" s="841"/>
      <c r="F57" s="793"/>
      <c r="G57" s="788">
        <f t="shared" si="12"/>
        <v>0</v>
      </c>
      <c r="H57" s="791">
        <f t="shared" si="12"/>
        <v>0</v>
      </c>
      <c r="I57" s="770"/>
      <c r="J57" s="782">
        <v>59.17</v>
      </c>
      <c r="K57" s="769">
        <f t="shared" si="13"/>
        <v>0</v>
      </c>
      <c r="M57" s="871"/>
      <c r="N57" s="877">
        <f t="shared" si="6"/>
        <v>0</v>
      </c>
    </row>
    <row r="58" spans="1:14" ht="15.75" thickBot="1" x14ac:dyDescent="0.3">
      <c r="A58" s="814"/>
      <c r="B58" s="775">
        <v>40909</v>
      </c>
      <c r="C58" s="776">
        <v>20</v>
      </c>
      <c r="D58" s="777">
        <v>34.35</v>
      </c>
      <c r="E58" s="841"/>
      <c r="F58" s="793"/>
      <c r="G58" s="788">
        <f t="shared" si="12"/>
        <v>0</v>
      </c>
      <c r="H58" s="791">
        <f t="shared" si="12"/>
        <v>0</v>
      </c>
      <c r="I58" s="770"/>
      <c r="J58" s="782">
        <v>58.5</v>
      </c>
      <c r="K58" s="769">
        <f t="shared" si="13"/>
        <v>0</v>
      </c>
      <c r="M58" s="871"/>
      <c r="N58" s="877">
        <f t="shared" si="6"/>
        <v>0</v>
      </c>
    </row>
    <row r="59" spans="1:14" x14ac:dyDescent="0.25">
      <c r="A59" s="815"/>
      <c r="B59" s="794">
        <v>41028</v>
      </c>
      <c r="C59" s="795">
        <v>20</v>
      </c>
      <c r="D59" s="796">
        <v>35.14</v>
      </c>
      <c r="E59" s="797"/>
      <c r="F59" s="798"/>
      <c r="G59" s="799">
        <f t="shared" si="12"/>
        <v>0</v>
      </c>
      <c r="H59" s="800">
        <f t="shared" si="12"/>
        <v>0</v>
      </c>
      <c r="I59" s="770"/>
      <c r="J59" s="801">
        <v>59.53</v>
      </c>
      <c r="K59" s="842">
        <f t="shared" si="13"/>
        <v>0</v>
      </c>
      <c r="M59" s="871"/>
      <c r="N59" s="877">
        <f t="shared" si="6"/>
        <v>0</v>
      </c>
    </row>
    <row r="60" spans="1:14" x14ac:dyDescent="0.25">
      <c r="N60" s="877"/>
    </row>
    <row r="61" spans="1:14" ht="18" thickBot="1" x14ac:dyDescent="0.35">
      <c r="A61" s="825" t="s">
        <v>309</v>
      </c>
      <c r="B61" s="763">
        <v>40909</v>
      </c>
      <c r="C61" s="764">
        <v>15</v>
      </c>
      <c r="D61" s="765"/>
      <c r="E61" s="766"/>
      <c r="F61" s="767"/>
      <c r="G61" s="768">
        <f>C61*E61</f>
        <v>0</v>
      </c>
      <c r="H61" s="769">
        <f>D61*F61</f>
        <v>0</v>
      </c>
      <c r="I61" s="770"/>
      <c r="J61" s="771"/>
      <c r="K61" s="769">
        <f>F61*J61</f>
        <v>0</v>
      </c>
      <c r="M61" s="871">
        <v>0.44</v>
      </c>
      <c r="N61" s="877">
        <f t="shared" si="6"/>
        <v>0</v>
      </c>
    </row>
    <row r="62" spans="1:14" ht="15.75" thickBot="1" x14ac:dyDescent="0.3">
      <c r="A62" s="785" t="s">
        <v>310</v>
      </c>
      <c r="B62" s="775">
        <v>41029</v>
      </c>
      <c r="C62" s="776">
        <v>16</v>
      </c>
      <c r="D62" s="777"/>
      <c r="E62" s="828"/>
      <c r="F62" s="779"/>
      <c r="G62" s="788">
        <f t="shared" ref="G62:H66" si="14">C62*E62</f>
        <v>0</v>
      </c>
      <c r="H62" s="781">
        <f t="shared" si="14"/>
        <v>0</v>
      </c>
      <c r="I62" s="770"/>
      <c r="J62" s="782"/>
      <c r="K62" s="769">
        <f t="shared" ref="K62:K66" si="15">F62*J62</f>
        <v>0</v>
      </c>
      <c r="M62" s="871"/>
      <c r="N62" s="877">
        <f t="shared" si="6"/>
        <v>0</v>
      </c>
    </row>
    <row r="63" spans="1:14" ht="15.75" thickBot="1" x14ac:dyDescent="0.3">
      <c r="A63" s="783"/>
      <c r="B63" s="838">
        <v>41275</v>
      </c>
      <c r="C63" s="839">
        <v>16</v>
      </c>
      <c r="D63" s="777"/>
      <c r="E63" s="828">
        <v>18.75</v>
      </c>
      <c r="F63" s="789"/>
      <c r="G63" s="780">
        <f t="shared" si="14"/>
        <v>300</v>
      </c>
      <c r="H63" s="781">
        <f t="shared" si="14"/>
        <v>0</v>
      </c>
      <c r="I63" s="770"/>
      <c r="J63" s="782"/>
      <c r="K63" s="769">
        <f t="shared" si="15"/>
        <v>0</v>
      </c>
      <c r="M63" s="874">
        <v>22.97</v>
      </c>
      <c r="N63" s="877">
        <f t="shared" si="6"/>
        <v>430.6875</v>
      </c>
    </row>
    <row r="64" spans="1:14" ht="15.75" thickBot="1" x14ac:dyDescent="0.3">
      <c r="A64" s="783"/>
      <c r="B64" s="775"/>
      <c r="C64" s="776"/>
      <c r="D64" s="777"/>
      <c r="E64" s="828"/>
      <c r="F64" s="789"/>
      <c r="G64" s="780">
        <f t="shared" si="14"/>
        <v>0</v>
      </c>
      <c r="H64" s="791">
        <f t="shared" si="14"/>
        <v>0</v>
      </c>
      <c r="I64" s="770"/>
      <c r="J64" s="782"/>
      <c r="K64" s="769">
        <f t="shared" si="15"/>
        <v>0</v>
      </c>
      <c r="M64" s="871"/>
      <c r="N64" s="877">
        <f t="shared" si="6"/>
        <v>0</v>
      </c>
    </row>
    <row r="65" spans="1:14" ht="15.75" thickBot="1" x14ac:dyDescent="0.3">
      <c r="A65" s="814"/>
      <c r="B65" s="775"/>
      <c r="C65" s="776"/>
      <c r="D65" s="777"/>
      <c r="E65" s="841"/>
      <c r="F65" s="793"/>
      <c r="G65" s="788"/>
      <c r="H65" s="791"/>
      <c r="I65" s="770"/>
      <c r="J65" s="782"/>
      <c r="K65" s="769"/>
      <c r="M65" s="871"/>
      <c r="N65" s="877">
        <f t="shared" si="6"/>
        <v>0</v>
      </c>
    </row>
    <row r="66" spans="1:14" x14ac:dyDescent="0.25">
      <c r="A66" s="815"/>
      <c r="B66" s="794"/>
      <c r="C66" s="795"/>
      <c r="D66" s="796"/>
      <c r="E66" s="797"/>
      <c r="F66" s="798"/>
      <c r="G66" s="799">
        <f t="shared" si="14"/>
        <v>0</v>
      </c>
      <c r="H66" s="800">
        <f t="shared" si="14"/>
        <v>0</v>
      </c>
      <c r="I66" s="770"/>
      <c r="J66" s="801"/>
      <c r="K66" s="842">
        <f t="shared" si="15"/>
        <v>0</v>
      </c>
      <c r="M66" s="871"/>
      <c r="N66" s="877">
        <f t="shared" si="6"/>
        <v>0</v>
      </c>
    </row>
    <row r="67" spans="1:14" x14ac:dyDescent="0.25">
      <c r="N67" s="877"/>
    </row>
    <row r="68" spans="1:14" ht="18" thickBot="1" x14ac:dyDescent="0.35">
      <c r="A68" s="805" t="s">
        <v>311</v>
      </c>
      <c r="B68" s="806">
        <v>41275</v>
      </c>
      <c r="C68" s="807">
        <v>32</v>
      </c>
      <c r="D68" s="835">
        <v>35.840000000000003</v>
      </c>
      <c r="E68" s="766"/>
      <c r="F68" s="767"/>
      <c r="G68" s="788">
        <f t="shared" ref="G68:H72" si="16">C68*E68</f>
        <v>0</v>
      </c>
      <c r="H68" s="781">
        <f>D68*F68</f>
        <v>0</v>
      </c>
      <c r="I68" s="770"/>
      <c r="J68" s="771">
        <v>59.53</v>
      </c>
      <c r="K68" s="769">
        <f>F68*J68</f>
        <v>0</v>
      </c>
      <c r="M68" s="873"/>
      <c r="N68" s="877">
        <f t="shared" si="6"/>
        <v>0</v>
      </c>
    </row>
    <row r="69" spans="1:14" ht="15.75" thickBot="1" x14ac:dyDescent="0.3">
      <c r="A69" s="785" t="s">
        <v>312</v>
      </c>
      <c r="B69" s="860">
        <v>41640</v>
      </c>
      <c r="C69" s="859">
        <f>'taux horaire '!C27</f>
        <v>35</v>
      </c>
      <c r="D69" s="879">
        <f>'taux horaire '!C37</f>
        <v>24.5</v>
      </c>
      <c r="E69" s="828">
        <v>4</v>
      </c>
      <c r="F69" s="843">
        <v>9.25</v>
      </c>
      <c r="G69" s="788">
        <f t="shared" si="16"/>
        <v>140</v>
      </c>
      <c r="H69" s="781">
        <f>D69*F69</f>
        <v>226.625</v>
      </c>
      <c r="I69" s="770"/>
      <c r="J69" s="881">
        <f>'taux horaire '!D37</f>
        <v>52.006373239436613</v>
      </c>
      <c r="K69" s="769">
        <f t="shared" ref="K69:K72" si="17">F69*J69</f>
        <v>481.05895246478866</v>
      </c>
      <c r="M69" s="880">
        <f>'taux horaire '!D27</f>
        <v>62.021352145321245</v>
      </c>
      <c r="N69" s="877">
        <f t="shared" si="6"/>
        <v>248.08540858128498</v>
      </c>
    </row>
    <row r="70" spans="1:14" ht="15.75" thickBot="1" x14ac:dyDescent="0.3">
      <c r="A70" s="783"/>
      <c r="B70" s="775">
        <v>40909</v>
      </c>
      <c r="C70" s="776">
        <v>30</v>
      </c>
      <c r="D70" s="777"/>
      <c r="E70" s="828"/>
      <c r="F70" s="790"/>
      <c r="G70" s="780">
        <f t="shared" si="16"/>
        <v>0</v>
      </c>
      <c r="H70" s="781">
        <f t="shared" si="16"/>
        <v>0</v>
      </c>
      <c r="I70" s="770"/>
      <c r="J70" s="782">
        <v>58.5</v>
      </c>
      <c r="K70" s="769">
        <f t="shared" si="17"/>
        <v>0</v>
      </c>
      <c r="M70" s="871"/>
      <c r="N70" s="877">
        <f t="shared" si="6"/>
        <v>0</v>
      </c>
    </row>
    <row r="71" spans="1:14" ht="15.75" thickBot="1" x14ac:dyDescent="0.3">
      <c r="A71" s="814"/>
      <c r="B71" s="775">
        <v>41275</v>
      </c>
      <c r="C71" s="776">
        <v>30</v>
      </c>
      <c r="D71" s="777">
        <v>35.14</v>
      </c>
      <c r="E71" s="828"/>
      <c r="F71" s="793"/>
      <c r="G71" s="788">
        <f t="shared" si="16"/>
        <v>0</v>
      </c>
      <c r="H71" s="791">
        <f t="shared" si="16"/>
        <v>0</v>
      </c>
      <c r="I71" s="770"/>
      <c r="J71" s="782">
        <v>58.5</v>
      </c>
      <c r="K71" s="769">
        <f t="shared" si="17"/>
        <v>0</v>
      </c>
      <c r="M71" s="871"/>
      <c r="N71" s="877">
        <f t="shared" si="6"/>
        <v>0</v>
      </c>
    </row>
    <row r="72" spans="1:14" x14ac:dyDescent="0.25">
      <c r="A72" s="815"/>
      <c r="B72" s="794"/>
      <c r="C72" s="795"/>
      <c r="D72" s="796"/>
      <c r="E72" s="797"/>
      <c r="F72" s="798"/>
      <c r="G72" s="799">
        <f t="shared" si="16"/>
        <v>0</v>
      </c>
      <c r="H72" s="800">
        <f t="shared" si="16"/>
        <v>0</v>
      </c>
      <c r="I72" s="770"/>
      <c r="J72" s="801"/>
      <c r="K72" s="842">
        <f t="shared" si="17"/>
        <v>0</v>
      </c>
      <c r="M72" s="871"/>
      <c r="N72" s="877">
        <f t="shared" si="6"/>
        <v>0</v>
      </c>
    </row>
    <row r="73" spans="1:14" x14ac:dyDescent="0.25">
      <c r="N73" s="36"/>
    </row>
    <row r="74" spans="1:14" ht="18" thickBot="1" x14ac:dyDescent="0.35">
      <c r="A74" s="805" t="s">
        <v>313</v>
      </c>
      <c r="B74" s="806">
        <v>41275</v>
      </c>
      <c r="C74" s="807">
        <v>16</v>
      </c>
      <c r="D74" s="835">
        <v>29.87</v>
      </c>
      <c r="E74" s="766"/>
      <c r="F74" s="767"/>
      <c r="G74" s="768">
        <f>C74*E74</f>
        <v>0</v>
      </c>
      <c r="H74" s="769">
        <f>D74*F74</f>
        <v>0</v>
      </c>
      <c r="I74" s="770"/>
      <c r="J74" s="837">
        <v>51.1</v>
      </c>
      <c r="K74" s="844">
        <f>F74*J74</f>
        <v>0</v>
      </c>
      <c r="M74" s="874">
        <v>0.45500000000000002</v>
      </c>
      <c r="N74" s="831">
        <f t="shared" ref="N74:N87" si="18">G74*M74</f>
        <v>0</v>
      </c>
    </row>
    <row r="75" spans="1:14" ht="15.75" thickBot="1" x14ac:dyDescent="0.3">
      <c r="A75" s="785" t="s">
        <v>314</v>
      </c>
      <c r="B75" s="845">
        <v>41562</v>
      </c>
      <c r="C75" s="839">
        <v>16</v>
      </c>
      <c r="D75" s="840">
        <v>35.840000000000003</v>
      </c>
      <c r="E75" s="826"/>
      <c r="F75" s="779"/>
      <c r="G75" s="788">
        <f t="shared" ref="G75:H84" si="19">C75*E75</f>
        <v>0</v>
      </c>
      <c r="H75" s="781">
        <f t="shared" si="19"/>
        <v>0</v>
      </c>
      <c r="I75" s="770"/>
      <c r="J75" s="782">
        <v>51.1</v>
      </c>
      <c r="K75" s="769">
        <f t="shared" ref="K75:K84" si="20">F75*J75</f>
        <v>0</v>
      </c>
      <c r="M75" s="871">
        <v>0.23</v>
      </c>
      <c r="N75" s="830">
        <f t="shared" si="18"/>
        <v>0</v>
      </c>
    </row>
    <row r="76" spans="1:14" ht="15.75" thickBot="1" x14ac:dyDescent="0.3">
      <c r="A76" s="846"/>
      <c r="B76" s="860">
        <v>41640</v>
      </c>
      <c r="C76" s="859">
        <f>'taux horaire '!C21</f>
        <v>20</v>
      </c>
      <c r="D76" s="879">
        <f>'taux horaire '!C37</f>
        <v>24.5</v>
      </c>
      <c r="E76" s="828">
        <v>26.5</v>
      </c>
      <c r="F76" s="790">
        <v>49.75</v>
      </c>
      <c r="G76" s="780">
        <f t="shared" si="19"/>
        <v>530</v>
      </c>
      <c r="H76" s="781">
        <f t="shared" si="19"/>
        <v>1218.875</v>
      </c>
      <c r="I76" s="770"/>
      <c r="J76" s="881">
        <f>'taux horaire '!D37</f>
        <v>52.006373239436613</v>
      </c>
      <c r="K76" s="769">
        <f>F76*J76</f>
        <v>2587.3170686619715</v>
      </c>
      <c r="M76" s="878">
        <f>'taux horaire '!D21</f>
        <v>32.100349578449517</v>
      </c>
      <c r="N76" s="877">
        <f>M76*E76</f>
        <v>850.65926382891223</v>
      </c>
    </row>
    <row r="77" spans="1:14" ht="15.75" thickBot="1" x14ac:dyDescent="0.3">
      <c r="A77" s="847"/>
      <c r="B77" s="775">
        <v>40447</v>
      </c>
      <c r="C77" s="776">
        <v>16</v>
      </c>
      <c r="D77" s="848">
        <v>23.01</v>
      </c>
      <c r="E77" s="797"/>
      <c r="F77" s="798"/>
      <c r="G77" s="788">
        <f t="shared" si="19"/>
        <v>0</v>
      </c>
      <c r="H77" s="781">
        <f t="shared" si="19"/>
        <v>0</v>
      </c>
      <c r="I77" s="770"/>
      <c r="J77" s="782">
        <v>40.67</v>
      </c>
      <c r="K77" s="842">
        <f t="shared" si="20"/>
        <v>0</v>
      </c>
      <c r="M77" s="871">
        <v>0.23</v>
      </c>
      <c r="N77" s="830">
        <f t="shared" si="18"/>
        <v>0</v>
      </c>
    </row>
    <row r="78" spans="1:14" ht="15.75" thickBot="1" x14ac:dyDescent="0.3">
      <c r="A78" s="847"/>
      <c r="B78" s="775">
        <v>40544</v>
      </c>
      <c r="C78" s="776">
        <v>16</v>
      </c>
      <c r="D78" s="848">
        <v>23.51</v>
      </c>
      <c r="E78" s="797"/>
      <c r="F78" s="798"/>
      <c r="G78" s="788">
        <f t="shared" si="19"/>
        <v>0</v>
      </c>
      <c r="H78" s="781">
        <f t="shared" si="19"/>
        <v>0</v>
      </c>
      <c r="I78" s="770"/>
      <c r="J78" s="782">
        <v>42.13</v>
      </c>
      <c r="K78" s="842">
        <f t="shared" si="20"/>
        <v>0</v>
      </c>
      <c r="M78" s="871">
        <v>0.23</v>
      </c>
      <c r="N78" s="830">
        <f t="shared" si="18"/>
        <v>0</v>
      </c>
    </row>
    <row r="79" spans="1:14" ht="15.75" thickBot="1" x14ac:dyDescent="0.3">
      <c r="A79" s="847"/>
      <c r="B79" s="775">
        <v>40664</v>
      </c>
      <c r="C79" s="776">
        <v>16</v>
      </c>
      <c r="D79" s="848">
        <v>24.05</v>
      </c>
      <c r="E79" s="797"/>
      <c r="F79" s="798"/>
      <c r="G79" s="788">
        <f t="shared" si="19"/>
        <v>0</v>
      </c>
      <c r="H79" s="781">
        <f t="shared" si="19"/>
        <v>0</v>
      </c>
      <c r="I79" s="770"/>
      <c r="J79" s="782">
        <v>43.16</v>
      </c>
      <c r="K79" s="842">
        <f t="shared" si="20"/>
        <v>0</v>
      </c>
      <c r="M79" s="871">
        <v>0.23</v>
      </c>
      <c r="N79" s="830">
        <f t="shared" si="18"/>
        <v>0</v>
      </c>
    </row>
    <row r="80" spans="1:14" ht="15.75" thickBot="1" x14ac:dyDescent="0.3">
      <c r="A80" s="847"/>
      <c r="B80" s="775">
        <v>40817</v>
      </c>
      <c r="C80" s="776">
        <v>16</v>
      </c>
      <c r="D80" s="848">
        <v>29.2</v>
      </c>
      <c r="E80" s="797"/>
      <c r="F80" s="798"/>
      <c r="G80" s="788">
        <f t="shared" si="19"/>
        <v>0</v>
      </c>
      <c r="H80" s="781">
        <f t="shared" si="19"/>
        <v>0</v>
      </c>
      <c r="I80" s="770"/>
      <c r="J80" s="782">
        <v>50.76</v>
      </c>
      <c r="K80" s="842">
        <f t="shared" si="20"/>
        <v>0</v>
      </c>
      <c r="M80" s="871">
        <v>0.23</v>
      </c>
      <c r="N80" s="830">
        <f t="shared" si="18"/>
        <v>0</v>
      </c>
    </row>
    <row r="81" spans="1:14" ht="15.75" thickBot="1" x14ac:dyDescent="0.3">
      <c r="A81" s="847"/>
      <c r="B81" s="849">
        <v>40909</v>
      </c>
      <c r="C81" s="776">
        <v>16</v>
      </c>
      <c r="D81" s="848">
        <v>29.2</v>
      </c>
      <c r="E81" s="797"/>
      <c r="F81" s="798"/>
      <c r="G81" s="788">
        <f t="shared" si="19"/>
        <v>0</v>
      </c>
      <c r="H81" s="781">
        <f t="shared" si="19"/>
        <v>0</v>
      </c>
      <c r="I81" s="817"/>
      <c r="J81" s="782">
        <v>51.1</v>
      </c>
      <c r="K81" s="842">
        <f t="shared" si="20"/>
        <v>0</v>
      </c>
      <c r="M81" s="871">
        <v>0.23</v>
      </c>
      <c r="N81" s="830">
        <f t="shared" si="18"/>
        <v>0</v>
      </c>
    </row>
    <row r="82" spans="1:14" ht="15.75" thickBot="1" x14ac:dyDescent="0.3">
      <c r="A82" s="850"/>
      <c r="B82" s="851">
        <v>41275</v>
      </c>
      <c r="C82" s="776">
        <v>16</v>
      </c>
      <c r="D82" s="820">
        <v>29.87</v>
      </c>
      <c r="E82" s="797"/>
      <c r="F82" s="798"/>
      <c r="G82" s="823">
        <f t="shared" si="19"/>
        <v>0</v>
      </c>
      <c r="H82" s="824">
        <f t="shared" si="19"/>
        <v>0</v>
      </c>
      <c r="I82" s="852"/>
      <c r="J82" s="852">
        <v>51.1</v>
      </c>
      <c r="K82" s="769">
        <f t="shared" si="20"/>
        <v>0</v>
      </c>
      <c r="M82" s="871">
        <v>0.23</v>
      </c>
      <c r="N82" s="830">
        <f t="shared" si="18"/>
        <v>0</v>
      </c>
    </row>
    <row r="83" spans="1:14" ht="15.75" thickBot="1" x14ac:dyDescent="0.3">
      <c r="A83" s="850"/>
      <c r="B83" s="851">
        <v>41532</v>
      </c>
      <c r="C83" s="776">
        <v>16</v>
      </c>
      <c r="D83" s="820">
        <v>30.46</v>
      </c>
      <c r="E83" s="797"/>
      <c r="F83" s="798"/>
      <c r="G83" s="823">
        <f t="shared" si="19"/>
        <v>0</v>
      </c>
      <c r="H83" s="824">
        <f t="shared" si="19"/>
        <v>0</v>
      </c>
      <c r="I83" s="852"/>
      <c r="J83" s="852">
        <v>51.1</v>
      </c>
      <c r="K83" s="791">
        <f t="shared" si="20"/>
        <v>0</v>
      </c>
      <c r="M83" s="871">
        <v>0.23</v>
      </c>
      <c r="N83" s="830">
        <f t="shared" si="18"/>
        <v>0</v>
      </c>
    </row>
    <row r="84" spans="1:14" x14ac:dyDescent="0.25">
      <c r="A84" s="850"/>
      <c r="B84" s="851">
        <v>41579</v>
      </c>
      <c r="C84" s="776">
        <v>18</v>
      </c>
      <c r="D84" s="820">
        <v>35.840000000000003</v>
      </c>
      <c r="E84" s="797"/>
      <c r="F84" s="798"/>
      <c r="G84" s="823">
        <f t="shared" si="19"/>
        <v>0</v>
      </c>
      <c r="H84" s="824">
        <f t="shared" si="19"/>
        <v>0</v>
      </c>
      <c r="I84" s="852"/>
      <c r="J84" s="852">
        <v>63.7</v>
      </c>
      <c r="K84" s="791">
        <f t="shared" si="20"/>
        <v>0</v>
      </c>
      <c r="M84" s="871">
        <v>0.23</v>
      </c>
      <c r="N84" s="830">
        <f t="shared" si="18"/>
        <v>0</v>
      </c>
    </row>
    <row r="85" spans="1:14" x14ac:dyDescent="0.25">
      <c r="N85" s="36"/>
    </row>
    <row r="86" spans="1:14" ht="18" thickBot="1" x14ac:dyDescent="0.35">
      <c r="A86" s="805" t="s">
        <v>315</v>
      </c>
      <c r="B86" s="806">
        <v>41275</v>
      </c>
      <c r="C86" s="807">
        <v>20</v>
      </c>
      <c r="D86" s="835">
        <v>35.14</v>
      </c>
      <c r="E86" s="766"/>
      <c r="F86" s="767"/>
      <c r="G86" s="768">
        <f>C86*E86</f>
        <v>0</v>
      </c>
      <c r="H86" s="769">
        <f>D86*F86</f>
        <v>0</v>
      </c>
      <c r="I86" s="770"/>
      <c r="J86" s="771">
        <v>44.86</v>
      </c>
      <c r="K86" s="769">
        <f>F86*J86</f>
        <v>0</v>
      </c>
      <c r="M86" s="873">
        <v>0.47</v>
      </c>
      <c r="N86" s="831">
        <f t="shared" si="18"/>
        <v>0</v>
      </c>
    </row>
    <row r="87" spans="1:14" ht="15.75" thickBot="1" x14ac:dyDescent="0.3">
      <c r="A87" s="785" t="s">
        <v>316</v>
      </c>
      <c r="B87" s="838">
        <v>41565</v>
      </c>
      <c r="C87" s="839">
        <v>20</v>
      </c>
      <c r="D87" s="840">
        <v>35.840000000000003</v>
      </c>
      <c r="E87" s="828"/>
      <c r="F87" s="779"/>
      <c r="G87" s="788">
        <f t="shared" ref="G87:H95" si="21">C87*E87</f>
        <v>0</v>
      </c>
      <c r="H87" s="781">
        <f t="shared" si="21"/>
        <v>0</v>
      </c>
      <c r="I87" s="770"/>
      <c r="J87" s="782">
        <v>44.86</v>
      </c>
      <c r="K87" s="769">
        <f t="shared" ref="K87:K89" si="22">F87*J87</f>
        <v>0</v>
      </c>
      <c r="M87" s="871">
        <v>0.23</v>
      </c>
      <c r="N87" s="830">
        <f t="shared" si="18"/>
        <v>0</v>
      </c>
    </row>
    <row r="88" spans="1:14" ht="15.75" thickBot="1" x14ac:dyDescent="0.3">
      <c r="A88" s="783"/>
      <c r="B88" s="860">
        <v>41640</v>
      </c>
      <c r="C88" s="859">
        <v>20</v>
      </c>
      <c r="D88" s="879">
        <f>'taux horaire '!C37</f>
        <v>24.5</v>
      </c>
      <c r="E88" s="826"/>
      <c r="F88" s="790"/>
      <c r="G88" s="780">
        <f t="shared" si="21"/>
        <v>0</v>
      </c>
      <c r="H88" s="781">
        <f t="shared" si="21"/>
        <v>0</v>
      </c>
      <c r="I88" s="770"/>
      <c r="J88" s="881">
        <v>61.13</v>
      </c>
      <c r="K88" s="769">
        <f t="shared" si="22"/>
        <v>0</v>
      </c>
      <c r="M88" s="878">
        <v>33.5</v>
      </c>
      <c r="N88" s="877">
        <f>M88*E88</f>
        <v>0</v>
      </c>
    </row>
    <row r="89" spans="1:14" ht="15.75" thickBot="1" x14ac:dyDescent="0.3">
      <c r="A89" s="814"/>
      <c r="B89" s="860">
        <v>41798</v>
      </c>
      <c r="C89" s="859">
        <f>'taux horaire '!C23</f>
        <v>24</v>
      </c>
      <c r="D89" s="879">
        <f>'taux horaire '!C37</f>
        <v>24.5</v>
      </c>
      <c r="E89" s="828">
        <v>46.75</v>
      </c>
      <c r="F89" s="793">
        <v>9</v>
      </c>
      <c r="G89" s="788">
        <f t="shared" si="21"/>
        <v>1122</v>
      </c>
      <c r="H89" s="791">
        <f t="shared" si="21"/>
        <v>220.5</v>
      </c>
      <c r="I89" s="770"/>
      <c r="J89" s="881">
        <f>'taux horaire '!D37</f>
        <v>52.006373239436613</v>
      </c>
      <c r="K89" s="769">
        <f t="shared" si="22"/>
        <v>468.05735915492949</v>
      </c>
      <c r="M89" s="878">
        <f>'taux horaire '!D23</f>
        <v>44.102856834842605</v>
      </c>
      <c r="N89" s="877">
        <f>M89*E89</f>
        <v>2061.8085570288918</v>
      </c>
    </row>
    <row r="90" spans="1:14" ht="15.75" thickBot="1" x14ac:dyDescent="0.3">
      <c r="A90" s="814"/>
      <c r="B90" s="775">
        <v>40447</v>
      </c>
      <c r="C90" s="776">
        <v>16</v>
      </c>
      <c r="D90" s="777">
        <v>33.590000000000003</v>
      </c>
      <c r="E90" s="828"/>
      <c r="F90" s="793"/>
      <c r="G90" s="788">
        <f t="shared" si="21"/>
        <v>0</v>
      </c>
      <c r="H90" s="791">
        <f t="shared" si="21"/>
        <v>0</v>
      </c>
      <c r="I90" s="770"/>
      <c r="J90" s="782">
        <v>55.82</v>
      </c>
      <c r="K90" s="769">
        <f>F90*J90</f>
        <v>0</v>
      </c>
      <c r="M90" s="871"/>
      <c r="N90" s="877">
        <f t="shared" ref="N90:N94" si="23">M90*E90</f>
        <v>0</v>
      </c>
    </row>
    <row r="91" spans="1:14" ht="15.75" thickBot="1" x14ac:dyDescent="0.3">
      <c r="A91" s="814"/>
      <c r="B91" s="775">
        <v>40544</v>
      </c>
      <c r="C91" s="776">
        <v>16</v>
      </c>
      <c r="D91" s="777">
        <v>33.590000000000003</v>
      </c>
      <c r="E91" s="828"/>
      <c r="F91" s="793"/>
      <c r="G91" s="788">
        <f t="shared" si="21"/>
        <v>0</v>
      </c>
      <c r="H91" s="791">
        <f t="shared" si="21"/>
        <v>0</v>
      </c>
      <c r="I91" s="770"/>
      <c r="J91" s="782">
        <v>57.84</v>
      </c>
      <c r="K91" s="769">
        <f>F91*J91</f>
        <v>0</v>
      </c>
      <c r="M91" s="871"/>
      <c r="N91" s="877">
        <f t="shared" si="23"/>
        <v>0</v>
      </c>
    </row>
    <row r="92" spans="1:14" ht="15.75" thickBot="1" x14ac:dyDescent="0.3">
      <c r="A92" s="814"/>
      <c r="B92" s="775">
        <v>40664</v>
      </c>
      <c r="C92" s="776">
        <v>20</v>
      </c>
      <c r="D92" s="777">
        <v>34.35</v>
      </c>
      <c r="E92" s="828"/>
      <c r="F92" s="793"/>
      <c r="G92" s="788">
        <f t="shared" si="21"/>
        <v>0</v>
      </c>
      <c r="H92" s="791">
        <f t="shared" si="21"/>
        <v>0</v>
      </c>
      <c r="I92" s="770"/>
      <c r="J92" s="782">
        <v>59.17</v>
      </c>
      <c r="K92" s="769">
        <f t="shared" ref="K92:K95" si="24">F92*J92</f>
        <v>0</v>
      </c>
      <c r="M92" s="871"/>
      <c r="N92" s="877">
        <f t="shared" si="23"/>
        <v>0</v>
      </c>
    </row>
    <row r="93" spans="1:14" ht="15.75" thickBot="1" x14ac:dyDescent="0.3">
      <c r="A93" s="814"/>
      <c r="B93" s="775">
        <v>40909</v>
      </c>
      <c r="C93" s="776">
        <v>20</v>
      </c>
      <c r="D93" s="777">
        <v>34.35</v>
      </c>
      <c r="E93" s="828"/>
      <c r="F93" s="793"/>
      <c r="G93" s="788">
        <f t="shared" si="21"/>
        <v>0</v>
      </c>
      <c r="H93" s="791">
        <f t="shared" si="21"/>
        <v>0</v>
      </c>
      <c r="I93" s="770"/>
      <c r="J93" s="782">
        <v>59.53</v>
      </c>
      <c r="K93" s="769">
        <f t="shared" si="24"/>
        <v>0</v>
      </c>
      <c r="M93" s="871"/>
      <c r="N93" s="877">
        <f t="shared" si="23"/>
        <v>0</v>
      </c>
    </row>
    <row r="94" spans="1:14" ht="15.75" thickBot="1" x14ac:dyDescent="0.3">
      <c r="A94" s="814"/>
      <c r="B94" s="775"/>
      <c r="C94" s="776"/>
      <c r="D94" s="777"/>
      <c r="E94" s="828"/>
      <c r="F94" s="793"/>
      <c r="G94" s="788">
        <f t="shared" si="21"/>
        <v>0</v>
      </c>
      <c r="H94" s="791">
        <f t="shared" si="21"/>
        <v>0</v>
      </c>
      <c r="I94" s="770"/>
      <c r="J94" s="782"/>
      <c r="K94" s="769">
        <f t="shared" si="24"/>
        <v>0</v>
      </c>
      <c r="M94" s="871"/>
      <c r="N94" s="877">
        <f t="shared" si="23"/>
        <v>0</v>
      </c>
    </row>
    <row r="95" spans="1:14" ht="15.75" thickBot="1" x14ac:dyDescent="0.3">
      <c r="A95" s="814"/>
      <c r="B95" s="775"/>
      <c r="C95" s="776"/>
      <c r="D95" s="777"/>
      <c r="E95" s="828"/>
      <c r="F95" s="793"/>
      <c r="G95" s="788">
        <f t="shared" si="21"/>
        <v>0</v>
      </c>
      <c r="H95" s="791">
        <f t="shared" si="21"/>
        <v>0</v>
      </c>
      <c r="I95" s="770"/>
      <c r="J95" s="782"/>
      <c r="K95" s="769">
        <f t="shared" si="24"/>
        <v>0</v>
      </c>
      <c r="M95" s="871"/>
      <c r="N95" s="830"/>
    </row>
    <row r="96" spans="1:14" x14ac:dyDescent="0.25">
      <c r="N96" s="36"/>
    </row>
    <row r="97" spans="1:14" ht="18" thickBot="1" x14ac:dyDescent="0.35">
      <c r="A97" s="805" t="s">
        <v>325</v>
      </c>
      <c r="B97" s="861">
        <v>41834</v>
      </c>
      <c r="C97" s="862">
        <f>'taux horaire '!C22</f>
        <v>20</v>
      </c>
      <c r="D97" s="765"/>
      <c r="E97" s="766"/>
      <c r="F97" s="767"/>
      <c r="G97" s="768">
        <f>C97*E97</f>
        <v>0</v>
      </c>
      <c r="H97" s="769">
        <f>D97*F97</f>
        <v>0</v>
      </c>
      <c r="I97" s="770"/>
      <c r="J97" s="771"/>
      <c r="K97" s="769">
        <f>F97*J97</f>
        <v>0</v>
      </c>
      <c r="M97" s="878">
        <f>'taux horaire '!D22</f>
        <v>35.490793780687397</v>
      </c>
      <c r="N97" s="877">
        <f t="shared" ref="N97:N104" si="25">M97*E97</f>
        <v>0</v>
      </c>
    </row>
    <row r="98" spans="1:14" ht="15.75" thickBot="1" x14ac:dyDescent="0.3">
      <c r="A98" s="785" t="s">
        <v>326</v>
      </c>
      <c r="B98" s="775"/>
      <c r="C98" s="776"/>
      <c r="D98" s="777"/>
      <c r="E98" s="826"/>
      <c r="F98" s="843"/>
      <c r="G98" s="788">
        <f t="shared" ref="G98:H99" si="26">C98*E98</f>
        <v>0</v>
      </c>
      <c r="H98" s="781">
        <f t="shared" si="26"/>
        <v>0</v>
      </c>
      <c r="I98" s="770"/>
      <c r="J98" s="782"/>
      <c r="K98" s="769">
        <f t="shared" ref="K98:K99" si="27">F98*J98</f>
        <v>0</v>
      </c>
      <c r="M98" s="871"/>
      <c r="N98" s="877">
        <f t="shared" si="25"/>
        <v>0</v>
      </c>
    </row>
    <row r="99" spans="1:14" ht="15.75" thickBot="1" x14ac:dyDescent="0.3">
      <c r="A99" s="783"/>
      <c r="B99" s="775"/>
      <c r="C99" s="776"/>
      <c r="D99" s="777"/>
      <c r="E99" s="828"/>
      <c r="F99" s="790"/>
      <c r="G99" s="780">
        <f t="shared" si="26"/>
        <v>0</v>
      </c>
      <c r="H99" s="781">
        <f t="shared" si="26"/>
        <v>0</v>
      </c>
      <c r="I99" s="770"/>
      <c r="J99" s="782"/>
      <c r="K99" s="769">
        <f t="shared" si="27"/>
        <v>0</v>
      </c>
      <c r="M99" s="871"/>
      <c r="N99" s="877">
        <f t="shared" si="25"/>
        <v>0</v>
      </c>
    </row>
    <row r="100" spans="1:14" x14ac:dyDescent="0.25">
      <c r="A100" s="817"/>
      <c r="B100" s="818"/>
      <c r="C100" s="819"/>
      <c r="D100" s="820"/>
      <c r="E100" s="821"/>
      <c r="F100" s="822"/>
      <c r="G100" s="823"/>
      <c r="H100" s="824"/>
      <c r="I100" s="770"/>
      <c r="J100" s="817"/>
      <c r="K100" s="824"/>
      <c r="M100" s="871"/>
      <c r="N100" s="830"/>
    </row>
    <row r="101" spans="1:14" ht="18" thickBot="1" x14ac:dyDescent="0.35">
      <c r="A101" s="805" t="s">
        <v>323</v>
      </c>
      <c r="B101" s="861">
        <v>41791</v>
      </c>
      <c r="C101" s="862" t="str">
        <f>'taux horaire '!C26</f>
        <v/>
      </c>
      <c r="D101" s="765"/>
      <c r="E101" s="766">
        <v>0.25</v>
      </c>
      <c r="F101" s="767"/>
      <c r="G101" s="768" t="e">
        <f>C101*E101</f>
        <v>#VALUE!</v>
      </c>
      <c r="H101" s="769">
        <f>D101*F101</f>
        <v>0</v>
      </c>
      <c r="I101" s="770"/>
      <c r="J101" s="771"/>
      <c r="K101" s="769">
        <f>F101*J101</f>
        <v>0</v>
      </c>
      <c r="M101" s="878" t="str">
        <f>'taux horaire '!D26</f>
        <v/>
      </c>
      <c r="N101" s="877" t="e">
        <f t="shared" si="25"/>
        <v>#VALUE!</v>
      </c>
    </row>
    <row r="102" spans="1:14" ht="15.75" thickBot="1" x14ac:dyDescent="0.3">
      <c r="A102" s="785" t="s">
        <v>324</v>
      </c>
      <c r="B102" s="775"/>
      <c r="C102" s="776"/>
      <c r="D102" s="777"/>
      <c r="E102" s="826"/>
      <c r="F102" s="843"/>
      <c r="G102" s="788">
        <f t="shared" ref="G102:H103" si="28">C102*E102</f>
        <v>0</v>
      </c>
      <c r="H102" s="781">
        <f t="shared" si="28"/>
        <v>0</v>
      </c>
      <c r="I102" s="770"/>
      <c r="J102" s="782"/>
      <c r="K102" s="769">
        <f t="shared" ref="K102:K104" si="29">F102*J102</f>
        <v>0</v>
      </c>
      <c r="M102" s="871"/>
      <c r="N102" s="877">
        <f t="shared" si="25"/>
        <v>0</v>
      </c>
    </row>
    <row r="103" spans="1:14" ht="15.75" thickBot="1" x14ac:dyDescent="0.3">
      <c r="A103" s="783"/>
      <c r="B103" s="775"/>
      <c r="C103" s="776"/>
      <c r="D103" s="777"/>
      <c r="E103" s="828"/>
      <c r="F103" s="790"/>
      <c r="G103" s="780">
        <f t="shared" si="28"/>
        <v>0</v>
      </c>
      <c r="H103" s="781">
        <f t="shared" si="28"/>
        <v>0</v>
      </c>
      <c r="I103" s="770"/>
      <c r="J103" s="782"/>
      <c r="K103" s="769">
        <f t="shared" si="29"/>
        <v>0</v>
      </c>
      <c r="M103" s="871"/>
      <c r="N103" s="877">
        <f t="shared" si="25"/>
        <v>0</v>
      </c>
    </row>
    <row r="104" spans="1:14" ht="15.75" thickBot="1" x14ac:dyDescent="0.3">
      <c r="A104" s="814"/>
      <c r="B104" s="775"/>
      <c r="C104" s="776"/>
      <c r="D104" s="777"/>
      <c r="E104" s="828"/>
      <c r="F104" s="790"/>
      <c r="G104" s="780">
        <f>C104*E104</f>
        <v>0</v>
      </c>
      <c r="H104" s="791">
        <f>D104*F104</f>
        <v>0</v>
      </c>
      <c r="I104" s="770"/>
      <c r="J104" s="782"/>
      <c r="K104" s="769">
        <f t="shared" si="29"/>
        <v>0</v>
      </c>
      <c r="M104" s="871"/>
      <c r="N104" s="877">
        <f t="shared" si="25"/>
        <v>0</v>
      </c>
    </row>
    <row r="105" spans="1:14" x14ac:dyDescent="0.25">
      <c r="A105" s="817"/>
      <c r="B105" s="818"/>
      <c r="C105" s="819"/>
      <c r="D105" s="820"/>
      <c r="E105" s="821"/>
      <c r="F105" s="822"/>
      <c r="G105" s="823"/>
      <c r="H105" s="824"/>
      <c r="I105" s="770"/>
      <c r="J105" s="817"/>
      <c r="K105" s="824"/>
      <c r="M105" s="871"/>
      <c r="N105" s="830"/>
    </row>
    <row r="108" spans="1:14" ht="18" thickBot="1" x14ac:dyDescent="0.35">
      <c r="A108" s="805" t="s">
        <v>317</v>
      </c>
      <c r="B108" s="861">
        <v>41791</v>
      </c>
      <c r="C108" s="862">
        <f>'taux horaire '!C20</f>
        <v>20</v>
      </c>
      <c r="D108" s="863">
        <f>'taux horaire '!C39</f>
        <v>34.71</v>
      </c>
      <c r="E108" s="766">
        <v>3</v>
      </c>
      <c r="F108" s="767">
        <v>8</v>
      </c>
      <c r="G108" s="768">
        <f>C108*E108</f>
        <v>60</v>
      </c>
      <c r="H108" s="769">
        <f>D108*F108</f>
        <v>277.68</v>
      </c>
      <c r="I108" s="770"/>
      <c r="J108" s="882">
        <f>'taux horaire '!D39</f>
        <v>69.279694835680758</v>
      </c>
      <c r="K108" s="769">
        <f>F108*J108</f>
        <v>554.23755868544606</v>
      </c>
      <c r="M108" s="878">
        <f>'taux horaire '!D20</f>
        <v>32.742957022414146</v>
      </c>
      <c r="N108" s="877">
        <f t="shared" ref="N108" si="30">M108*E108</f>
        <v>98.228871067242437</v>
      </c>
    </row>
    <row r="109" spans="1:14" ht="15.75" thickBot="1" x14ac:dyDescent="0.3">
      <c r="A109" s="785" t="s">
        <v>312</v>
      </c>
      <c r="B109" s="775">
        <v>40544</v>
      </c>
      <c r="C109" s="776">
        <v>9.5</v>
      </c>
      <c r="D109" s="777"/>
      <c r="E109" s="828"/>
      <c r="F109" s="843"/>
      <c r="G109" s="788">
        <f t="shared" ref="G109:H111" si="31">C109*E109</f>
        <v>0</v>
      </c>
      <c r="H109" s="781">
        <f t="shared" si="31"/>
        <v>0</v>
      </c>
      <c r="I109" s="770"/>
      <c r="J109" s="782"/>
      <c r="K109" s="769">
        <f t="shared" ref="K109:K111" si="32">F109*J109</f>
        <v>0</v>
      </c>
      <c r="M109" s="871">
        <v>0.215</v>
      </c>
      <c r="N109" s="830">
        <f>G109*M109</f>
        <v>0</v>
      </c>
    </row>
    <row r="110" spans="1:14" ht="15.75" thickBot="1" x14ac:dyDescent="0.3">
      <c r="A110" s="783"/>
      <c r="B110" s="775">
        <v>40909</v>
      </c>
      <c r="C110" s="776">
        <v>10</v>
      </c>
      <c r="D110" s="777"/>
      <c r="E110" s="828"/>
      <c r="F110" s="790"/>
      <c r="G110" s="780">
        <f t="shared" si="31"/>
        <v>0</v>
      </c>
      <c r="H110" s="781">
        <f t="shared" si="31"/>
        <v>0</v>
      </c>
      <c r="I110" s="770"/>
      <c r="J110" s="782"/>
      <c r="K110" s="769">
        <f t="shared" si="32"/>
        <v>0</v>
      </c>
      <c r="M110" s="871"/>
      <c r="N110" s="830"/>
    </row>
    <row r="111" spans="1:14" ht="15.75" thickBot="1" x14ac:dyDescent="0.3">
      <c r="A111" s="814"/>
      <c r="B111" s="775"/>
      <c r="C111" s="776"/>
      <c r="D111" s="777"/>
      <c r="E111" s="828"/>
      <c r="F111" s="790"/>
      <c r="G111" s="780">
        <f t="shared" si="31"/>
        <v>0</v>
      </c>
      <c r="H111" s="791">
        <f t="shared" si="31"/>
        <v>0</v>
      </c>
      <c r="I111" s="770"/>
      <c r="J111" s="782"/>
      <c r="K111" s="769">
        <f t="shared" si="32"/>
        <v>0</v>
      </c>
      <c r="M111" s="871"/>
      <c r="N111" s="830">
        <f t="shared" ref="N111" si="33">G111*M111</f>
        <v>0</v>
      </c>
    </row>
    <row r="112" spans="1:14" x14ac:dyDescent="0.25">
      <c r="A112" s="817"/>
      <c r="B112" s="818"/>
      <c r="C112" s="819"/>
      <c r="D112" s="820"/>
      <c r="E112" s="821"/>
      <c r="F112" s="822"/>
      <c r="G112" s="823"/>
      <c r="H112" s="824"/>
      <c r="I112" s="770"/>
      <c r="J112" s="817"/>
      <c r="K112" s="824"/>
      <c r="M112" s="871"/>
      <c r="N112" s="830"/>
    </row>
    <row r="115" spans="5:14" x14ac:dyDescent="0.25">
      <c r="E115" s="853">
        <f>SUM(E10:E111)</f>
        <v>154</v>
      </c>
      <c r="F115" s="854">
        <f>SUM(F10:F111)</f>
        <v>118.5</v>
      </c>
      <c r="G115" s="36" t="e">
        <f>SUM(G10:G106)</f>
        <v>#VALUE!</v>
      </c>
      <c r="H115" s="36">
        <f>SUM(H10:H106)</f>
        <v>2788.95</v>
      </c>
      <c r="K115" s="36">
        <f>SUM(K10:K112)</f>
        <v>6443.6872323943653</v>
      </c>
      <c r="N115" s="36" t="e">
        <f>SUM(N10:N114)</f>
        <v>#VALUE!</v>
      </c>
    </row>
    <row r="116" spans="5:14" x14ac:dyDescent="0.25">
      <c r="G116" s="36"/>
      <c r="H116" s="36"/>
    </row>
    <row r="117" spans="5:14" x14ac:dyDescent="0.25">
      <c r="E117" s="736" t="s">
        <v>318</v>
      </c>
      <c r="F117" s="855">
        <f>E115+F115</f>
        <v>272.5</v>
      </c>
      <c r="G117" s="856" t="s">
        <v>319</v>
      </c>
      <c r="H117" s="857" t="e">
        <f>G115+H115</f>
        <v>#VALUE!</v>
      </c>
      <c r="M117" s="875" t="s">
        <v>320</v>
      </c>
      <c r="N117" s="858" t="e">
        <f>K115+N115</f>
        <v>#VALUE!</v>
      </c>
    </row>
    <row r="118" spans="5:14" x14ac:dyDescent="0.25">
      <c r="G118" t="s">
        <v>321</v>
      </c>
      <c r="M118" s="676" t="s">
        <v>322</v>
      </c>
    </row>
  </sheetData>
  <pageMargins left="0.27559055118110237" right="0.27559055118110237" top="0.54" bottom="0.74803149606299213" header="0.31496062992125984" footer="0.31496062992125984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abSelected="1" workbookViewId="0">
      <selection activeCell="C7" sqref="C7"/>
    </sheetView>
  </sheetViews>
  <sheetFormatPr baseColWidth="10" defaultColWidth="11.42578125" defaultRowHeight="15" x14ac:dyDescent="0.25"/>
  <cols>
    <col min="1" max="1" width="4.85546875" customWidth="1"/>
    <col min="2" max="2" width="5" customWidth="1"/>
    <col min="3" max="3" width="57" bestFit="1" customWidth="1"/>
    <col min="4" max="4" width="11.42578125" customWidth="1"/>
    <col min="5" max="5" width="10" customWidth="1"/>
    <col min="8" max="9" width="10.7109375" customWidth="1"/>
    <col min="10" max="10" width="10.7109375" style="35" customWidth="1"/>
    <col min="11" max="12" width="11.140625" customWidth="1"/>
    <col min="13" max="13" width="13.7109375" customWidth="1"/>
  </cols>
  <sheetData>
    <row r="1" spans="1:15" ht="15.75" x14ac:dyDescent="0.25">
      <c r="A1" s="1202" t="s">
        <v>28</v>
      </c>
      <c r="B1" s="1202"/>
      <c r="C1" s="498" t="s">
        <v>431</v>
      </c>
      <c r="E1" s="2" t="s">
        <v>52</v>
      </c>
      <c r="F1" s="1222" t="s">
        <v>431</v>
      </c>
      <c r="G1" s="1221"/>
      <c r="H1" t="s">
        <v>53</v>
      </c>
      <c r="I1" s="1220" t="s">
        <v>55</v>
      </c>
      <c r="J1" s="1221"/>
      <c r="K1" s="2"/>
      <c r="L1" s="683" t="s">
        <v>263</v>
      </c>
      <c r="M1" s="502" t="s">
        <v>430</v>
      </c>
    </row>
    <row r="2" spans="1:15" ht="15.75" x14ac:dyDescent="0.25">
      <c r="A2" s="1202" t="s">
        <v>6</v>
      </c>
      <c r="B2" s="1202"/>
      <c r="C2" s="498" t="s">
        <v>431</v>
      </c>
      <c r="E2" s="2" t="s">
        <v>385</v>
      </c>
      <c r="F2" s="499" t="s">
        <v>431</v>
      </c>
      <c r="G2" s="500"/>
      <c r="H2" s="2" t="s">
        <v>54</v>
      </c>
      <c r="I2" s="498" t="s">
        <v>431</v>
      </c>
      <c r="J2" s="501"/>
      <c r="K2" s="2"/>
      <c r="L2" s="683" t="s">
        <v>264</v>
      </c>
      <c r="M2" s="1014" t="s">
        <v>429</v>
      </c>
    </row>
    <row r="3" spans="1:15" ht="15.75" x14ac:dyDescent="0.25">
      <c r="A3" s="1224" t="s">
        <v>384</v>
      </c>
      <c r="B3" s="1224"/>
      <c r="C3" s="498" t="s">
        <v>431</v>
      </c>
      <c r="E3" s="1015" t="s">
        <v>56</v>
      </c>
      <c r="F3" s="499">
        <v>0</v>
      </c>
      <c r="G3" s="500"/>
      <c r="H3" s="1015"/>
      <c r="I3" s="498"/>
      <c r="J3" s="501"/>
      <c r="K3" s="681"/>
      <c r="L3" s="1017" t="s">
        <v>387</v>
      </c>
      <c r="M3" s="502" t="s">
        <v>430</v>
      </c>
    </row>
    <row r="4" spans="1:15" ht="15.75" x14ac:dyDescent="0.25">
      <c r="A4" s="1202" t="s">
        <v>42</v>
      </c>
      <c r="B4" s="1202"/>
      <c r="C4" s="1203" t="s">
        <v>55</v>
      </c>
      <c r="E4" s="2" t="s">
        <v>386</v>
      </c>
      <c r="F4" s="499">
        <v>0</v>
      </c>
      <c r="G4" s="500"/>
      <c r="H4" s="2"/>
      <c r="I4" s="86"/>
      <c r="K4" s="2"/>
      <c r="L4" s="679"/>
      <c r="M4" s="86"/>
    </row>
    <row r="5" spans="1:15" x14ac:dyDescent="0.25">
      <c r="C5" s="1204"/>
      <c r="E5" s="2" t="s">
        <v>5</v>
      </c>
      <c r="F5" s="1149" t="s">
        <v>431</v>
      </c>
      <c r="G5" s="1150"/>
    </row>
    <row r="6" spans="1:15" ht="30.75" customHeight="1" x14ac:dyDescent="0.25">
      <c r="A6" s="991" t="s">
        <v>13</v>
      </c>
      <c r="B6" s="991" t="s">
        <v>29</v>
      </c>
      <c r="C6" s="990" t="s">
        <v>17</v>
      </c>
      <c r="D6" s="990" t="s">
        <v>25</v>
      </c>
      <c r="E6" s="990" t="s">
        <v>24</v>
      </c>
      <c r="F6" s="943" t="s">
        <v>361</v>
      </c>
      <c r="G6" s="728" t="s">
        <v>371</v>
      </c>
      <c r="H6" s="96" t="s">
        <v>39</v>
      </c>
      <c r="I6" s="98" t="s">
        <v>40</v>
      </c>
      <c r="J6" s="97" t="s">
        <v>41</v>
      </c>
      <c r="K6" s="725" t="s">
        <v>252</v>
      </c>
      <c r="L6" s="726" t="s">
        <v>241</v>
      </c>
      <c r="M6" s="990" t="s">
        <v>30</v>
      </c>
      <c r="N6" s="707"/>
      <c r="O6" s="707"/>
    </row>
    <row r="7" spans="1:15" x14ac:dyDescent="0.25">
      <c r="A7" s="103">
        <v>1</v>
      </c>
      <c r="B7" s="645">
        <v>1</v>
      </c>
      <c r="C7" s="492" t="s">
        <v>55</v>
      </c>
      <c r="D7" s="493" t="s">
        <v>55</v>
      </c>
      <c r="E7" s="491" t="s">
        <v>55</v>
      </c>
      <c r="F7" s="104">
        <f>Item1!K54+Item1!L54</f>
        <v>0</v>
      </c>
      <c r="G7" s="105">
        <f>Item1!O57</f>
        <v>0</v>
      </c>
      <c r="H7" s="106">
        <f>Item1!O$67</f>
        <v>0</v>
      </c>
      <c r="I7" s="107">
        <f>Item1!O$70</f>
        <v>0</v>
      </c>
      <c r="J7" s="108">
        <f>Item1!O$73</f>
        <v>0</v>
      </c>
      <c r="K7" s="109">
        <f>Item1!O63</f>
        <v>0</v>
      </c>
      <c r="L7" s="690">
        <f>Item1!Q63</f>
        <v>0</v>
      </c>
      <c r="M7" s="110">
        <f>SUM(F7:L7)</f>
        <v>0</v>
      </c>
    </row>
    <row r="8" spans="1:15" x14ac:dyDescent="0.25">
      <c r="A8" s="111">
        <v>2</v>
      </c>
      <c r="B8" s="493">
        <v>1</v>
      </c>
      <c r="C8" s="492" t="s">
        <v>55</v>
      </c>
      <c r="D8" s="493" t="s">
        <v>55</v>
      </c>
      <c r="E8" s="494" t="s">
        <v>55</v>
      </c>
      <c r="F8" s="104">
        <f>Item2!K54+Item2!L54</f>
        <v>0</v>
      </c>
      <c r="G8" s="105">
        <f>Item2!O57</f>
        <v>0</v>
      </c>
      <c r="H8" s="106">
        <f>Item2!O$67</f>
        <v>0</v>
      </c>
      <c r="I8" s="107">
        <f>Item2!O$70</f>
        <v>0</v>
      </c>
      <c r="J8" s="108">
        <f>Item2!O$73</f>
        <v>0</v>
      </c>
      <c r="K8" s="112">
        <f>Item2!O63</f>
        <v>0</v>
      </c>
      <c r="L8" s="690">
        <f>Item2!Q63</f>
        <v>0</v>
      </c>
      <c r="M8" s="110">
        <f t="shared" ref="M8:M18" si="0">SUM(F8:L8)</f>
        <v>0</v>
      </c>
    </row>
    <row r="9" spans="1:15" x14ac:dyDescent="0.25">
      <c r="A9" s="111">
        <v>3</v>
      </c>
      <c r="B9" s="493">
        <v>1</v>
      </c>
      <c r="C9" s="492" t="s">
        <v>55</v>
      </c>
      <c r="D9" s="493" t="s">
        <v>55</v>
      </c>
      <c r="E9" s="494" t="s">
        <v>55</v>
      </c>
      <c r="F9" s="104">
        <f>Item3!K54+Item3!L54</f>
        <v>0</v>
      </c>
      <c r="G9" s="105">
        <f>Item3!O57</f>
        <v>0</v>
      </c>
      <c r="H9" s="106">
        <f>Item3!O$67</f>
        <v>0</v>
      </c>
      <c r="I9" s="107">
        <f>Item3!O$70</f>
        <v>0</v>
      </c>
      <c r="J9" s="108">
        <f>Item3!O$73</f>
        <v>0</v>
      </c>
      <c r="K9" s="112">
        <f>Item3!O63</f>
        <v>0</v>
      </c>
      <c r="L9" s="690">
        <f>Item3!Q63</f>
        <v>0</v>
      </c>
      <c r="M9" s="110">
        <f t="shared" si="0"/>
        <v>0</v>
      </c>
    </row>
    <row r="10" spans="1:15" x14ac:dyDescent="0.25">
      <c r="A10" s="111">
        <v>4</v>
      </c>
      <c r="B10" s="493">
        <v>1</v>
      </c>
      <c r="C10" s="492" t="s">
        <v>55</v>
      </c>
      <c r="D10" s="493" t="s">
        <v>55</v>
      </c>
      <c r="E10" s="494" t="s">
        <v>55</v>
      </c>
      <c r="F10" s="104">
        <f>Item4!K54+Item4!L54</f>
        <v>0</v>
      </c>
      <c r="G10" s="105">
        <f>Item4!O57</f>
        <v>0</v>
      </c>
      <c r="H10" s="106">
        <f>Item4!O$67</f>
        <v>0</v>
      </c>
      <c r="I10" s="107">
        <f>Item4!O$70</f>
        <v>0</v>
      </c>
      <c r="J10" s="108">
        <f>Item4!O$73</f>
        <v>0</v>
      </c>
      <c r="K10" s="112">
        <f>Item4!O63</f>
        <v>0</v>
      </c>
      <c r="L10" s="690">
        <f>Item4!Q63</f>
        <v>0</v>
      </c>
      <c r="M10" s="110">
        <f t="shared" si="0"/>
        <v>0</v>
      </c>
    </row>
    <row r="11" spans="1:15" x14ac:dyDescent="0.25">
      <c r="A11" s="111">
        <v>5</v>
      </c>
      <c r="B11" s="493">
        <v>1</v>
      </c>
      <c r="C11" s="492" t="s">
        <v>55</v>
      </c>
      <c r="D11" s="493" t="s">
        <v>55</v>
      </c>
      <c r="E11" s="494" t="s">
        <v>55</v>
      </c>
      <c r="F11" s="104">
        <f>Item5!K54+Item5!L54</f>
        <v>0</v>
      </c>
      <c r="G11" s="105">
        <f>Item5!O57</f>
        <v>0</v>
      </c>
      <c r="H11" s="106">
        <f>Item5!O$67</f>
        <v>0</v>
      </c>
      <c r="I11" s="107">
        <f>Item5!O$70</f>
        <v>0</v>
      </c>
      <c r="J11" s="108">
        <f>Item5!O$73</f>
        <v>0</v>
      </c>
      <c r="K11" s="112">
        <f>Item5!O63</f>
        <v>0</v>
      </c>
      <c r="L11" s="690">
        <f>Item5!Q63</f>
        <v>0</v>
      </c>
      <c r="M11" s="110">
        <f t="shared" si="0"/>
        <v>0</v>
      </c>
    </row>
    <row r="12" spans="1:15" x14ac:dyDescent="0.25">
      <c r="A12" s="111">
        <v>6</v>
      </c>
      <c r="B12" s="493">
        <v>1</v>
      </c>
      <c r="C12" s="492" t="s">
        <v>55</v>
      </c>
      <c r="D12" s="493" t="s">
        <v>55</v>
      </c>
      <c r="E12" s="494" t="s">
        <v>55</v>
      </c>
      <c r="F12" s="104">
        <f>Item6!K54+Item6!L54</f>
        <v>0</v>
      </c>
      <c r="G12" s="105">
        <f>Item6!O57</f>
        <v>0</v>
      </c>
      <c r="H12" s="106">
        <f>Item6!O$67</f>
        <v>0</v>
      </c>
      <c r="I12" s="107">
        <f>Item6!O$70</f>
        <v>0</v>
      </c>
      <c r="J12" s="108">
        <f>Item6!O$73</f>
        <v>0</v>
      </c>
      <c r="K12" s="112">
        <f>Item6!O63</f>
        <v>0</v>
      </c>
      <c r="L12" s="690">
        <f>Item6!Q63</f>
        <v>0</v>
      </c>
      <c r="M12" s="110">
        <f t="shared" si="0"/>
        <v>0</v>
      </c>
    </row>
    <row r="13" spans="1:15" x14ac:dyDescent="0.25">
      <c r="A13" s="111">
        <v>7</v>
      </c>
      <c r="B13" s="493">
        <v>1</v>
      </c>
      <c r="C13" s="492" t="s">
        <v>55</v>
      </c>
      <c r="D13" s="493" t="s">
        <v>55</v>
      </c>
      <c r="E13" s="494" t="s">
        <v>55</v>
      </c>
      <c r="F13" s="104">
        <f>Item7!K54+Item7!L54</f>
        <v>0</v>
      </c>
      <c r="G13" s="105">
        <f>Item7!O57</f>
        <v>0</v>
      </c>
      <c r="H13" s="106">
        <f>Item7!O$67</f>
        <v>0</v>
      </c>
      <c r="I13" s="107">
        <f>Item7!O$70</f>
        <v>0</v>
      </c>
      <c r="J13" s="108">
        <f>Item7!O$73</f>
        <v>0</v>
      </c>
      <c r="K13" s="112">
        <f>Item7!O63</f>
        <v>0</v>
      </c>
      <c r="L13" s="690">
        <f>Item7!Q63</f>
        <v>0</v>
      </c>
      <c r="M13" s="110">
        <f>SUM(F13:L13)</f>
        <v>0</v>
      </c>
    </row>
    <row r="14" spans="1:15" x14ac:dyDescent="0.25">
      <c r="A14" s="111">
        <v>8</v>
      </c>
      <c r="B14" s="493">
        <v>1</v>
      </c>
      <c r="C14" s="492" t="s">
        <v>55</v>
      </c>
      <c r="D14" s="493" t="s">
        <v>55</v>
      </c>
      <c r="E14" s="494" t="s">
        <v>55</v>
      </c>
      <c r="F14" s="104">
        <f>Item8!K54+Item8!L54</f>
        <v>0</v>
      </c>
      <c r="G14" s="105">
        <f>Item8!O57</f>
        <v>0</v>
      </c>
      <c r="H14" s="106">
        <f>Item8!O$67</f>
        <v>0</v>
      </c>
      <c r="I14" s="107">
        <f>Item8!O$70</f>
        <v>0</v>
      </c>
      <c r="J14" s="108">
        <f>Item8!O$73</f>
        <v>0</v>
      </c>
      <c r="K14" s="112">
        <f>Item8!O63</f>
        <v>0</v>
      </c>
      <c r="L14" s="690">
        <f>Item8!Q63</f>
        <v>0</v>
      </c>
      <c r="M14" s="110">
        <f t="shared" si="0"/>
        <v>0</v>
      </c>
    </row>
    <row r="15" spans="1:15" x14ac:dyDescent="0.25">
      <c r="A15" s="111">
        <v>9</v>
      </c>
      <c r="B15" s="493">
        <v>1</v>
      </c>
      <c r="C15" s="492" t="s">
        <v>55</v>
      </c>
      <c r="D15" s="493" t="s">
        <v>55</v>
      </c>
      <c r="E15" s="494" t="s">
        <v>55</v>
      </c>
      <c r="F15" s="104">
        <f>Item9!K54+Item9!L54</f>
        <v>0</v>
      </c>
      <c r="G15" s="105">
        <f>Item9!O57</f>
        <v>0</v>
      </c>
      <c r="H15" s="106">
        <f>Item9!O$67</f>
        <v>0</v>
      </c>
      <c r="I15" s="107">
        <f>Item9!O$70</f>
        <v>0</v>
      </c>
      <c r="J15" s="108">
        <f>Item9!O$73</f>
        <v>0</v>
      </c>
      <c r="K15" s="112">
        <f>Item9!O63</f>
        <v>0</v>
      </c>
      <c r="L15" s="690">
        <f>Item9!Q63</f>
        <v>0</v>
      </c>
      <c r="M15" s="110">
        <f t="shared" si="0"/>
        <v>0</v>
      </c>
    </row>
    <row r="16" spans="1:15" x14ac:dyDescent="0.25">
      <c r="A16" s="111">
        <v>10</v>
      </c>
      <c r="B16" s="493">
        <v>1</v>
      </c>
      <c r="C16" s="492" t="s">
        <v>55</v>
      </c>
      <c r="D16" s="493" t="s">
        <v>55</v>
      </c>
      <c r="E16" s="494" t="s">
        <v>55</v>
      </c>
      <c r="F16" s="104">
        <f>Item10!K54+Item10!L54</f>
        <v>0</v>
      </c>
      <c r="G16" s="105">
        <f>Item10!O57</f>
        <v>0</v>
      </c>
      <c r="H16" s="106">
        <f>Item10!O$67</f>
        <v>0</v>
      </c>
      <c r="I16" s="107">
        <f>Item10!O$70</f>
        <v>0</v>
      </c>
      <c r="J16" s="108">
        <f>Item10!O$73</f>
        <v>0</v>
      </c>
      <c r="K16" s="112">
        <f>Item10!O63</f>
        <v>0</v>
      </c>
      <c r="L16" s="690">
        <f>Item10!Q63</f>
        <v>0</v>
      </c>
      <c r="M16" s="110">
        <f t="shared" si="0"/>
        <v>0</v>
      </c>
    </row>
    <row r="17" spans="1:15" x14ac:dyDescent="0.25">
      <c r="A17" s="111">
        <v>11</v>
      </c>
      <c r="B17" s="493">
        <v>1</v>
      </c>
      <c r="C17" s="492" t="s">
        <v>55</v>
      </c>
      <c r="D17" s="493" t="s">
        <v>55</v>
      </c>
      <c r="E17" s="494" t="s">
        <v>55</v>
      </c>
      <c r="F17" s="104">
        <f>Item11!K54+Item11!L54</f>
        <v>0</v>
      </c>
      <c r="G17" s="105">
        <f>Item11!O57</f>
        <v>0</v>
      </c>
      <c r="H17" s="106">
        <f>Item11!O$67</f>
        <v>0</v>
      </c>
      <c r="I17" s="107">
        <f>Item11!O$70</f>
        <v>0</v>
      </c>
      <c r="J17" s="108">
        <f>Item11!O$73</f>
        <v>0</v>
      </c>
      <c r="K17" s="112">
        <f>Item11!O63</f>
        <v>0</v>
      </c>
      <c r="L17" s="690">
        <f>Item11!Q63</f>
        <v>0</v>
      </c>
      <c r="M17" s="110">
        <f t="shared" si="0"/>
        <v>0</v>
      </c>
    </row>
    <row r="18" spans="1:15" x14ac:dyDescent="0.25">
      <c r="A18" s="111">
        <v>12</v>
      </c>
      <c r="B18" s="493">
        <v>1</v>
      </c>
      <c r="C18" s="492" t="s">
        <v>55</v>
      </c>
      <c r="D18" s="493" t="s">
        <v>55</v>
      </c>
      <c r="E18" s="494" t="s">
        <v>55</v>
      </c>
      <c r="F18" s="104">
        <f>Item12!K54+Item12!L54</f>
        <v>0</v>
      </c>
      <c r="G18" s="105">
        <f>Item12!O57</f>
        <v>0</v>
      </c>
      <c r="H18" s="106">
        <f>Item12!O$67</f>
        <v>0</v>
      </c>
      <c r="I18" s="107">
        <f>Item12!O$70</f>
        <v>0</v>
      </c>
      <c r="J18" s="108">
        <f>Item12!O$73</f>
        <v>0</v>
      </c>
      <c r="K18" s="113">
        <f>Item12!O63</f>
        <v>0</v>
      </c>
      <c r="L18" s="690">
        <f>Item12!Q63</f>
        <v>0</v>
      </c>
      <c r="M18" s="110">
        <f t="shared" si="0"/>
        <v>0</v>
      </c>
    </row>
    <row r="19" spans="1:15" x14ac:dyDescent="0.25">
      <c r="A19" s="11"/>
      <c r="B19" s="11"/>
      <c r="C19" s="11"/>
      <c r="D19" s="11"/>
      <c r="E19" s="11"/>
      <c r="F19" s="101">
        <f t="shared" ref="F19:M19" si="1">SUM(F7:F18)</f>
        <v>0</v>
      </c>
      <c r="G19" s="101">
        <f t="shared" si="1"/>
        <v>0</v>
      </c>
      <c r="H19" s="101">
        <f>SUM(H7:H18)</f>
        <v>0</v>
      </c>
      <c r="I19" s="101">
        <f t="shared" si="1"/>
        <v>0</v>
      </c>
      <c r="J19" s="102">
        <f>SUM(J7:J18)</f>
        <v>0</v>
      </c>
      <c r="K19" s="101">
        <f t="shared" si="1"/>
        <v>0</v>
      </c>
      <c r="L19" s="101">
        <f t="shared" si="1"/>
        <v>0</v>
      </c>
      <c r="M19" s="101">
        <f t="shared" si="1"/>
        <v>0</v>
      </c>
      <c r="N19" s="675"/>
      <c r="O19" s="675"/>
    </row>
    <row r="20" spans="1:15" x14ac:dyDescent="0.25">
      <c r="F20" s="36"/>
      <c r="G20" s="36"/>
      <c r="H20" s="36"/>
      <c r="I20" s="36"/>
      <c r="J20" s="85"/>
      <c r="K20" s="36"/>
      <c r="L20" s="36"/>
      <c r="M20" s="36"/>
    </row>
    <row r="21" spans="1:15" hidden="1" x14ac:dyDescent="0.25">
      <c r="F21" s="36"/>
      <c r="G21" s="36"/>
      <c r="H21" s="36"/>
      <c r="I21" s="36"/>
      <c r="J21" s="85"/>
      <c r="K21" s="36"/>
      <c r="L21" s="36"/>
      <c r="M21" s="36"/>
    </row>
    <row r="22" spans="1:15" ht="15.75" hidden="1" thickBot="1" x14ac:dyDescent="0.3">
      <c r="F22" s="36"/>
      <c r="G22" s="36"/>
      <c r="H22" s="36"/>
      <c r="I22" s="36"/>
      <c r="J22" s="85"/>
      <c r="K22" s="36"/>
      <c r="L22" s="36"/>
      <c r="M22" s="36"/>
    </row>
    <row r="23" spans="1:15" ht="45" hidden="1" x14ac:dyDescent="0.35">
      <c r="A23" s="477" t="s">
        <v>13</v>
      </c>
      <c r="B23" s="478" t="str">
        <f>+B6</f>
        <v>Qté:</v>
      </c>
      <c r="C23" s="490" t="s">
        <v>189</v>
      </c>
      <c r="D23" s="478"/>
      <c r="E23" s="478"/>
      <c r="F23" s="479"/>
      <c r="G23" s="479"/>
      <c r="H23" s="480" t="s">
        <v>39</v>
      </c>
      <c r="I23" s="481" t="s">
        <v>40</v>
      </c>
      <c r="J23" s="482" t="s">
        <v>41</v>
      </c>
      <c r="K23" s="36"/>
      <c r="L23" s="36"/>
      <c r="M23" s="36"/>
    </row>
    <row r="24" spans="1:15" hidden="1" x14ac:dyDescent="0.25">
      <c r="A24" s="483">
        <v>1</v>
      </c>
      <c r="B24" s="476">
        <f>+B7</f>
        <v>1</v>
      </c>
      <c r="C24" s="476" t="str">
        <f t="shared" ref="C24" si="2">+C7</f>
        <v>.</v>
      </c>
      <c r="D24" s="476"/>
      <c r="E24" s="476"/>
      <c r="F24" s="476"/>
      <c r="G24" s="476"/>
      <c r="H24" s="474">
        <f>+Item1!P67</f>
        <v>0</v>
      </c>
      <c r="I24" s="475">
        <f>+Item1!P$70</f>
        <v>0</v>
      </c>
      <c r="J24" s="484">
        <f>+Item1!P73</f>
        <v>0</v>
      </c>
      <c r="K24" s="36"/>
      <c r="L24" s="36"/>
      <c r="M24" s="36"/>
    </row>
    <row r="25" spans="1:15" hidden="1" x14ac:dyDescent="0.25">
      <c r="A25" s="483">
        <v>2</v>
      </c>
      <c r="B25" s="476">
        <f t="shared" ref="B25:C35" si="3">+B8</f>
        <v>1</v>
      </c>
      <c r="C25" s="476" t="str">
        <f>+C8</f>
        <v>.</v>
      </c>
      <c r="D25" s="476"/>
      <c r="E25" s="476"/>
      <c r="F25" s="476"/>
      <c r="G25" s="476"/>
      <c r="H25" s="474">
        <f>+Item2!P67</f>
        <v>0</v>
      </c>
      <c r="I25" s="475">
        <f>+Item2!P$70</f>
        <v>0</v>
      </c>
      <c r="J25" s="484">
        <f>+Item2!P73</f>
        <v>0</v>
      </c>
      <c r="K25" s="36"/>
      <c r="L25" s="36"/>
      <c r="M25" s="36"/>
    </row>
    <row r="26" spans="1:15" hidden="1" x14ac:dyDescent="0.25">
      <c r="A26" s="483">
        <v>3</v>
      </c>
      <c r="B26" s="476">
        <f t="shared" si="3"/>
        <v>1</v>
      </c>
      <c r="C26" s="476" t="str">
        <f t="shared" ref="C26" si="4">+C9</f>
        <v>.</v>
      </c>
      <c r="D26" s="476"/>
      <c r="E26" s="476"/>
      <c r="F26" s="476"/>
      <c r="G26" s="476"/>
      <c r="H26" s="474">
        <f>+Item3!P67</f>
        <v>0</v>
      </c>
      <c r="I26" s="475">
        <f>+Item3!P$70</f>
        <v>0</v>
      </c>
      <c r="J26" s="484">
        <f>Item3!P73</f>
        <v>0</v>
      </c>
      <c r="K26" s="36"/>
      <c r="L26" s="36"/>
      <c r="M26" s="36"/>
    </row>
    <row r="27" spans="1:15" hidden="1" x14ac:dyDescent="0.25">
      <c r="A27" s="483">
        <v>4</v>
      </c>
      <c r="B27" s="476">
        <f t="shared" si="3"/>
        <v>1</v>
      </c>
      <c r="C27" s="476" t="str">
        <f t="shared" ref="C27" si="5">+C10</f>
        <v>.</v>
      </c>
      <c r="D27" s="476"/>
      <c r="E27" s="476"/>
      <c r="F27" s="476"/>
      <c r="G27" s="476"/>
      <c r="H27" s="474">
        <f>Item4!P67</f>
        <v>0</v>
      </c>
      <c r="I27" s="475">
        <f>+Item4!P$70</f>
        <v>0</v>
      </c>
      <c r="J27" s="484">
        <f>Item4!P73</f>
        <v>0</v>
      </c>
    </row>
    <row r="28" spans="1:15" hidden="1" x14ac:dyDescent="0.25">
      <c r="A28" s="483">
        <v>5</v>
      </c>
      <c r="B28" s="476">
        <f t="shared" si="3"/>
        <v>1</v>
      </c>
      <c r="C28" s="476" t="str">
        <f t="shared" ref="C28" si="6">+C11</f>
        <v>.</v>
      </c>
      <c r="D28" s="476"/>
      <c r="E28" s="476"/>
      <c r="F28" s="476"/>
      <c r="G28" s="476"/>
      <c r="H28" s="474">
        <f>Item5!P67</f>
        <v>0</v>
      </c>
      <c r="I28" s="475">
        <f>+Item5!P$70</f>
        <v>0</v>
      </c>
      <c r="J28" s="484">
        <f>Item5!P73</f>
        <v>0</v>
      </c>
    </row>
    <row r="29" spans="1:15" hidden="1" x14ac:dyDescent="0.25">
      <c r="A29" s="483">
        <v>6</v>
      </c>
      <c r="B29" s="476">
        <f t="shared" si="3"/>
        <v>1</v>
      </c>
      <c r="C29" s="476" t="str">
        <f t="shared" si="3"/>
        <v>.</v>
      </c>
      <c r="D29" s="476"/>
      <c r="E29" s="476"/>
      <c r="F29" s="476"/>
      <c r="G29" s="476"/>
      <c r="H29" s="474">
        <f>Item6!P67</f>
        <v>0</v>
      </c>
      <c r="I29" s="475">
        <f>+Item6!P$70</f>
        <v>0</v>
      </c>
      <c r="J29" s="484">
        <f>Item6!P73</f>
        <v>0</v>
      </c>
    </row>
    <row r="30" spans="1:15" hidden="1" x14ac:dyDescent="0.25">
      <c r="A30" s="483">
        <v>7</v>
      </c>
      <c r="B30" s="476">
        <f t="shared" si="3"/>
        <v>1</v>
      </c>
      <c r="C30" s="476" t="str">
        <f t="shared" si="3"/>
        <v>.</v>
      </c>
      <c r="D30" s="476"/>
      <c r="E30" s="476"/>
      <c r="F30" s="476"/>
      <c r="G30" s="476"/>
      <c r="H30" s="474">
        <f>Item7!P67</f>
        <v>0</v>
      </c>
      <c r="I30" s="475">
        <f>+Item7!P$70</f>
        <v>0</v>
      </c>
      <c r="J30" s="484">
        <f>Item7!P73</f>
        <v>0</v>
      </c>
    </row>
    <row r="31" spans="1:15" hidden="1" x14ac:dyDescent="0.25">
      <c r="A31" s="483">
        <v>8</v>
      </c>
      <c r="B31" s="476">
        <f t="shared" si="3"/>
        <v>1</v>
      </c>
      <c r="C31" s="476" t="str">
        <f t="shared" si="3"/>
        <v>.</v>
      </c>
      <c r="D31" s="476"/>
      <c r="E31" s="476"/>
      <c r="F31" s="476"/>
      <c r="G31" s="476"/>
      <c r="H31" s="474">
        <f>Item8!P67</f>
        <v>0</v>
      </c>
      <c r="I31" s="475">
        <f>+Item8!P$70</f>
        <v>0</v>
      </c>
      <c r="J31" s="484">
        <f>Item8!P$73</f>
        <v>0</v>
      </c>
    </row>
    <row r="32" spans="1:15" hidden="1" x14ac:dyDescent="0.25">
      <c r="A32" s="483">
        <v>9</v>
      </c>
      <c r="B32" s="476">
        <f t="shared" si="3"/>
        <v>1</v>
      </c>
      <c r="C32" s="476" t="str">
        <f t="shared" si="3"/>
        <v>.</v>
      </c>
      <c r="D32" s="476"/>
      <c r="E32" s="476"/>
      <c r="F32" s="476"/>
      <c r="G32" s="476"/>
      <c r="H32" s="474">
        <f>Item9!P67</f>
        <v>0</v>
      </c>
      <c r="I32" s="475">
        <f>+Item9!P$70</f>
        <v>0</v>
      </c>
      <c r="J32" s="484">
        <f>Item9!P$73</f>
        <v>0</v>
      </c>
    </row>
    <row r="33" spans="1:16" hidden="1" x14ac:dyDescent="0.25">
      <c r="A33" s="483">
        <v>10</v>
      </c>
      <c r="B33" s="476">
        <f t="shared" si="3"/>
        <v>1</v>
      </c>
      <c r="C33" s="476" t="str">
        <f t="shared" si="3"/>
        <v>.</v>
      </c>
      <c r="D33" s="476"/>
      <c r="E33" s="476"/>
      <c r="F33" s="476"/>
      <c r="G33" s="476"/>
      <c r="H33" s="474">
        <f>Item10!P67</f>
        <v>0</v>
      </c>
      <c r="I33" s="475">
        <f>+Item10!P$70</f>
        <v>0</v>
      </c>
      <c r="J33" s="484">
        <f>Item10!P$73</f>
        <v>0</v>
      </c>
    </row>
    <row r="34" spans="1:16" hidden="1" x14ac:dyDescent="0.25">
      <c r="A34" s="483">
        <v>11</v>
      </c>
      <c r="B34" s="476">
        <f t="shared" si="3"/>
        <v>1</v>
      </c>
      <c r="C34" s="476" t="str">
        <f t="shared" si="3"/>
        <v>.</v>
      </c>
      <c r="D34" s="476"/>
      <c r="E34" s="476"/>
      <c r="F34" s="476"/>
      <c r="G34" s="476"/>
      <c r="H34" s="474">
        <f>Item11!P67</f>
        <v>0</v>
      </c>
      <c r="I34" s="475">
        <f>+Item11!P$70</f>
        <v>0</v>
      </c>
      <c r="J34" s="484">
        <f>Item11!P$73</f>
        <v>0</v>
      </c>
    </row>
    <row r="35" spans="1:16" hidden="1" x14ac:dyDescent="0.25">
      <c r="A35" s="483">
        <v>12</v>
      </c>
      <c r="B35" s="476">
        <f t="shared" si="3"/>
        <v>1</v>
      </c>
      <c r="C35" s="476" t="str">
        <f t="shared" si="3"/>
        <v>.</v>
      </c>
      <c r="D35" s="476"/>
      <c r="E35" s="476"/>
      <c r="F35" s="476"/>
      <c r="G35" s="476"/>
      <c r="H35" s="474">
        <f>Item12!P67</f>
        <v>0</v>
      </c>
      <c r="I35" s="475">
        <f>+Item12!P$70</f>
        <v>0</v>
      </c>
      <c r="J35" s="484">
        <f>Item12!P$73</f>
        <v>0</v>
      </c>
    </row>
    <row r="36" spans="1:16" ht="15.75" hidden="1" thickBot="1" x14ac:dyDescent="0.3">
      <c r="A36" s="485"/>
      <c r="B36" s="486"/>
      <c r="C36" s="486"/>
      <c r="D36" s="486"/>
      <c r="E36" s="486"/>
      <c r="F36" s="486"/>
      <c r="G36" s="487" t="s">
        <v>188</v>
      </c>
      <c r="H36" s="488">
        <f>SUM(H24:H35)</f>
        <v>0</v>
      </c>
      <c r="I36" s="488">
        <f t="shared" ref="I36" si="7">SUM(I24:I35)</f>
        <v>0</v>
      </c>
      <c r="J36" s="489">
        <f>SUM(J24:J35)</f>
        <v>0</v>
      </c>
    </row>
    <row r="38" spans="1:16" ht="15.75" thickBot="1" x14ac:dyDescent="0.3"/>
    <row r="39" spans="1:16" ht="18.75" x14ac:dyDescent="0.3">
      <c r="A39" s="985"/>
      <c r="B39" s="988"/>
      <c r="C39" s="986" t="s">
        <v>267</v>
      </c>
      <c r="D39" s="1212" t="s">
        <v>369</v>
      </c>
      <c r="E39" s="1213"/>
      <c r="F39" s="1213"/>
      <c r="G39" s="1213"/>
      <c r="H39" s="1214"/>
      <c r="I39" s="1206" t="s">
        <v>368</v>
      </c>
      <c r="J39" s="1207"/>
      <c r="K39" s="1207"/>
      <c r="L39" s="1208"/>
      <c r="M39" s="719" t="s">
        <v>268</v>
      </c>
      <c r="N39" s="1223" t="str">
        <f>M2</f>
        <v>SM-0</v>
      </c>
      <c r="O39" s="1223"/>
      <c r="P39" s="711"/>
    </row>
    <row r="40" spans="1:16" x14ac:dyDescent="0.25">
      <c r="A40" s="987"/>
      <c r="B40" s="989"/>
      <c r="C40" s="21"/>
      <c r="D40" s="1215"/>
      <c r="E40" s="1216"/>
      <c r="F40" s="1216"/>
      <c r="G40" s="1216"/>
      <c r="H40" s="1217"/>
      <c r="I40" s="1209"/>
      <c r="J40" s="1210"/>
      <c r="K40" s="1210"/>
      <c r="L40" s="1211"/>
      <c r="M40" s="720" t="s">
        <v>269</v>
      </c>
      <c r="N40" s="730" t="s">
        <v>271</v>
      </c>
      <c r="O40" s="1218"/>
      <c r="P40" s="1219"/>
    </row>
    <row r="41" spans="1:16" ht="30.75" customHeight="1" x14ac:dyDescent="0.25">
      <c r="A41" s="729" t="s">
        <v>13</v>
      </c>
      <c r="B41" s="727" t="s">
        <v>29</v>
      </c>
      <c r="C41" s="727" t="s">
        <v>17</v>
      </c>
      <c r="D41" s="725" t="s">
        <v>252</v>
      </c>
      <c r="E41" s="963" t="s">
        <v>365</v>
      </c>
      <c r="F41" s="943" t="str">
        <f>F6</f>
        <v>Coût acier et pièces</v>
      </c>
      <c r="G41" s="96" t="s">
        <v>39</v>
      </c>
      <c r="H41" s="98" t="s">
        <v>40</v>
      </c>
      <c r="I41" s="726" t="s">
        <v>241</v>
      </c>
      <c r="J41" s="963" t="s">
        <v>367</v>
      </c>
      <c r="K41" s="97" t="s">
        <v>41</v>
      </c>
      <c r="L41" s="97" t="s">
        <v>366</v>
      </c>
      <c r="M41" s="727" t="s">
        <v>30</v>
      </c>
      <c r="N41" s="718" t="s">
        <v>265</v>
      </c>
      <c r="O41" s="718" t="s">
        <v>266</v>
      </c>
      <c r="P41" s="731" t="s">
        <v>273</v>
      </c>
    </row>
    <row r="42" spans="1:16" x14ac:dyDescent="0.25">
      <c r="A42" s="708">
        <v>1</v>
      </c>
      <c r="B42" s="645">
        <v>1</v>
      </c>
      <c r="C42" s="492" t="s">
        <v>55</v>
      </c>
      <c r="D42" s="109">
        <f>Item1!O$63-((Item1!E$60+Item1!E$61+Item1!E$62)*H$55)</f>
        <v>0</v>
      </c>
      <c r="E42" s="105">
        <f>Item1!O58</f>
        <v>0</v>
      </c>
      <c r="F42" s="104">
        <f>F7-Item1!Q60</f>
        <v>0</v>
      </c>
      <c r="G42" s="106">
        <f>Item1!O$67</f>
        <v>0</v>
      </c>
      <c r="H42" s="107">
        <f>(Item1!E$60+Item1!E$61+Item1!E$62+Item1!E$63)*H55</f>
        <v>0</v>
      </c>
      <c r="I42" s="690">
        <f>Item1!Q$63-(Item1!E$70*H$55)</f>
        <v>0</v>
      </c>
      <c r="J42" s="964">
        <f>Item1!O$59+Item1!Q$60</f>
        <v>0</v>
      </c>
      <c r="K42" s="108">
        <f>Item1!O$73</f>
        <v>0</v>
      </c>
      <c r="L42" s="108">
        <f>Item1!E70*Item1!Q70</f>
        <v>0</v>
      </c>
      <c r="M42" s="110">
        <f>SUM(D42:L42)</f>
        <v>0</v>
      </c>
      <c r="N42" s="721">
        <f>M42*Estimation!F$52</f>
        <v>0</v>
      </c>
      <c r="O42" s="717" t="e">
        <f>Formulaire!I25</f>
        <v>#DIV/0!</v>
      </c>
      <c r="P42" s="723" t="e">
        <f>O42-(N42+M42)</f>
        <v>#DIV/0!</v>
      </c>
    </row>
    <row r="43" spans="1:16" x14ac:dyDescent="0.25">
      <c r="A43" s="709">
        <v>2</v>
      </c>
      <c r="B43" s="493">
        <v>1</v>
      </c>
      <c r="C43" s="492" t="s">
        <v>55</v>
      </c>
      <c r="D43" s="109">
        <f>Item2!O$63-((Item2!E$60+Item2!E$61+Item2!E$62)*H$55)</f>
        <v>0</v>
      </c>
      <c r="E43" s="105">
        <f>Item2!O58</f>
        <v>0</v>
      </c>
      <c r="F43" s="104">
        <f>F8-Item2!Q60</f>
        <v>0</v>
      </c>
      <c r="G43" s="106">
        <f>Item2!O$67</f>
        <v>0</v>
      </c>
      <c r="H43" s="107">
        <f>(Item2!E$60+Item2!E$61+Item2!E$62+Item2!E$63)*H55</f>
        <v>0</v>
      </c>
      <c r="I43" s="690">
        <f>Item2!Q$63-(Item2!E$70*H$55)</f>
        <v>0</v>
      </c>
      <c r="J43" s="964">
        <f>Item2!O$59+Item2!Q$60</f>
        <v>0</v>
      </c>
      <c r="K43" s="108">
        <f>Item2!O$73</f>
        <v>0</v>
      </c>
      <c r="L43" s="108">
        <f>Item2!E70*Item2!Q70</f>
        <v>0</v>
      </c>
      <c r="M43" s="110">
        <f t="shared" ref="M43:M53" si="8">SUM(D43:L43)</f>
        <v>0</v>
      </c>
      <c r="N43" s="721">
        <f>M43*Estimation!F$52</f>
        <v>0</v>
      </c>
      <c r="O43" s="717" t="e">
        <f>Formulaire!I26</f>
        <v>#DIV/0!</v>
      </c>
      <c r="P43" s="723" t="e">
        <f t="shared" ref="P43:P53" si="9">O43-(N43+M43)</f>
        <v>#DIV/0!</v>
      </c>
    </row>
    <row r="44" spans="1:16" x14ac:dyDescent="0.25">
      <c r="A44" s="709">
        <v>3</v>
      </c>
      <c r="B44" s="493">
        <v>1</v>
      </c>
      <c r="C44" s="492" t="s">
        <v>55</v>
      </c>
      <c r="D44" s="109">
        <f>Item3!O$63-((Item3!E$60+Item3!E$61+Item3!E$62)*H$55)</f>
        <v>0</v>
      </c>
      <c r="E44" s="105">
        <f>Item3!O58</f>
        <v>0</v>
      </c>
      <c r="F44" s="104">
        <f>F9-Item3!Q60</f>
        <v>0</v>
      </c>
      <c r="G44" s="106">
        <f>Item3!O$67</f>
        <v>0</v>
      </c>
      <c r="H44" s="107">
        <f>(Item3!E$60+Item3!E$61+Item3!E$62+Item3!E$63)*H55</f>
        <v>0</v>
      </c>
      <c r="I44" s="690">
        <f>Item3!Q$63-(Item3!E$70*H$55)</f>
        <v>0</v>
      </c>
      <c r="J44" s="964">
        <f>Item3!O$59+Item3!Q$60</f>
        <v>0</v>
      </c>
      <c r="K44" s="108">
        <f>Item3!O$73</f>
        <v>0</v>
      </c>
      <c r="L44" s="108">
        <f>Item3!E70*Item3!Q70</f>
        <v>0</v>
      </c>
      <c r="M44" s="110">
        <f t="shared" si="8"/>
        <v>0</v>
      </c>
      <c r="N44" s="721">
        <f>M44*Estimation!F$52</f>
        <v>0</v>
      </c>
      <c r="O44" s="717" t="e">
        <f>Formulaire!I27</f>
        <v>#DIV/0!</v>
      </c>
      <c r="P44" s="723" t="e">
        <f t="shared" si="9"/>
        <v>#DIV/0!</v>
      </c>
    </row>
    <row r="45" spans="1:16" x14ac:dyDescent="0.25">
      <c r="A45" s="709">
        <v>4</v>
      </c>
      <c r="B45" s="493">
        <v>1</v>
      </c>
      <c r="C45" s="492" t="s">
        <v>55</v>
      </c>
      <c r="D45" s="109">
        <f>Item4!O$63-((Item4!E$60+Item4!E$61+Item4!E$62)*H$55)</f>
        <v>0</v>
      </c>
      <c r="E45" s="105">
        <f>Item4!O58</f>
        <v>0</v>
      </c>
      <c r="F45" s="104">
        <f>F10-Item4!Q60</f>
        <v>0</v>
      </c>
      <c r="G45" s="106">
        <f>Item4!O$67</f>
        <v>0</v>
      </c>
      <c r="H45" s="107">
        <f>(Item4!E$60+Item4!E$61+Item4!E$62+Item4!E$63)*H55</f>
        <v>0</v>
      </c>
      <c r="I45" s="690">
        <f>Item4!Q$63-(Item4!E$70*H$55)</f>
        <v>0</v>
      </c>
      <c r="J45" s="964">
        <f>Item4!O$59+Item4!Q$60</f>
        <v>0</v>
      </c>
      <c r="K45" s="108">
        <f>Item4!O$73</f>
        <v>0</v>
      </c>
      <c r="L45" s="108">
        <f>Item4!E70*Item4!Q70</f>
        <v>0</v>
      </c>
      <c r="M45" s="110">
        <f t="shared" si="8"/>
        <v>0</v>
      </c>
      <c r="N45" s="721">
        <f>M45*Estimation!F$52</f>
        <v>0</v>
      </c>
      <c r="O45" s="717" t="e">
        <f>Formulaire!I28</f>
        <v>#DIV/0!</v>
      </c>
      <c r="P45" s="723" t="e">
        <f t="shared" si="9"/>
        <v>#DIV/0!</v>
      </c>
    </row>
    <row r="46" spans="1:16" x14ac:dyDescent="0.25">
      <c r="A46" s="709">
        <v>5</v>
      </c>
      <c r="B46" s="493">
        <v>1</v>
      </c>
      <c r="C46" s="492" t="s">
        <v>55</v>
      </c>
      <c r="D46" s="109">
        <f>Item5!O$63-((Item5!E$60+Item5!E$61+Item5!E$62)*H$55)</f>
        <v>0</v>
      </c>
      <c r="E46" s="105">
        <f>Item5!O58</f>
        <v>0</v>
      </c>
      <c r="F46" s="104">
        <f>F11-Item5!Q60</f>
        <v>0</v>
      </c>
      <c r="G46" s="106">
        <f>Item5!O$67</f>
        <v>0</v>
      </c>
      <c r="H46" s="107">
        <f>(Item5!E$60+Item5!E$61+Item5!E$62+Item5!E$63)*H55</f>
        <v>0</v>
      </c>
      <c r="I46" s="690">
        <f>Item5!Q$63-(Item5!E$70*H$55)</f>
        <v>0</v>
      </c>
      <c r="J46" s="964">
        <f>Item5!O$59+Item5!Q$60</f>
        <v>0</v>
      </c>
      <c r="K46" s="108">
        <f>Item5!O$73</f>
        <v>0</v>
      </c>
      <c r="L46" s="108">
        <f>Item5!E70*Item5!Q70</f>
        <v>0</v>
      </c>
      <c r="M46" s="110">
        <f t="shared" si="8"/>
        <v>0</v>
      </c>
      <c r="N46" s="721">
        <f>M46*Estimation!F$52</f>
        <v>0</v>
      </c>
      <c r="O46" s="717" t="e">
        <f>Formulaire!I29</f>
        <v>#DIV/0!</v>
      </c>
      <c r="P46" s="723" t="e">
        <f t="shared" si="9"/>
        <v>#DIV/0!</v>
      </c>
    </row>
    <row r="47" spans="1:16" x14ac:dyDescent="0.25">
      <c r="A47" s="709">
        <v>6</v>
      </c>
      <c r="B47" s="493">
        <v>1</v>
      </c>
      <c r="C47" s="492" t="s">
        <v>55</v>
      </c>
      <c r="D47" s="109">
        <f>Item6!O$63-((Item6!E$60+Item6!E$61+Item6!E$62)*H$55)</f>
        <v>0</v>
      </c>
      <c r="E47" s="105">
        <f>Item6!O58</f>
        <v>0</v>
      </c>
      <c r="F47" s="104">
        <f>F12-Item6!Q60</f>
        <v>0</v>
      </c>
      <c r="G47" s="106">
        <f>Item6!O$67</f>
        <v>0</v>
      </c>
      <c r="H47" s="107">
        <f>(Item6!E$60+Item6!E$61+Item6!E$62+Item6!E$63)*H55</f>
        <v>0</v>
      </c>
      <c r="I47" s="690">
        <f>Item6!Q$63-(Item6!E$70*H$55)</f>
        <v>0</v>
      </c>
      <c r="J47" s="964">
        <f>Item6!O$59+Item6!Q$60</f>
        <v>0</v>
      </c>
      <c r="K47" s="108">
        <f>Item6!O$73</f>
        <v>0</v>
      </c>
      <c r="L47" s="108">
        <f>Item6!E70*Item6!Q70</f>
        <v>0</v>
      </c>
      <c r="M47" s="110">
        <f t="shared" si="8"/>
        <v>0</v>
      </c>
      <c r="N47" s="721">
        <f>M47*Estimation!F$52</f>
        <v>0</v>
      </c>
      <c r="O47" s="717" t="e">
        <f>Formulaire!I30</f>
        <v>#DIV/0!</v>
      </c>
      <c r="P47" s="723" t="e">
        <f t="shared" si="9"/>
        <v>#DIV/0!</v>
      </c>
    </row>
    <row r="48" spans="1:16" x14ac:dyDescent="0.25">
      <c r="A48" s="709">
        <v>7</v>
      </c>
      <c r="B48" s="493">
        <v>1</v>
      </c>
      <c r="C48" s="492" t="s">
        <v>55</v>
      </c>
      <c r="D48" s="109">
        <f>Item7!O$63-((Item7!E$60+Item7!E$61+Item7!E$62)*H$55)</f>
        <v>0</v>
      </c>
      <c r="E48" s="105">
        <f>Item7!O58</f>
        <v>0</v>
      </c>
      <c r="F48" s="104">
        <f>F13-Item7!Q60</f>
        <v>0</v>
      </c>
      <c r="G48" s="106">
        <f>Item7!O$67</f>
        <v>0</v>
      </c>
      <c r="H48" s="107">
        <f>(Item7!E$60+Item7!E$61+Item7!E$62+Item7!E$63)*H55</f>
        <v>0</v>
      </c>
      <c r="I48" s="690">
        <f>Item7!Q$63-(Item7!E$70*H$55)</f>
        <v>0</v>
      </c>
      <c r="J48" s="964">
        <f>Item7!O$59+Item7!Q$60</f>
        <v>0</v>
      </c>
      <c r="K48" s="108">
        <f>Item7!O$73</f>
        <v>0</v>
      </c>
      <c r="L48" s="108">
        <f>Item7!E70*Item7!Q70</f>
        <v>0</v>
      </c>
      <c r="M48" s="110">
        <f t="shared" si="8"/>
        <v>0</v>
      </c>
      <c r="N48" s="721">
        <f>M48*Estimation!F$52</f>
        <v>0</v>
      </c>
      <c r="O48" s="717" t="e">
        <f>Formulaire!I31</f>
        <v>#DIV/0!</v>
      </c>
      <c r="P48" s="723" t="e">
        <f t="shared" si="9"/>
        <v>#DIV/0!</v>
      </c>
    </row>
    <row r="49" spans="1:16" x14ac:dyDescent="0.25">
      <c r="A49" s="709">
        <v>8</v>
      </c>
      <c r="B49" s="493">
        <v>1</v>
      </c>
      <c r="C49" s="492" t="s">
        <v>55</v>
      </c>
      <c r="D49" s="109">
        <f>Item8!O$63-((Item8!E$60+Item8!E$61+Item8!E$62)*H$55)</f>
        <v>0</v>
      </c>
      <c r="E49" s="105">
        <f>Item8!O58</f>
        <v>0</v>
      </c>
      <c r="F49" s="104">
        <f>F14-Item8!Q60</f>
        <v>0</v>
      </c>
      <c r="G49" s="106">
        <f>Item8!O$67</f>
        <v>0</v>
      </c>
      <c r="H49" s="107">
        <f>(Item8!E$60+Item8!E$61+Item8!E$62+Item8!E$63)*H55</f>
        <v>0</v>
      </c>
      <c r="I49" s="690">
        <f>Item8!Q$63-(Item8!E$70*H$55)</f>
        <v>0</v>
      </c>
      <c r="J49" s="964">
        <f>Item8!O$59+Item8!Q$60</f>
        <v>0</v>
      </c>
      <c r="K49" s="108">
        <f>Item8!O$73</f>
        <v>0</v>
      </c>
      <c r="L49" s="108">
        <f>Item8!E70*Item8!Q70</f>
        <v>0</v>
      </c>
      <c r="M49" s="110">
        <f t="shared" si="8"/>
        <v>0</v>
      </c>
      <c r="N49" s="721">
        <f>M49*Estimation!F$52</f>
        <v>0</v>
      </c>
      <c r="O49" s="717" t="e">
        <f>Formulaire!I32</f>
        <v>#DIV/0!</v>
      </c>
      <c r="P49" s="723" t="e">
        <f t="shared" si="9"/>
        <v>#DIV/0!</v>
      </c>
    </row>
    <row r="50" spans="1:16" x14ac:dyDescent="0.25">
      <c r="A50" s="709">
        <v>9</v>
      </c>
      <c r="B50" s="493">
        <v>1</v>
      </c>
      <c r="C50" s="492" t="s">
        <v>55</v>
      </c>
      <c r="D50" s="109">
        <f>Item9!O$63-((Item9!E$60+Item9!E$61+Item9!E$62)*H$55)</f>
        <v>0</v>
      </c>
      <c r="E50" s="105">
        <f>Item9!O58</f>
        <v>0</v>
      </c>
      <c r="F50" s="104">
        <f>F15-Item9!Q60</f>
        <v>0</v>
      </c>
      <c r="G50" s="106">
        <f>Item9!O$67</f>
        <v>0</v>
      </c>
      <c r="H50" s="107">
        <f>(Item9!E$60+Item9!E$61+Item9!E$62+Item9!E$63)*H55</f>
        <v>0</v>
      </c>
      <c r="I50" s="690">
        <f>Item9!Q$63-(Item9!E$70*H$55)</f>
        <v>0</v>
      </c>
      <c r="J50" s="964">
        <f>Item9!O$59+Item9!Q$60</f>
        <v>0</v>
      </c>
      <c r="K50" s="108">
        <f>Item9!O$73</f>
        <v>0</v>
      </c>
      <c r="L50" s="108">
        <f>Item9!E70*Item9!Q70</f>
        <v>0</v>
      </c>
      <c r="M50" s="110">
        <f t="shared" si="8"/>
        <v>0</v>
      </c>
      <c r="N50" s="721">
        <f>M50*Estimation!F$52</f>
        <v>0</v>
      </c>
      <c r="O50" s="717" t="e">
        <f>Formulaire!I33</f>
        <v>#DIV/0!</v>
      </c>
      <c r="P50" s="723" t="e">
        <f t="shared" si="9"/>
        <v>#DIV/0!</v>
      </c>
    </row>
    <row r="51" spans="1:16" x14ac:dyDescent="0.25">
      <c r="A51" s="709">
        <v>10</v>
      </c>
      <c r="B51" s="493">
        <v>1</v>
      </c>
      <c r="C51" s="492" t="s">
        <v>55</v>
      </c>
      <c r="D51" s="109">
        <f>Item10!O$63-((Item10!E$60+Item10!E$61+Item10!E$62)*H$55)</f>
        <v>0</v>
      </c>
      <c r="E51" s="105">
        <f>Item10!O58</f>
        <v>0</v>
      </c>
      <c r="F51" s="104">
        <f>F16-Item10!Q60</f>
        <v>0</v>
      </c>
      <c r="G51" s="106">
        <f>Item10!O$67</f>
        <v>0</v>
      </c>
      <c r="H51" s="107">
        <f>(Item10!E$60+Item10!E$61+Item10!E$62+Item10!E$63)*H55</f>
        <v>0</v>
      </c>
      <c r="I51" s="690">
        <f>Item10!Q$63-(Item10!E$70*H$55)</f>
        <v>0</v>
      </c>
      <c r="J51" s="964">
        <f>Item10!O$59+Item10!Q$60</f>
        <v>0</v>
      </c>
      <c r="K51" s="108">
        <f>Item10!O$73</f>
        <v>0</v>
      </c>
      <c r="L51" s="108">
        <f>Item10!E70*Item10!Q70</f>
        <v>0</v>
      </c>
      <c r="M51" s="110">
        <f t="shared" si="8"/>
        <v>0</v>
      </c>
      <c r="N51" s="721">
        <f>M51*Estimation!F$52</f>
        <v>0</v>
      </c>
      <c r="O51" s="717" t="e">
        <f>Formulaire!I34</f>
        <v>#DIV/0!</v>
      </c>
      <c r="P51" s="723" t="e">
        <f t="shared" si="9"/>
        <v>#DIV/0!</v>
      </c>
    </row>
    <row r="52" spans="1:16" x14ac:dyDescent="0.25">
      <c r="A52" s="709">
        <v>11</v>
      </c>
      <c r="B52" s="493">
        <v>1</v>
      </c>
      <c r="C52" s="492" t="s">
        <v>55</v>
      </c>
      <c r="D52" s="109">
        <f>Item11!O$63-((Item11!E$60+Item11!E$61+Item11!E$62)*H$55)</f>
        <v>0</v>
      </c>
      <c r="E52" s="105">
        <f>Item11!O58</f>
        <v>0</v>
      </c>
      <c r="F52" s="104">
        <f>F17-Item11!Q60</f>
        <v>0</v>
      </c>
      <c r="G52" s="106">
        <f>Item11!O$67</f>
        <v>0</v>
      </c>
      <c r="H52" s="107">
        <f>(Item11!E$60+Item11!E$61+Item11!E$62+Item11!E$63)*H55</f>
        <v>0</v>
      </c>
      <c r="I52" s="690">
        <f>Item11!Q$63-(Item11!E$70*H$55)</f>
        <v>0</v>
      </c>
      <c r="J52" s="964">
        <f>Item11!O$59+Item11!Q$60</f>
        <v>0</v>
      </c>
      <c r="K52" s="108">
        <f>Item11!O$73</f>
        <v>0</v>
      </c>
      <c r="L52" s="108">
        <f>Item11!E70*Item11!Q70</f>
        <v>0</v>
      </c>
      <c r="M52" s="110">
        <f t="shared" si="8"/>
        <v>0</v>
      </c>
      <c r="N52" s="721">
        <f>M52*Estimation!F$52</f>
        <v>0</v>
      </c>
      <c r="O52" s="717" t="e">
        <f>Formulaire!I35</f>
        <v>#DIV/0!</v>
      </c>
      <c r="P52" s="723" t="e">
        <f t="shared" si="9"/>
        <v>#DIV/0!</v>
      </c>
    </row>
    <row r="53" spans="1:16" x14ac:dyDescent="0.25">
      <c r="A53" s="709">
        <v>12</v>
      </c>
      <c r="B53" s="493">
        <v>1</v>
      </c>
      <c r="C53" s="492" t="s">
        <v>55</v>
      </c>
      <c r="D53" s="109">
        <f>Item12!O$63-((Item12!E$60+Item12!E$61+Item12!E$62)*H$55)</f>
        <v>0</v>
      </c>
      <c r="E53" s="105">
        <f>Item12!O58</f>
        <v>0</v>
      </c>
      <c r="F53" s="104">
        <f>F18-Item12!Q60</f>
        <v>0</v>
      </c>
      <c r="G53" s="106">
        <f>Item12!O$67</f>
        <v>0</v>
      </c>
      <c r="H53" s="107">
        <f>(Item12!E$60+Item12!E$61+Item12!E$62+Item12!E$63)*H55</f>
        <v>0</v>
      </c>
      <c r="I53" s="690">
        <f>Item12!Q$63-(Item12!E$70*H$55)</f>
        <v>0</v>
      </c>
      <c r="J53" s="964">
        <f>Item12!O$59+Item12!Q$60</f>
        <v>0</v>
      </c>
      <c r="K53" s="108">
        <f>Item12!O$73</f>
        <v>0</v>
      </c>
      <c r="L53" s="108">
        <f>Item12!E70*Item12!Q70</f>
        <v>0</v>
      </c>
      <c r="M53" s="110">
        <f t="shared" si="8"/>
        <v>0</v>
      </c>
      <c r="N53" s="722">
        <f>M53*Estimation!F$52</f>
        <v>0</v>
      </c>
      <c r="O53" s="717" t="e">
        <f>Formulaire!I36</f>
        <v>#DIV/0!</v>
      </c>
      <c r="P53" s="724" t="e">
        <f t="shared" si="9"/>
        <v>#DIV/0!</v>
      </c>
    </row>
    <row r="54" spans="1:16" x14ac:dyDescent="0.25">
      <c r="A54" s="710"/>
      <c r="B54" s="11"/>
      <c r="C54" s="11"/>
      <c r="D54" s="101">
        <f t="shared" ref="D54:P54" si="10">SUM(D42:D53)</f>
        <v>0</v>
      </c>
      <c r="E54" s="101">
        <f t="shared" si="10"/>
        <v>0</v>
      </c>
      <c r="F54" s="101">
        <f t="shared" si="10"/>
        <v>0</v>
      </c>
      <c r="G54" s="101">
        <f t="shared" si="10"/>
        <v>0</v>
      </c>
      <c r="H54" s="101">
        <f t="shared" si="10"/>
        <v>0</v>
      </c>
      <c r="I54" s="101">
        <f t="shared" si="10"/>
        <v>0</v>
      </c>
      <c r="J54" s="101">
        <f t="shared" si="10"/>
        <v>0</v>
      </c>
      <c r="K54" s="102">
        <f t="shared" si="10"/>
        <v>0</v>
      </c>
      <c r="L54" s="36">
        <f t="shared" si="10"/>
        <v>0</v>
      </c>
      <c r="M54" s="101">
        <f t="shared" si="10"/>
        <v>0</v>
      </c>
      <c r="N54" s="732">
        <f t="shared" si="10"/>
        <v>0</v>
      </c>
      <c r="O54" s="732" t="e">
        <f t="shared" si="10"/>
        <v>#DIV/0!</v>
      </c>
      <c r="P54" s="733" t="e">
        <f t="shared" si="10"/>
        <v>#DIV/0!</v>
      </c>
    </row>
    <row r="55" spans="1:16" x14ac:dyDescent="0.25">
      <c r="A55" s="987"/>
      <c r="B55" s="21"/>
      <c r="C55" s="21"/>
      <c r="D55" s="712"/>
      <c r="E55" s="712"/>
      <c r="F55" s="714"/>
      <c r="G55" s="714">
        <f>'taux horaire '!D25</f>
        <v>50.937075517464415</v>
      </c>
      <c r="H55" s="714">
        <f>'taux horaire '!D35</f>
        <v>40.943325026559677</v>
      </c>
      <c r="I55" s="979"/>
      <c r="J55" s="979"/>
      <c r="K55" s="980">
        <f>'taux horaire '!D38</f>
        <v>80.555459389671356</v>
      </c>
      <c r="L55" s="979">
        <f>'taux horaire '!D35</f>
        <v>40.943325026559677</v>
      </c>
      <c r="M55" s="714"/>
      <c r="N55" s="712"/>
      <c r="O55" s="712"/>
      <c r="P55" s="713"/>
    </row>
    <row r="56" spans="1:16" x14ac:dyDescent="0.25">
      <c r="A56" s="987"/>
      <c r="B56" s="21"/>
      <c r="C56" s="21"/>
      <c r="D56" s="712"/>
      <c r="E56" s="712"/>
      <c r="F56" s="712"/>
      <c r="G56" s="912">
        <f>G54/G55</f>
        <v>0</v>
      </c>
      <c r="H56" s="912">
        <f>H54/H55</f>
        <v>0</v>
      </c>
      <c r="I56" s="979"/>
      <c r="J56" s="979"/>
      <c r="K56" s="981">
        <f>K54/K55</f>
        <v>0</v>
      </c>
      <c r="L56" s="981">
        <f>L54/L55</f>
        <v>0</v>
      </c>
      <c r="M56" s="712"/>
      <c r="N56" s="712"/>
      <c r="O56" s="712"/>
      <c r="P56" s="713"/>
    </row>
    <row r="57" spans="1:16" ht="15.75" thickBot="1" x14ac:dyDescent="0.3">
      <c r="A57" s="987"/>
      <c r="B57" s="21"/>
      <c r="C57" s="21"/>
      <c r="D57" s="715"/>
      <c r="E57" s="715"/>
      <c r="F57" s="1205" t="s">
        <v>272</v>
      </c>
      <c r="G57" s="1205"/>
      <c r="H57" s="1205"/>
      <c r="I57" s="982">
        <f>(Item1!E60+Item1!E61+Item1!E70)+(Item2!E60+Item2!E61+Item2!E70)+(Item3!E60+Item3!E61+Item3!E70)+(Item4!E60+Item4!E61+Item4!E70)+(Item5!E60+Item5!E61+Item5!E70)+(Item6!E60+Item6!E61+Item6!E70)+(Item7!E60+Item7!E61+Item7!E70)+(Item8!E60+Item8!E61+Item8!E70)+(Item9!E60+Item9!E61+Item9!E70)+(Item10!E60+Item10!E61+Item10!E70)+(Item11!E60+Item11!E61+Item11!E70)+(Item12!E60+Item12!E61+Item12!E70)</f>
        <v>0</v>
      </c>
      <c r="J57" s="983"/>
      <c r="K57" s="984"/>
      <c r="L57" s="984"/>
      <c r="M57" s="715" t="s">
        <v>270</v>
      </c>
      <c r="N57" s="715"/>
      <c r="O57" s="715"/>
      <c r="P57" s="716"/>
    </row>
    <row r="58" spans="1:16" ht="15" customHeight="1" x14ac:dyDescent="0.25">
      <c r="C58" s="9"/>
      <c r="F58" s="1200" t="s">
        <v>425</v>
      </c>
      <c r="G58" s="1200"/>
      <c r="H58" s="915">
        <f>G54/H59</f>
        <v>0</v>
      </c>
      <c r="I58" s="913">
        <f>H54/I59</f>
        <v>0</v>
      </c>
      <c r="J58" s="914">
        <f>K54/J59</f>
        <v>0</v>
      </c>
    </row>
    <row r="59" spans="1:16" x14ac:dyDescent="0.25">
      <c r="F59" s="1201" t="s">
        <v>426</v>
      </c>
      <c r="G59" s="1201"/>
      <c r="H59" s="681">
        <v>38.369999999999997</v>
      </c>
      <c r="I59" s="681">
        <v>27.25</v>
      </c>
      <c r="J59" s="1151">
        <v>74.92</v>
      </c>
      <c r="K59" s="681" t="s">
        <v>344</v>
      </c>
      <c r="L59" s="681"/>
    </row>
    <row r="62" spans="1:16" x14ac:dyDescent="0.25">
      <c r="F62" s="125"/>
    </row>
    <row r="63" spans="1:16" x14ac:dyDescent="0.25">
      <c r="D63" s="36"/>
      <c r="E63" s="36"/>
      <c r="F63" s="36"/>
      <c r="G63" s="676"/>
      <c r="H63" s="36"/>
      <c r="I63" s="36"/>
      <c r="J63" s="85"/>
      <c r="L63" s="36"/>
    </row>
  </sheetData>
  <mergeCells count="14">
    <mergeCell ref="I39:L40"/>
    <mergeCell ref="D39:H40"/>
    <mergeCell ref="O40:P40"/>
    <mergeCell ref="I1:J1"/>
    <mergeCell ref="A1:B1"/>
    <mergeCell ref="A2:B2"/>
    <mergeCell ref="F1:G1"/>
    <mergeCell ref="N39:O39"/>
    <mergeCell ref="A3:B3"/>
    <mergeCell ref="F58:G58"/>
    <mergeCell ref="F59:G59"/>
    <mergeCell ref="A4:B4"/>
    <mergeCell ref="C4:C5"/>
    <mergeCell ref="F57:H57"/>
  </mergeCells>
  <phoneticPr fontId="0" type="noConversion"/>
  <pageMargins left="0.29527559055118113" right="0.29527559055118113" top="0.29527559055118113" bottom="0.29527559055118113" header="0.27559055118110237" footer="0.27559055118110237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57"/>
  <sheetViews>
    <sheetView workbookViewId="0">
      <selection activeCell="B37" sqref="B37:B38"/>
    </sheetView>
  </sheetViews>
  <sheetFormatPr baseColWidth="10" defaultRowHeight="15" x14ac:dyDescent="0.25"/>
  <cols>
    <col min="1" max="1" width="5.7109375" customWidth="1"/>
    <col min="2" max="2" width="10.42578125" customWidth="1"/>
    <col min="3" max="3" width="33.140625" customWidth="1"/>
    <col min="4" max="4" width="13" customWidth="1"/>
    <col min="5" max="5" width="6.7109375" customWidth="1"/>
    <col min="6" max="6" width="12.42578125" customWidth="1"/>
    <col min="7" max="7" width="10.7109375" customWidth="1"/>
    <col min="8" max="8" width="12.42578125" customWidth="1"/>
    <col min="10" max="10" width="6.140625" style="1066" customWidth="1"/>
    <col min="11" max="11" width="3.85546875" style="1066" customWidth="1"/>
    <col min="12" max="12" width="12" bestFit="1" customWidth="1"/>
    <col min="224" max="224" width="5.7109375" customWidth="1"/>
    <col min="225" max="225" width="10.42578125" customWidth="1"/>
    <col min="226" max="226" width="22.28515625" customWidth="1"/>
    <col min="227" max="227" width="12.140625" customWidth="1"/>
    <col min="228" max="228" width="6.7109375" customWidth="1"/>
    <col min="229" max="229" width="12.42578125" customWidth="1"/>
    <col min="230" max="230" width="10.7109375" customWidth="1"/>
    <col min="231" max="231" width="11.7109375" customWidth="1"/>
    <col min="232" max="232" width="3.42578125" customWidth="1"/>
    <col min="233" max="233" width="4.5703125" customWidth="1"/>
    <col min="234" max="234" width="3.7109375" customWidth="1"/>
    <col min="235" max="247" width="2.7109375" customWidth="1"/>
    <col min="248" max="248" width="5.28515625" customWidth="1"/>
    <col min="249" max="259" width="2.7109375" customWidth="1"/>
    <col min="260" max="260" width="2.5703125" customWidth="1"/>
    <col min="261" max="261" width="0" hidden="1" customWidth="1"/>
    <col min="262" max="262" width="11" customWidth="1"/>
    <col min="263" max="263" width="7.7109375" customWidth="1"/>
    <col min="264" max="264" width="6.140625" customWidth="1"/>
    <col min="265" max="265" width="3.85546875" customWidth="1"/>
    <col min="480" max="480" width="5.7109375" customWidth="1"/>
    <col min="481" max="481" width="10.42578125" customWidth="1"/>
    <col min="482" max="482" width="22.28515625" customWidth="1"/>
    <col min="483" max="483" width="12.140625" customWidth="1"/>
    <col min="484" max="484" width="6.7109375" customWidth="1"/>
    <col min="485" max="485" width="12.42578125" customWidth="1"/>
    <col min="486" max="486" width="10.7109375" customWidth="1"/>
    <col min="487" max="487" width="11.7109375" customWidth="1"/>
    <col min="488" max="488" width="3.42578125" customWidth="1"/>
    <col min="489" max="489" width="4.5703125" customWidth="1"/>
    <col min="490" max="490" width="3.7109375" customWidth="1"/>
    <col min="491" max="503" width="2.7109375" customWidth="1"/>
    <col min="504" max="504" width="5.28515625" customWidth="1"/>
    <col min="505" max="515" width="2.7109375" customWidth="1"/>
    <col min="516" max="516" width="2.5703125" customWidth="1"/>
    <col min="517" max="517" width="0" hidden="1" customWidth="1"/>
    <col min="518" max="518" width="11" customWidth="1"/>
    <col min="519" max="519" width="7.7109375" customWidth="1"/>
    <col min="520" max="520" width="6.140625" customWidth="1"/>
    <col min="521" max="521" width="3.85546875" customWidth="1"/>
    <col min="736" max="736" width="5.7109375" customWidth="1"/>
    <col min="737" max="737" width="10.42578125" customWidth="1"/>
    <col min="738" max="738" width="22.28515625" customWidth="1"/>
    <col min="739" max="739" width="12.140625" customWidth="1"/>
    <col min="740" max="740" width="6.7109375" customWidth="1"/>
    <col min="741" max="741" width="12.42578125" customWidth="1"/>
    <col min="742" max="742" width="10.7109375" customWidth="1"/>
    <col min="743" max="743" width="11.7109375" customWidth="1"/>
    <col min="744" max="744" width="3.42578125" customWidth="1"/>
    <col min="745" max="745" width="4.5703125" customWidth="1"/>
    <col min="746" max="746" width="3.7109375" customWidth="1"/>
    <col min="747" max="759" width="2.7109375" customWidth="1"/>
    <col min="760" max="760" width="5.28515625" customWidth="1"/>
    <col min="761" max="771" width="2.7109375" customWidth="1"/>
    <col min="772" max="772" width="2.5703125" customWidth="1"/>
    <col min="773" max="773" width="0" hidden="1" customWidth="1"/>
    <col min="774" max="774" width="11" customWidth="1"/>
    <col min="775" max="775" width="7.7109375" customWidth="1"/>
    <col min="776" max="776" width="6.140625" customWidth="1"/>
    <col min="777" max="777" width="3.85546875" customWidth="1"/>
    <col min="992" max="992" width="5.7109375" customWidth="1"/>
    <col min="993" max="993" width="10.42578125" customWidth="1"/>
    <col min="994" max="994" width="22.28515625" customWidth="1"/>
    <col min="995" max="995" width="12.140625" customWidth="1"/>
    <col min="996" max="996" width="6.7109375" customWidth="1"/>
    <col min="997" max="997" width="12.42578125" customWidth="1"/>
    <col min="998" max="998" width="10.7109375" customWidth="1"/>
    <col min="999" max="999" width="11.7109375" customWidth="1"/>
    <col min="1000" max="1000" width="3.42578125" customWidth="1"/>
    <col min="1001" max="1001" width="4.5703125" customWidth="1"/>
    <col min="1002" max="1002" width="3.7109375" customWidth="1"/>
    <col min="1003" max="1015" width="2.7109375" customWidth="1"/>
    <col min="1016" max="1016" width="5.28515625" customWidth="1"/>
    <col min="1017" max="1027" width="2.7109375" customWidth="1"/>
    <col min="1028" max="1028" width="2.5703125" customWidth="1"/>
    <col min="1029" max="1029" width="0" hidden="1" customWidth="1"/>
    <col min="1030" max="1030" width="11" customWidth="1"/>
    <col min="1031" max="1031" width="7.7109375" customWidth="1"/>
    <col min="1032" max="1032" width="6.140625" customWidth="1"/>
    <col min="1033" max="1033" width="3.85546875" customWidth="1"/>
    <col min="1248" max="1248" width="5.7109375" customWidth="1"/>
    <col min="1249" max="1249" width="10.42578125" customWidth="1"/>
    <col min="1250" max="1250" width="22.28515625" customWidth="1"/>
    <col min="1251" max="1251" width="12.140625" customWidth="1"/>
    <col min="1252" max="1252" width="6.7109375" customWidth="1"/>
    <col min="1253" max="1253" width="12.42578125" customWidth="1"/>
    <col min="1254" max="1254" width="10.7109375" customWidth="1"/>
    <col min="1255" max="1255" width="11.7109375" customWidth="1"/>
    <col min="1256" max="1256" width="3.42578125" customWidth="1"/>
    <col min="1257" max="1257" width="4.5703125" customWidth="1"/>
    <col min="1258" max="1258" width="3.7109375" customWidth="1"/>
    <col min="1259" max="1271" width="2.7109375" customWidth="1"/>
    <col min="1272" max="1272" width="5.28515625" customWidth="1"/>
    <col min="1273" max="1283" width="2.7109375" customWidth="1"/>
    <col min="1284" max="1284" width="2.5703125" customWidth="1"/>
    <col min="1285" max="1285" width="0" hidden="1" customWidth="1"/>
    <col min="1286" max="1286" width="11" customWidth="1"/>
    <col min="1287" max="1287" width="7.7109375" customWidth="1"/>
    <col min="1288" max="1288" width="6.140625" customWidth="1"/>
    <col min="1289" max="1289" width="3.85546875" customWidth="1"/>
    <col min="1504" max="1504" width="5.7109375" customWidth="1"/>
    <col min="1505" max="1505" width="10.42578125" customWidth="1"/>
    <col min="1506" max="1506" width="22.28515625" customWidth="1"/>
    <col min="1507" max="1507" width="12.140625" customWidth="1"/>
    <col min="1508" max="1508" width="6.7109375" customWidth="1"/>
    <col min="1509" max="1509" width="12.42578125" customWidth="1"/>
    <col min="1510" max="1510" width="10.7109375" customWidth="1"/>
    <col min="1511" max="1511" width="11.7109375" customWidth="1"/>
    <col min="1512" max="1512" width="3.42578125" customWidth="1"/>
    <col min="1513" max="1513" width="4.5703125" customWidth="1"/>
    <col min="1514" max="1514" width="3.7109375" customWidth="1"/>
    <col min="1515" max="1527" width="2.7109375" customWidth="1"/>
    <col min="1528" max="1528" width="5.28515625" customWidth="1"/>
    <col min="1529" max="1539" width="2.7109375" customWidth="1"/>
    <col min="1540" max="1540" width="2.5703125" customWidth="1"/>
    <col min="1541" max="1541" width="0" hidden="1" customWidth="1"/>
    <col min="1542" max="1542" width="11" customWidth="1"/>
    <col min="1543" max="1543" width="7.7109375" customWidth="1"/>
    <col min="1544" max="1544" width="6.140625" customWidth="1"/>
    <col min="1545" max="1545" width="3.85546875" customWidth="1"/>
    <col min="1760" max="1760" width="5.7109375" customWidth="1"/>
    <col min="1761" max="1761" width="10.42578125" customWidth="1"/>
    <col min="1762" max="1762" width="22.28515625" customWidth="1"/>
    <col min="1763" max="1763" width="12.140625" customWidth="1"/>
    <col min="1764" max="1764" width="6.7109375" customWidth="1"/>
    <col min="1765" max="1765" width="12.42578125" customWidth="1"/>
    <col min="1766" max="1766" width="10.7109375" customWidth="1"/>
    <col min="1767" max="1767" width="11.7109375" customWidth="1"/>
    <col min="1768" max="1768" width="3.42578125" customWidth="1"/>
    <col min="1769" max="1769" width="4.5703125" customWidth="1"/>
    <col min="1770" max="1770" width="3.7109375" customWidth="1"/>
    <col min="1771" max="1783" width="2.7109375" customWidth="1"/>
    <col min="1784" max="1784" width="5.28515625" customWidth="1"/>
    <col min="1785" max="1795" width="2.7109375" customWidth="1"/>
    <col min="1796" max="1796" width="2.5703125" customWidth="1"/>
    <col min="1797" max="1797" width="0" hidden="1" customWidth="1"/>
    <col min="1798" max="1798" width="11" customWidth="1"/>
    <col min="1799" max="1799" width="7.7109375" customWidth="1"/>
    <col min="1800" max="1800" width="6.140625" customWidth="1"/>
    <col min="1801" max="1801" width="3.85546875" customWidth="1"/>
    <col min="2016" max="2016" width="5.7109375" customWidth="1"/>
    <col min="2017" max="2017" width="10.42578125" customWidth="1"/>
    <col min="2018" max="2018" width="22.28515625" customWidth="1"/>
    <col min="2019" max="2019" width="12.140625" customWidth="1"/>
    <col min="2020" max="2020" width="6.7109375" customWidth="1"/>
    <col min="2021" max="2021" width="12.42578125" customWidth="1"/>
    <col min="2022" max="2022" width="10.7109375" customWidth="1"/>
    <col min="2023" max="2023" width="11.7109375" customWidth="1"/>
    <col min="2024" max="2024" width="3.42578125" customWidth="1"/>
    <col min="2025" max="2025" width="4.5703125" customWidth="1"/>
    <col min="2026" max="2026" width="3.7109375" customWidth="1"/>
    <col min="2027" max="2039" width="2.7109375" customWidth="1"/>
    <col min="2040" max="2040" width="5.28515625" customWidth="1"/>
    <col min="2041" max="2051" width="2.7109375" customWidth="1"/>
    <col min="2052" max="2052" width="2.5703125" customWidth="1"/>
    <col min="2053" max="2053" width="0" hidden="1" customWidth="1"/>
    <col min="2054" max="2054" width="11" customWidth="1"/>
    <col min="2055" max="2055" width="7.7109375" customWidth="1"/>
    <col min="2056" max="2056" width="6.140625" customWidth="1"/>
    <col min="2057" max="2057" width="3.85546875" customWidth="1"/>
    <col min="2272" max="2272" width="5.7109375" customWidth="1"/>
    <col min="2273" max="2273" width="10.42578125" customWidth="1"/>
    <col min="2274" max="2274" width="22.28515625" customWidth="1"/>
    <col min="2275" max="2275" width="12.140625" customWidth="1"/>
    <col min="2276" max="2276" width="6.7109375" customWidth="1"/>
    <col min="2277" max="2277" width="12.42578125" customWidth="1"/>
    <col min="2278" max="2278" width="10.7109375" customWidth="1"/>
    <col min="2279" max="2279" width="11.7109375" customWidth="1"/>
    <col min="2280" max="2280" width="3.42578125" customWidth="1"/>
    <col min="2281" max="2281" width="4.5703125" customWidth="1"/>
    <col min="2282" max="2282" width="3.7109375" customWidth="1"/>
    <col min="2283" max="2295" width="2.7109375" customWidth="1"/>
    <col min="2296" max="2296" width="5.28515625" customWidth="1"/>
    <col min="2297" max="2307" width="2.7109375" customWidth="1"/>
    <col min="2308" max="2308" width="2.5703125" customWidth="1"/>
    <col min="2309" max="2309" width="0" hidden="1" customWidth="1"/>
    <col min="2310" max="2310" width="11" customWidth="1"/>
    <col min="2311" max="2311" width="7.7109375" customWidth="1"/>
    <col min="2312" max="2312" width="6.140625" customWidth="1"/>
    <col min="2313" max="2313" width="3.85546875" customWidth="1"/>
    <col min="2528" max="2528" width="5.7109375" customWidth="1"/>
    <col min="2529" max="2529" width="10.42578125" customWidth="1"/>
    <col min="2530" max="2530" width="22.28515625" customWidth="1"/>
    <col min="2531" max="2531" width="12.140625" customWidth="1"/>
    <col min="2532" max="2532" width="6.7109375" customWidth="1"/>
    <col min="2533" max="2533" width="12.42578125" customWidth="1"/>
    <col min="2534" max="2534" width="10.7109375" customWidth="1"/>
    <col min="2535" max="2535" width="11.7109375" customWidth="1"/>
    <col min="2536" max="2536" width="3.42578125" customWidth="1"/>
    <col min="2537" max="2537" width="4.5703125" customWidth="1"/>
    <col min="2538" max="2538" width="3.7109375" customWidth="1"/>
    <col min="2539" max="2551" width="2.7109375" customWidth="1"/>
    <col min="2552" max="2552" width="5.28515625" customWidth="1"/>
    <col min="2553" max="2563" width="2.7109375" customWidth="1"/>
    <col min="2564" max="2564" width="2.5703125" customWidth="1"/>
    <col min="2565" max="2565" width="0" hidden="1" customWidth="1"/>
    <col min="2566" max="2566" width="11" customWidth="1"/>
    <col min="2567" max="2567" width="7.7109375" customWidth="1"/>
    <col min="2568" max="2568" width="6.140625" customWidth="1"/>
    <col min="2569" max="2569" width="3.85546875" customWidth="1"/>
    <col min="2784" max="2784" width="5.7109375" customWidth="1"/>
    <col min="2785" max="2785" width="10.42578125" customWidth="1"/>
    <col min="2786" max="2786" width="22.28515625" customWidth="1"/>
    <col min="2787" max="2787" width="12.140625" customWidth="1"/>
    <col min="2788" max="2788" width="6.7109375" customWidth="1"/>
    <col min="2789" max="2789" width="12.42578125" customWidth="1"/>
    <col min="2790" max="2790" width="10.7109375" customWidth="1"/>
    <col min="2791" max="2791" width="11.7109375" customWidth="1"/>
    <col min="2792" max="2792" width="3.42578125" customWidth="1"/>
    <col min="2793" max="2793" width="4.5703125" customWidth="1"/>
    <col min="2794" max="2794" width="3.7109375" customWidth="1"/>
    <col min="2795" max="2807" width="2.7109375" customWidth="1"/>
    <col min="2808" max="2808" width="5.28515625" customWidth="1"/>
    <col min="2809" max="2819" width="2.7109375" customWidth="1"/>
    <col min="2820" max="2820" width="2.5703125" customWidth="1"/>
    <col min="2821" max="2821" width="0" hidden="1" customWidth="1"/>
    <col min="2822" max="2822" width="11" customWidth="1"/>
    <col min="2823" max="2823" width="7.7109375" customWidth="1"/>
    <col min="2824" max="2824" width="6.140625" customWidth="1"/>
    <col min="2825" max="2825" width="3.85546875" customWidth="1"/>
    <col min="3040" max="3040" width="5.7109375" customWidth="1"/>
    <col min="3041" max="3041" width="10.42578125" customWidth="1"/>
    <col min="3042" max="3042" width="22.28515625" customWidth="1"/>
    <col min="3043" max="3043" width="12.140625" customWidth="1"/>
    <col min="3044" max="3044" width="6.7109375" customWidth="1"/>
    <col min="3045" max="3045" width="12.42578125" customWidth="1"/>
    <col min="3046" max="3046" width="10.7109375" customWidth="1"/>
    <col min="3047" max="3047" width="11.7109375" customWidth="1"/>
    <col min="3048" max="3048" width="3.42578125" customWidth="1"/>
    <col min="3049" max="3049" width="4.5703125" customWidth="1"/>
    <col min="3050" max="3050" width="3.7109375" customWidth="1"/>
    <col min="3051" max="3063" width="2.7109375" customWidth="1"/>
    <col min="3064" max="3064" width="5.28515625" customWidth="1"/>
    <col min="3065" max="3075" width="2.7109375" customWidth="1"/>
    <col min="3076" max="3076" width="2.5703125" customWidth="1"/>
    <col min="3077" max="3077" width="0" hidden="1" customWidth="1"/>
    <col min="3078" max="3078" width="11" customWidth="1"/>
    <col min="3079" max="3079" width="7.7109375" customWidth="1"/>
    <col min="3080" max="3080" width="6.140625" customWidth="1"/>
    <col min="3081" max="3081" width="3.85546875" customWidth="1"/>
    <col min="3296" max="3296" width="5.7109375" customWidth="1"/>
    <col min="3297" max="3297" width="10.42578125" customWidth="1"/>
    <col min="3298" max="3298" width="22.28515625" customWidth="1"/>
    <col min="3299" max="3299" width="12.140625" customWidth="1"/>
    <col min="3300" max="3300" width="6.7109375" customWidth="1"/>
    <col min="3301" max="3301" width="12.42578125" customWidth="1"/>
    <col min="3302" max="3302" width="10.7109375" customWidth="1"/>
    <col min="3303" max="3303" width="11.7109375" customWidth="1"/>
    <col min="3304" max="3304" width="3.42578125" customWidth="1"/>
    <col min="3305" max="3305" width="4.5703125" customWidth="1"/>
    <col min="3306" max="3306" width="3.7109375" customWidth="1"/>
    <col min="3307" max="3319" width="2.7109375" customWidth="1"/>
    <col min="3320" max="3320" width="5.28515625" customWidth="1"/>
    <col min="3321" max="3331" width="2.7109375" customWidth="1"/>
    <col min="3332" max="3332" width="2.5703125" customWidth="1"/>
    <col min="3333" max="3333" width="0" hidden="1" customWidth="1"/>
    <col min="3334" max="3334" width="11" customWidth="1"/>
    <col min="3335" max="3335" width="7.7109375" customWidth="1"/>
    <col min="3336" max="3336" width="6.140625" customWidth="1"/>
    <col min="3337" max="3337" width="3.85546875" customWidth="1"/>
    <col min="3552" max="3552" width="5.7109375" customWidth="1"/>
    <col min="3553" max="3553" width="10.42578125" customWidth="1"/>
    <col min="3554" max="3554" width="22.28515625" customWidth="1"/>
    <col min="3555" max="3555" width="12.140625" customWidth="1"/>
    <col min="3556" max="3556" width="6.7109375" customWidth="1"/>
    <col min="3557" max="3557" width="12.42578125" customWidth="1"/>
    <col min="3558" max="3558" width="10.7109375" customWidth="1"/>
    <col min="3559" max="3559" width="11.7109375" customWidth="1"/>
    <col min="3560" max="3560" width="3.42578125" customWidth="1"/>
    <col min="3561" max="3561" width="4.5703125" customWidth="1"/>
    <col min="3562" max="3562" width="3.7109375" customWidth="1"/>
    <col min="3563" max="3575" width="2.7109375" customWidth="1"/>
    <col min="3576" max="3576" width="5.28515625" customWidth="1"/>
    <col min="3577" max="3587" width="2.7109375" customWidth="1"/>
    <col min="3588" max="3588" width="2.5703125" customWidth="1"/>
    <col min="3589" max="3589" width="0" hidden="1" customWidth="1"/>
    <col min="3590" max="3590" width="11" customWidth="1"/>
    <col min="3591" max="3591" width="7.7109375" customWidth="1"/>
    <col min="3592" max="3592" width="6.140625" customWidth="1"/>
    <col min="3593" max="3593" width="3.85546875" customWidth="1"/>
    <col min="3808" max="3808" width="5.7109375" customWidth="1"/>
    <col min="3809" max="3809" width="10.42578125" customWidth="1"/>
    <col min="3810" max="3810" width="22.28515625" customWidth="1"/>
    <col min="3811" max="3811" width="12.140625" customWidth="1"/>
    <col min="3812" max="3812" width="6.7109375" customWidth="1"/>
    <col min="3813" max="3813" width="12.42578125" customWidth="1"/>
    <col min="3814" max="3814" width="10.7109375" customWidth="1"/>
    <col min="3815" max="3815" width="11.7109375" customWidth="1"/>
    <col min="3816" max="3816" width="3.42578125" customWidth="1"/>
    <col min="3817" max="3817" width="4.5703125" customWidth="1"/>
    <col min="3818" max="3818" width="3.7109375" customWidth="1"/>
    <col min="3819" max="3831" width="2.7109375" customWidth="1"/>
    <col min="3832" max="3832" width="5.28515625" customWidth="1"/>
    <col min="3833" max="3843" width="2.7109375" customWidth="1"/>
    <col min="3844" max="3844" width="2.5703125" customWidth="1"/>
    <col min="3845" max="3845" width="0" hidden="1" customWidth="1"/>
    <col min="3846" max="3846" width="11" customWidth="1"/>
    <col min="3847" max="3847" width="7.7109375" customWidth="1"/>
    <col min="3848" max="3848" width="6.140625" customWidth="1"/>
    <col min="3849" max="3849" width="3.85546875" customWidth="1"/>
    <col min="4064" max="4064" width="5.7109375" customWidth="1"/>
    <col min="4065" max="4065" width="10.42578125" customWidth="1"/>
    <col min="4066" max="4066" width="22.28515625" customWidth="1"/>
    <col min="4067" max="4067" width="12.140625" customWidth="1"/>
    <col min="4068" max="4068" width="6.7109375" customWidth="1"/>
    <col min="4069" max="4069" width="12.42578125" customWidth="1"/>
    <col min="4070" max="4070" width="10.7109375" customWidth="1"/>
    <col min="4071" max="4071" width="11.7109375" customWidth="1"/>
    <col min="4072" max="4072" width="3.42578125" customWidth="1"/>
    <col min="4073" max="4073" width="4.5703125" customWidth="1"/>
    <col min="4074" max="4074" width="3.7109375" customWidth="1"/>
    <col min="4075" max="4087" width="2.7109375" customWidth="1"/>
    <col min="4088" max="4088" width="5.28515625" customWidth="1"/>
    <col min="4089" max="4099" width="2.7109375" customWidth="1"/>
    <col min="4100" max="4100" width="2.5703125" customWidth="1"/>
    <col min="4101" max="4101" width="0" hidden="1" customWidth="1"/>
    <col min="4102" max="4102" width="11" customWidth="1"/>
    <col min="4103" max="4103" width="7.7109375" customWidth="1"/>
    <col min="4104" max="4104" width="6.140625" customWidth="1"/>
    <col min="4105" max="4105" width="3.85546875" customWidth="1"/>
    <col min="4320" max="4320" width="5.7109375" customWidth="1"/>
    <col min="4321" max="4321" width="10.42578125" customWidth="1"/>
    <col min="4322" max="4322" width="22.28515625" customWidth="1"/>
    <col min="4323" max="4323" width="12.140625" customWidth="1"/>
    <col min="4324" max="4324" width="6.7109375" customWidth="1"/>
    <col min="4325" max="4325" width="12.42578125" customWidth="1"/>
    <col min="4326" max="4326" width="10.7109375" customWidth="1"/>
    <col min="4327" max="4327" width="11.7109375" customWidth="1"/>
    <col min="4328" max="4328" width="3.42578125" customWidth="1"/>
    <col min="4329" max="4329" width="4.5703125" customWidth="1"/>
    <col min="4330" max="4330" width="3.7109375" customWidth="1"/>
    <col min="4331" max="4343" width="2.7109375" customWidth="1"/>
    <col min="4344" max="4344" width="5.28515625" customWidth="1"/>
    <col min="4345" max="4355" width="2.7109375" customWidth="1"/>
    <col min="4356" max="4356" width="2.5703125" customWidth="1"/>
    <col min="4357" max="4357" width="0" hidden="1" customWidth="1"/>
    <col min="4358" max="4358" width="11" customWidth="1"/>
    <col min="4359" max="4359" width="7.7109375" customWidth="1"/>
    <col min="4360" max="4360" width="6.140625" customWidth="1"/>
    <col min="4361" max="4361" width="3.85546875" customWidth="1"/>
    <col min="4576" max="4576" width="5.7109375" customWidth="1"/>
    <col min="4577" max="4577" width="10.42578125" customWidth="1"/>
    <col min="4578" max="4578" width="22.28515625" customWidth="1"/>
    <col min="4579" max="4579" width="12.140625" customWidth="1"/>
    <col min="4580" max="4580" width="6.7109375" customWidth="1"/>
    <col min="4581" max="4581" width="12.42578125" customWidth="1"/>
    <col min="4582" max="4582" width="10.7109375" customWidth="1"/>
    <col min="4583" max="4583" width="11.7109375" customWidth="1"/>
    <col min="4584" max="4584" width="3.42578125" customWidth="1"/>
    <col min="4585" max="4585" width="4.5703125" customWidth="1"/>
    <col min="4586" max="4586" width="3.7109375" customWidth="1"/>
    <col min="4587" max="4599" width="2.7109375" customWidth="1"/>
    <col min="4600" max="4600" width="5.28515625" customWidth="1"/>
    <col min="4601" max="4611" width="2.7109375" customWidth="1"/>
    <col min="4612" max="4612" width="2.5703125" customWidth="1"/>
    <col min="4613" max="4613" width="0" hidden="1" customWidth="1"/>
    <col min="4614" max="4614" width="11" customWidth="1"/>
    <col min="4615" max="4615" width="7.7109375" customWidth="1"/>
    <col min="4616" max="4616" width="6.140625" customWidth="1"/>
    <col min="4617" max="4617" width="3.85546875" customWidth="1"/>
    <col min="4832" max="4832" width="5.7109375" customWidth="1"/>
    <col min="4833" max="4833" width="10.42578125" customWidth="1"/>
    <col min="4834" max="4834" width="22.28515625" customWidth="1"/>
    <col min="4835" max="4835" width="12.140625" customWidth="1"/>
    <col min="4836" max="4836" width="6.7109375" customWidth="1"/>
    <col min="4837" max="4837" width="12.42578125" customWidth="1"/>
    <col min="4838" max="4838" width="10.7109375" customWidth="1"/>
    <col min="4839" max="4839" width="11.7109375" customWidth="1"/>
    <col min="4840" max="4840" width="3.42578125" customWidth="1"/>
    <col min="4841" max="4841" width="4.5703125" customWidth="1"/>
    <col min="4842" max="4842" width="3.7109375" customWidth="1"/>
    <col min="4843" max="4855" width="2.7109375" customWidth="1"/>
    <col min="4856" max="4856" width="5.28515625" customWidth="1"/>
    <col min="4857" max="4867" width="2.7109375" customWidth="1"/>
    <col min="4868" max="4868" width="2.5703125" customWidth="1"/>
    <col min="4869" max="4869" width="0" hidden="1" customWidth="1"/>
    <col min="4870" max="4870" width="11" customWidth="1"/>
    <col min="4871" max="4871" width="7.7109375" customWidth="1"/>
    <col min="4872" max="4872" width="6.140625" customWidth="1"/>
    <col min="4873" max="4873" width="3.85546875" customWidth="1"/>
    <col min="5088" max="5088" width="5.7109375" customWidth="1"/>
    <col min="5089" max="5089" width="10.42578125" customWidth="1"/>
    <col min="5090" max="5090" width="22.28515625" customWidth="1"/>
    <col min="5091" max="5091" width="12.140625" customWidth="1"/>
    <col min="5092" max="5092" width="6.7109375" customWidth="1"/>
    <col min="5093" max="5093" width="12.42578125" customWidth="1"/>
    <col min="5094" max="5094" width="10.7109375" customWidth="1"/>
    <col min="5095" max="5095" width="11.7109375" customWidth="1"/>
    <col min="5096" max="5096" width="3.42578125" customWidth="1"/>
    <col min="5097" max="5097" width="4.5703125" customWidth="1"/>
    <col min="5098" max="5098" width="3.7109375" customWidth="1"/>
    <col min="5099" max="5111" width="2.7109375" customWidth="1"/>
    <col min="5112" max="5112" width="5.28515625" customWidth="1"/>
    <col min="5113" max="5123" width="2.7109375" customWidth="1"/>
    <col min="5124" max="5124" width="2.5703125" customWidth="1"/>
    <col min="5125" max="5125" width="0" hidden="1" customWidth="1"/>
    <col min="5126" max="5126" width="11" customWidth="1"/>
    <col min="5127" max="5127" width="7.7109375" customWidth="1"/>
    <col min="5128" max="5128" width="6.140625" customWidth="1"/>
    <col min="5129" max="5129" width="3.85546875" customWidth="1"/>
    <col min="5344" max="5344" width="5.7109375" customWidth="1"/>
    <col min="5345" max="5345" width="10.42578125" customWidth="1"/>
    <col min="5346" max="5346" width="22.28515625" customWidth="1"/>
    <col min="5347" max="5347" width="12.140625" customWidth="1"/>
    <col min="5348" max="5348" width="6.7109375" customWidth="1"/>
    <col min="5349" max="5349" width="12.42578125" customWidth="1"/>
    <col min="5350" max="5350" width="10.7109375" customWidth="1"/>
    <col min="5351" max="5351" width="11.7109375" customWidth="1"/>
    <col min="5352" max="5352" width="3.42578125" customWidth="1"/>
    <col min="5353" max="5353" width="4.5703125" customWidth="1"/>
    <col min="5354" max="5354" width="3.7109375" customWidth="1"/>
    <col min="5355" max="5367" width="2.7109375" customWidth="1"/>
    <col min="5368" max="5368" width="5.28515625" customWidth="1"/>
    <col min="5369" max="5379" width="2.7109375" customWidth="1"/>
    <col min="5380" max="5380" width="2.5703125" customWidth="1"/>
    <col min="5381" max="5381" width="0" hidden="1" customWidth="1"/>
    <col min="5382" max="5382" width="11" customWidth="1"/>
    <col min="5383" max="5383" width="7.7109375" customWidth="1"/>
    <col min="5384" max="5384" width="6.140625" customWidth="1"/>
    <col min="5385" max="5385" width="3.85546875" customWidth="1"/>
    <col min="5600" max="5600" width="5.7109375" customWidth="1"/>
    <col min="5601" max="5601" width="10.42578125" customWidth="1"/>
    <col min="5602" max="5602" width="22.28515625" customWidth="1"/>
    <col min="5603" max="5603" width="12.140625" customWidth="1"/>
    <col min="5604" max="5604" width="6.7109375" customWidth="1"/>
    <col min="5605" max="5605" width="12.42578125" customWidth="1"/>
    <col min="5606" max="5606" width="10.7109375" customWidth="1"/>
    <col min="5607" max="5607" width="11.7109375" customWidth="1"/>
    <col min="5608" max="5608" width="3.42578125" customWidth="1"/>
    <col min="5609" max="5609" width="4.5703125" customWidth="1"/>
    <col min="5610" max="5610" width="3.7109375" customWidth="1"/>
    <col min="5611" max="5623" width="2.7109375" customWidth="1"/>
    <col min="5624" max="5624" width="5.28515625" customWidth="1"/>
    <col min="5625" max="5635" width="2.7109375" customWidth="1"/>
    <col min="5636" max="5636" width="2.5703125" customWidth="1"/>
    <col min="5637" max="5637" width="0" hidden="1" customWidth="1"/>
    <col min="5638" max="5638" width="11" customWidth="1"/>
    <col min="5639" max="5639" width="7.7109375" customWidth="1"/>
    <col min="5640" max="5640" width="6.140625" customWidth="1"/>
    <col min="5641" max="5641" width="3.85546875" customWidth="1"/>
    <col min="5856" max="5856" width="5.7109375" customWidth="1"/>
    <col min="5857" max="5857" width="10.42578125" customWidth="1"/>
    <col min="5858" max="5858" width="22.28515625" customWidth="1"/>
    <col min="5859" max="5859" width="12.140625" customWidth="1"/>
    <col min="5860" max="5860" width="6.7109375" customWidth="1"/>
    <col min="5861" max="5861" width="12.42578125" customWidth="1"/>
    <col min="5862" max="5862" width="10.7109375" customWidth="1"/>
    <col min="5863" max="5863" width="11.7109375" customWidth="1"/>
    <col min="5864" max="5864" width="3.42578125" customWidth="1"/>
    <col min="5865" max="5865" width="4.5703125" customWidth="1"/>
    <col min="5866" max="5866" width="3.7109375" customWidth="1"/>
    <col min="5867" max="5879" width="2.7109375" customWidth="1"/>
    <col min="5880" max="5880" width="5.28515625" customWidth="1"/>
    <col min="5881" max="5891" width="2.7109375" customWidth="1"/>
    <col min="5892" max="5892" width="2.5703125" customWidth="1"/>
    <col min="5893" max="5893" width="0" hidden="1" customWidth="1"/>
    <col min="5894" max="5894" width="11" customWidth="1"/>
    <col min="5895" max="5895" width="7.7109375" customWidth="1"/>
    <col min="5896" max="5896" width="6.140625" customWidth="1"/>
    <col min="5897" max="5897" width="3.85546875" customWidth="1"/>
    <col min="6112" max="6112" width="5.7109375" customWidth="1"/>
    <col min="6113" max="6113" width="10.42578125" customWidth="1"/>
    <col min="6114" max="6114" width="22.28515625" customWidth="1"/>
    <col min="6115" max="6115" width="12.140625" customWidth="1"/>
    <col min="6116" max="6116" width="6.7109375" customWidth="1"/>
    <col min="6117" max="6117" width="12.42578125" customWidth="1"/>
    <col min="6118" max="6118" width="10.7109375" customWidth="1"/>
    <col min="6119" max="6119" width="11.7109375" customWidth="1"/>
    <col min="6120" max="6120" width="3.42578125" customWidth="1"/>
    <col min="6121" max="6121" width="4.5703125" customWidth="1"/>
    <col min="6122" max="6122" width="3.7109375" customWidth="1"/>
    <col min="6123" max="6135" width="2.7109375" customWidth="1"/>
    <col min="6136" max="6136" width="5.28515625" customWidth="1"/>
    <col min="6137" max="6147" width="2.7109375" customWidth="1"/>
    <col min="6148" max="6148" width="2.5703125" customWidth="1"/>
    <col min="6149" max="6149" width="0" hidden="1" customWidth="1"/>
    <col min="6150" max="6150" width="11" customWidth="1"/>
    <col min="6151" max="6151" width="7.7109375" customWidth="1"/>
    <col min="6152" max="6152" width="6.140625" customWidth="1"/>
    <col min="6153" max="6153" width="3.85546875" customWidth="1"/>
    <col min="6368" max="6368" width="5.7109375" customWidth="1"/>
    <col min="6369" max="6369" width="10.42578125" customWidth="1"/>
    <col min="6370" max="6370" width="22.28515625" customWidth="1"/>
    <col min="6371" max="6371" width="12.140625" customWidth="1"/>
    <col min="6372" max="6372" width="6.7109375" customWidth="1"/>
    <col min="6373" max="6373" width="12.42578125" customWidth="1"/>
    <col min="6374" max="6374" width="10.7109375" customWidth="1"/>
    <col min="6375" max="6375" width="11.7109375" customWidth="1"/>
    <col min="6376" max="6376" width="3.42578125" customWidth="1"/>
    <col min="6377" max="6377" width="4.5703125" customWidth="1"/>
    <col min="6378" max="6378" width="3.7109375" customWidth="1"/>
    <col min="6379" max="6391" width="2.7109375" customWidth="1"/>
    <col min="6392" max="6392" width="5.28515625" customWidth="1"/>
    <col min="6393" max="6403" width="2.7109375" customWidth="1"/>
    <col min="6404" max="6404" width="2.5703125" customWidth="1"/>
    <col min="6405" max="6405" width="0" hidden="1" customWidth="1"/>
    <col min="6406" max="6406" width="11" customWidth="1"/>
    <col min="6407" max="6407" width="7.7109375" customWidth="1"/>
    <col min="6408" max="6408" width="6.140625" customWidth="1"/>
    <col min="6409" max="6409" width="3.85546875" customWidth="1"/>
    <col min="6624" max="6624" width="5.7109375" customWidth="1"/>
    <col min="6625" max="6625" width="10.42578125" customWidth="1"/>
    <col min="6626" max="6626" width="22.28515625" customWidth="1"/>
    <col min="6627" max="6627" width="12.140625" customWidth="1"/>
    <col min="6628" max="6628" width="6.7109375" customWidth="1"/>
    <col min="6629" max="6629" width="12.42578125" customWidth="1"/>
    <col min="6630" max="6630" width="10.7109375" customWidth="1"/>
    <col min="6631" max="6631" width="11.7109375" customWidth="1"/>
    <col min="6632" max="6632" width="3.42578125" customWidth="1"/>
    <col min="6633" max="6633" width="4.5703125" customWidth="1"/>
    <col min="6634" max="6634" width="3.7109375" customWidth="1"/>
    <col min="6635" max="6647" width="2.7109375" customWidth="1"/>
    <col min="6648" max="6648" width="5.28515625" customWidth="1"/>
    <col min="6649" max="6659" width="2.7109375" customWidth="1"/>
    <col min="6660" max="6660" width="2.5703125" customWidth="1"/>
    <col min="6661" max="6661" width="0" hidden="1" customWidth="1"/>
    <col min="6662" max="6662" width="11" customWidth="1"/>
    <col min="6663" max="6663" width="7.7109375" customWidth="1"/>
    <col min="6664" max="6664" width="6.140625" customWidth="1"/>
    <col min="6665" max="6665" width="3.85546875" customWidth="1"/>
    <col min="6880" max="6880" width="5.7109375" customWidth="1"/>
    <col min="6881" max="6881" width="10.42578125" customWidth="1"/>
    <col min="6882" max="6882" width="22.28515625" customWidth="1"/>
    <col min="6883" max="6883" width="12.140625" customWidth="1"/>
    <col min="6884" max="6884" width="6.7109375" customWidth="1"/>
    <col min="6885" max="6885" width="12.42578125" customWidth="1"/>
    <col min="6886" max="6886" width="10.7109375" customWidth="1"/>
    <col min="6887" max="6887" width="11.7109375" customWidth="1"/>
    <col min="6888" max="6888" width="3.42578125" customWidth="1"/>
    <col min="6889" max="6889" width="4.5703125" customWidth="1"/>
    <col min="6890" max="6890" width="3.7109375" customWidth="1"/>
    <col min="6891" max="6903" width="2.7109375" customWidth="1"/>
    <col min="6904" max="6904" width="5.28515625" customWidth="1"/>
    <col min="6905" max="6915" width="2.7109375" customWidth="1"/>
    <col min="6916" max="6916" width="2.5703125" customWidth="1"/>
    <col min="6917" max="6917" width="0" hidden="1" customWidth="1"/>
    <col min="6918" max="6918" width="11" customWidth="1"/>
    <col min="6919" max="6919" width="7.7109375" customWidth="1"/>
    <col min="6920" max="6920" width="6.140625" customWidth="1"/>
    <col min="6921" max="6921" width="3.85546875" customWidth="1"/>
    <col min="7136" max="7136" width="5.7109375" customWidth="1"/>
    <col min="7137" max="7137" width="10.42578125" customWidth="1"/>
    <col min="7138" max="7138" width="22.28515625" customWidth="1"/>
    <col min="7139" max="7139" width="12.140625" customWidth="1"/>
    <col min="7140" max="7140" width="6.7109375" customWidth="1"/>
    <col min="7141" max="7141" width="12.42578125" customWidth="1"/>
    <col min="7142" max="7142" width="10.7109375" customWidth="1"/>
    <col min="7143" max="7143" width="11.7109375" customWidth="1"/>
    <col min="7144" max="7144" width="3.42578125" customWidth="1"/>
    <col min="7145" max="7145" width="4.5703125" customWidth="1"/>
    <col min="7146" max="7146" width="3.7109375" customWidth="1"/>
    <col min="7147" max="7159" width="2.7109375" customWidth="1"/>
    <col min="7160" max="7160" width="5.28515625" customWidth="1"/>
    <col min="7161" max="7171" width="2.7109375" customWidth="1"/>
    <col min="7172" max="7172" width="2.5703125" customWidth="1"/>
    <col min="7173" max="7173" width="0" hidden="1" customWidth="1"/>
    <col min="7174" max="7174" width="11" customWidth="1"/>
    <col min="7175" max="7175" width="7.7109375" customWidth="1"/>
    <col min="7176" max="7176" width="6.140625" customWidth="1"/>
    <col min="7177" max="7177" width="3.85546875" customWidth="1"/>
    <col min="7392" max="7392" width="5.7109375" customWidth="1"/>
    <col min="7393" max="7393" width="10.42578125" customWidth="1"/>
    <col min="7394" max="7394" width="22.28515625" customWidth="1"/>
    <col min="7395" max="7395" width="12.140625" customWidth="1"/>
    <col min="7396" max="7396" width="6.7109375" customWidth="1"/>
    <col min="7397" max="7397" width="12.42578125" customWidth="1"/>
    <col min="7398" max="7398" width="10.7109375" customWidth="1"/>
    <col min="7399" max="7399" width="11.7109375" customWidth="1"/>
    <col min="7400" max="7400" width="3.42578125" customWidth="1"/>
    <col min="7401" max="7401" width="4.5703125" customWidth="1"/>
    <col min="7402" max="7402" width="3.7109375" customWidth="1"/>
    <col min="7403" max="7415" width="2.7109375" customWidth="1"/>
    <col min="7416" max="7416" width="5.28515625" customWidth="1"/>
    <col min="7417" max="7427" width="2.7109375" customWidth="1"/>
    <col min="7428" max="7428" width="2.5703125" customWidth="1"/>
    <col min="7429" max="7429" width="0" hidden="1" customWidth="1"/>
    <col min="7430" max="7430" width="11" customWidth="1"/>
    <col min="7431" max="7431" width="7.7109375" customWidth="1"/>
    <col min="7432" max="7432" width="6.140625" customWidth="1"/>
    <col min="7433" max="7433" width="3.85546875" customWidth="1"/>
    <col min="7648" max="7648" width="5.7109375" customWidth="1"/>
    <col min="7649" max="7649" width="10.42578125" customWidth="1"/>
    <col min="7650" max="7650" width="22.28515625" customWidth="1"/>
    <col min="7651" max="7651" width="12.140625" customWidth="1"/>
    <col min="7652" max="7652" width="6.7109375" customWidth="1"/>
    <col min="7653" max="7653" width="12.42578125" customWidth="1"/>
    <col min="7654" max="7654" width="10.7109375" customWidth="1"/>
    <col min="7655" max="7655" width="11.7109375" customWidth="1"/>
    <col min="7656" max="7656" width="3.42578125" customWidth="1"/>
    <col min="7657" max="7657" width="4.5703125" customWidth="1"/>
    <col min="7658" max="7658" width="3.7109375" customWidth="1"/>
    <col min="7659" max="7671" width="2.7109375" customWidth="1"/>
    <col min="7672" max="7672" width="5.28515625" customWidth="1"/>
    <col min="7673" max="7683" width="2.7109375" customWidth="1"/>
    <col min="7684" max="7684" width="2.5703125" customWidth="1"/>
    <col min="7685" max="7685" width="0" hidden="1" customWidth="1"/>
    <col min="7686" max="7686" width="11" customWidth="1"/>
    <col min="7687" max="7687" width="7.7109375" customWidth="1"/>
    <col min="7688" max="7688" width="6.140625" customWidth="1"/>
    <col min="7689" max="7689" width="3.85546875" customWidth="1"/>
    <col min="7904" max="7904" width="5.7109375" customWidth="1"/>
    <col min="7905" max="7905" width="10.42578125" customWidth="1"/>
    <col min="7906" max="7906" width="22.28515625" customWidth="1"/>
    <col min="7907" max="7907" width="12.140625" customWidth="1"/>
    <col min="7908" max="7908" width="6.7109375" customWidth="1"/>
    <col min="7909" max="7909" width="12.42578125" customWidth="1"/>
    <col min="7910" max="7910" width="10.7109375" customWidth="1"/>
    <col min="7911" max="7911" width="11.7109375" customWidth="1"/>
    <col min="7912" max="7912" width="3.42578125" customWidth="1"/>
    <col min="7913" max="7913" width="4.5703125" customWidth="1"/>
    <col min="7914" max="7914" width="3.7109375" customWidth="1"/>
    <col min="7915" max="7927" width="2.7109375" customWidth="1"/>
    <col min="7928" max="7928" width="5.28515625" customWidth="1"/>
    <col min="7929" max="7939" width="2.7109375" customWidth="1"/>
    <col min="7940" max="7940" width="2.5703125" customWidth="1"/>
    <col min="7941" max="7941" width="0" hidden="1" customWidth="1"/>
    <col min="7942" max="7942" width="11" customWidth="1"/>
    <col min="7943" max="7943" width="7.7109375" customWidth="1"/>
    <col min="7944" max="7944" width="6.140625" customWidth="1"/>
    <col min="7945" max="7945" width="3.85546875" customWidth="1"/>
    <col min="8160" max="8160" width="5.7109375" customWidth="1"/>
    <col min="8161" max="8161" width="10.42578125" customWidth="1"/>
    <col min="8162" max="8162" width="22.28515625" customWidth="1"/>
    <col min="8163" max="8163" width="12.140625" customWidth="1"/>
    <col min="8164" max="8164" width="6.7109375" customWidth="1"/>
    <col min="8165" max="8165" width="12.42578125" customWidth="1"/>
    <col min="8166" max="8166" width="10.7109375" customWidth="1"/>
    <col min="8167" max="8167" width="11.7109375" customWidth="1"/>
    <col min="8168" max="8168" width="3.42578125" customWidth="1"/>
    <col min="8169" max="8169" width="4.5703125" customWidth="1"/>
    <col min="8170" max="8170" width="3.7109375" customWidth="1"/>
    <col min="8171" max="8183" width="2.7109375" customWidth="1"/>
    <col min="8184" max="8184" width="5.28515625" customWidth="1"/>
    <col min="8185" max="8195" width="2.7109375" customWidth="1"/>
    <col min="8196" max="8196" width="2.5703125" customWidth="1"/>
    <col min="8197" max="8197" width="0" hidden="1" customWidth="1"/>
    <col min="8198" max="8198" width="11" customWidth="1"/>
    <col min="8199" max="8199" width="7.7109375" customWidth="1"/>
    <col min="8200" max="8200" width="6.140625" customWidth="1"/>
    <col min="8201" max="8201" width="3.85546875" customWidth="1"/>
    <col min="8416" max="8416" width="5.7109375" customWidth="1"/>
    <col min="8417" max="8417" width="10.42578125" customWidth="1"/>
    <col min="8418" max="8418" width="22.28515625" customWidth="1"/>
    <col min="8419" max="8419" width="12.140625" customWidth="1"/>
    <col min="8420" max="8420" width="6.7109375" customWidth="1"/>
    <col min="8421" max="8421" width="12.42578125" customWidth="1"/>
    <col min="8422" max="8422" width="10.7109375" customWidth="1"/>
    <col min="8423" max="8423" width="11.7109375" customWidth="1"/>
    <col min="8424" max="8424" width="3.42578125" customWidth="1"/>
    <col min="8425" max="8425" width="4.5703125" customWidth="1"/>
    <col min="8426" max="8426" width="3.7109375" customWidth="1"/>
    <col min="8427" max="8439" width="2.7109375" customWidth="1"/>
    <col min="8440" max="8440" width="5.28515625" customWidth="1"/>
    <col min="8441" max="8451" width="2.7109375" customWidth="1"/>
    <col min="8452" max="8452" width="2.5703125" customWidth="1"/>
    <col min="8453" max="8453" width="0" hidden="1" customWidth="1"/>
    <col min="8454" max="8454" width="11" customWidth="1"/>
    <col min="8455" max="8455" width="7.7109375" customWidth="1"/>
    <col min="8456" max="8456" width="6.140625" customWidth="1"/>
    <col min="8457" max="8457" width="3.85546875" customWidth="1"/>
    <col min="8672" max="8672" width="5.7109375" customWidth="1"/>
    <col min="8673" max="8673" width="10.42578125" customWidth="1"/>
    <col min="8674" max="8674" width="22.28515625" customWidth="1"/>
    <col min="8675" max="8675" width="12.140625" customWidth="1"/>
    <col min="8676" max="8676" width="6.7109375" customWidth="1"/>
    <col min="8677" max="8677" width="12.42578125" customWidth="1"/>
    <col min="8678" max="8678" width="10.7109375" customWidth="1"/>
    <col min="8679" max="8679" width="11.7109375" customWidth="1"/>
    <col min="8680" max="8680" width="3.42578125" customWidth="1"/>
    <col min="8681" max="8681" width="4.5703125" customWidth="1"/>
    <col min="8682" max="8682" width="3.7109375" customWidth="1"/>
    <col min="8683" max="8695" width="2.7109375" customWidth="1"/>
    <col min="8696" max="8696" width="5.28515625" customWidth="1"/>
    <col min="8697" max="8707" width="2.7109375" customWidth="1"/>
    <col min="8708" max="8708" width="2.5703125" customWidth="1"/>
    <col min="8709" max="8709" width="0" hidden="1" customWidth="1"/>
    <col min="8710" max="8710" width="11" customWidth="1"/>
    <col min="8711" max="8711" width="7.7109375" customWidth="1"/>
    <col min="8712" max="8712" width="6.140625" customWidth="1"/>
    <col min="8713" max="8713" width="3.85546875" customWidth="1"/>
    <col min="8928" max="8928" width="5.7109375" customWidth="1"/>
    <col min="8929" max="8929" width="10.42578125" customWidth="1"/>
    <col min="8930" max="8930" width="22.28515625" customWidth="1"/>
    <col min="8931" max="8931" width="12.140625" customWidth="1"/>
    <col min="8932" max="8932" width="6.7109375" customWidth="1"/>
    <col min="8933" max="8933" width="12.42578125" customWidth="1"/>
    <col min="8934" max="8934" width="10.7109375" customWidth="1"/>
    <col min="8935" max="8935" width="11.7109375" customWidth="1"/>
    <col min="8936" max="8936" width="3.42578125" customWidth="1"/>
    <col min="8937" max="8937" width="4.5703125" customWidth="1"/>
    <col min="8938" max="8938" width="3.7109375" customWidth="1"/>
    <col min="8939" max="8951" width="2.7109375" customWidth="1"/>
    <col min="8952" max="8952" width="5.28515625" customWidth="1"/>
    <col min="8953" max="8963" width="2.7109375" customWidth="1"/>
    <col min="8964" max="8964" width="2.5703125" customWidth="1"/>
    <col min="8965" max="8965" width="0" hidden="1" customWidth="1"/>
    <col min="8966" max="8966" width="11" customWidth="1"/>
    <col min="8967" max="8967" width="7.7109375" customWidth="1"/>
    <col min="8968" max="8968" width="6.140625" customWidth="1"/>
    <col min="8969" max="8969" width="3.85546875" customWidth="1"/>
    <col min="9184" max="9184" width="5.7109375" customWidth="1"/>
    <col min="9185" max="9185" width="10.42578125" customWidth="1"/>
    <col min="9186" max="9186" width="22.28515625" customWidth="1"/>
    <col min="9187" max="9187" width="12.140625" customWidth="1"/>
    <col min="9188" max="9188" width="6.7109375" customWidth="1"/>
    <col min="9189" max="9189" width="12.42578125" customWidth="1"/>
    <col min="9190" max="9190" width="10.7109375" customWidth="1"/>
    <col min="9191" max="9191" width="11.7109375" customWidth="1"/>
    <col min="9192" max="9192" width="3.42578125" customWidth="1"/>
    <col min="9193" max="9193" width="4.5703125" customWidth="1"/>
    <col min="9194" max="9194" width="3.7109375" customWidth="1"/>
    <col min="9195" max="9207" width="2.7109375" customWidth="1"/>
    <col min="9208" max="9208" width="5.28515625" customWidth="1"/>
    <col min="9209" max="9219" width="2.7109375" customWidth="1"/>
    <col min="9220" max="9220" width="2.5703125" customWidth="1"/>
    <col min="9221" max="9221" width="0" hidden="1" customWidth="1"/>
    <col min="9222" max="9222" width="11" customWidth="1"/>
    <col min="9223" max="9223" width="7.7109375" customWidth="1"/>
    <col min="9224" max="9224" width="6.140625" customWidth="1"/>
    <col min="9225" max="9225" width="3.85546875" customWidth="1"/>
    <col min="9440" max="9440" width="5.7109375" customWidth="1"/>
    <col min="9441" max="9441" width="10.42578125" customWidth="1"/>
    <col min="9442" max="9442" width="22.28515625" customWidth="1"/>
    <col min="9443" max="9443" width="12.140625" customWidth="1"/>
    <col min="9444" max="9444" width="6.7109375" customWidth="1"/>
    <col min="9445" max="9445" width="12.42578125" customWidth="1"/>
    <col min="9446" max="9446" width="10.7109375" customWidth="1"/>
    <col min="9447" max="9447" width="11.7109375" customWidth="1"/>
    <col min="9448" max="9448" width="3.42578125" customWidth="1"/>
    <col min="9449" max="9449" width="4.5703125" customWidth="1"/>
    <col min="9450" max="9450" width="3.7109375" customWidth="1"/>
    <col min="9451" max="9463" width="2.7109375" customWidth="1"/>
    <col min="9464" max="9464" width="5.28515625" customWidth="1"/>
    <col min="9465" max="9475" width="2.7109375" customWidth="1"/>
    <col min="9476" max="9476" width="2.5703125" customWidth="1"/>
    <col min="9477" max="9477" width="0" hidden="1" customWidth="1"/>
    <col min="9478" max="9478" width="11" customWidth="1"/>
    <col min="9479" max="9479" width="7.7109375" customWidth="1"/>
    <col min="9480" max="9480" width="6.140625" customWidth="1"/>
    <col min="9481" max="9481" width="3.85546875" customWidth="1"/>
    <col min="9696" max="9696" width="5.7109375" customWidth="1"/>
    <col min="9697" max="9697" width="10.42578125" customWidth="1"/>
    <col min="9698" max="9698" width="22.28515625" customWidth="1"/>
    <col min="9699" max="9699" width="12.140625" customWidth="1"/>
    <col min="9700" max="9700" width="6.7109375" customWidth="1"/>
    <col min="9701" max="9701" width="12.42578125" customWidth="1"/>
    <col min="9702" max="9702" width="10.7109375" customWidth="1"/>
    <col min="9703" max="9703" width="11.7109375" customWidth="1"/>
    <col min="9704" max="9704" width="3.42578125" customWidth="1"/>
    <col min="9705" max="9705" width="4.5703125" customWidth="1"/>
    <col min="9706" max="9706" width="3.7109375" customWidth="1"/>
    <col min="9707" max="9719" width="2.7109375" customWidth="1"/>
    <col min="9720" max="9720" width="5.28515625" customWidth="1"/>
    <col min="9721" max="9731" width="2.7109375" customWidth="1"/>
    <col min="9732" max="9732" width="2.5703125" customWidth="1"/>
    <col min="9733" max="9733" width="0" hidden="1" customWidth="1"/>
    <col min="9734" max="9734" width="11" customWidth="1"/>
    <col min="9735" max="9735" width="7.7109375" customWidth="1"/>
    <col min="9736" max="9736" width="6.140625" customWidth="1"/>
    <col min="9737" max="9737" width="3.85546875" customWidth="1"/>
    <col min="9952" max="9952" width="5.7109375" customWidth="1"/>
    <col min="9953" max="9953" width="10.42578125" customWidth="1"/>
    <col min="9954" max="9954" width="22.28515625" customWidth="1"/>
    <col min="9955" max="9955" width="12.140625" customWidth="1"/>
    <col min="9956" max="9956" width="6.7109375" customWidth="1"/>
    <col min="9957" max="9957" width="12.42578125" customWidth="1"/>
    <col min="9958" max="9958" width="10.7109375" customWidth="1"/>
    <col min="9959" max="9959" width="11.7109375" customWidth="1"/>
    <col min="9960" max="9960" width="3.42578125" customWidth="1"/>
    <col min="9961" max="9961" width="4.5703125" customWidth="1"/>
    <col min="9962" max="9962" width="3.7109375" customWidth="1"/>
    <col min="9963" max="9975" width="2.7109375" customWidth="1"/>
    <col min="9976" max="9976" width="5.28515625" customWidth="1"/>
    <col min="9977" max="9987" width="2.7109375" customWidth="1"/>
    <col min="9988" max="9988" width="2.5703125" customWidth="1"/>
    <col min="9989" max="9989" width="0" hidden="1" customWidth="1"/>
    <col min="9990" max="9990" width="11" customWidth="1"/>
    <col min="9991" max="9991" width="7.7109375" customWidth="1"/>
    <col min="9992" max="9992" width="6.140625" customWidth="1"/>
    <col min="9993" max="9993" width="3.85546875" customWidth="1"/>
    <col min="10208" max="10208" width="5.7109375" customWidth="1"/>
    <col min="10209" max="10209" width="10.42578125" customWidth="1"/>
    <col min="10210" max="10210" width="22.28515625" customWidth="1"/>
    <col min="10211" max="10211" width="12.140625" customWidth="1"/>
    <col min="10212" max="10212" width="6.7109375" customWidth="1"/>
    <col min="10213" max="10213" width="12.42578125" customWidth="1"/>
    <col min="10214" max="10214" width="10.7109375" customWidth="1"/>
    <col min="10215" max="10215" width="11.7109375" customWidth="1"/>
    <col min="10216" max="10216" width="3.42578125" customWidth="1"/>
    <col min="10217" max="10217" width="4.5703125" customWidth="1"/>
    <col min="10218" max="10218" width="3.7109375" customWidth="1"/>
    <col min="10219" max="10231" width="2.7109375" customWidth="1"/>
    <col min="10232" max="10232" width="5.28515625" customWidth="1"/>
    <col min="10233" max="10243" width="2.7109375" customWidth="1"/>
    <col min="10244" max="10244" width="2.5703125" customWidth="1"/>
    <col min="10245" max="10245" width="0" hidden="1" customWidth="1"/>
    <col min="10246" max="10246" width="11" customWidth="1"/>
    <col min="10247" max="10247" width="7.7109375" customWidth="1"/>
    <col min="10248" max="10248" width="6.140625" customWidth="1"/>
    <col min="10249" max="10249" width="3.85546875" customWidth="1"/>
    <col min="10464" max="10464" width="5.7109375" customWidth="1"/>
    <col min="10465" max="10465" width="10.42578125" customWidth="1"/>
    <col min="10466" max="10466" width="22.28515625" customWidth="1"/>
    <col min="10467" max="10467" width="12.140625" customWidth="1"/>
    <col min="10468" max="10468" width="6.7109375" customWidth="1"/>
    <col min="10469" max="10469" width="12.42578125" customWidth="1"/>
    <col min="10470" max="10470" width="10.7109375" customWidth="1"/>
    <col min="10471" max="10471" width="11.7109375" customWidth="1"/>
    <col min="10472" max="10472" width="3.42578125" customWidth="1"/>
    <col min="10473" max="10473" width="4.5703125" customWidth="1"/>
    <col min="10474" max="10474" width="3.7109375" customWidth="1"/>
    <col min="10475" max="10487" width="2.7109375" customWidth="1"/>
    <col min="10488" max="10488" width="5.28515625" customWidth="1"/>
    <col min="10489" max="10499" width="2.7109375" customWidth="1"/>
    <col min="10500" max="10500" width="2.5703125" customWidth="1"/>
    <col min="10501" max="10501" width="0" hidden="1" customWidth="1"/>
    <col min="10502" max="10502" width="11" customWidth="1"/>
    <col min="10503" max="10503" width="7.7109375" customWidth="1"/>
    <col min="10504" max="10504" width="6.140625" customWidth="1"/>
    <col min="10505" max="10505" width="3.85546875" customWidth="1"/>
    <col min="10720" max="10720" width="5.7109375" customWidth="1"/>
    <col min="10721" max="10721" width="10.42578125" customWidth="1"/>
    <col min="10722" max="10722" width="22.28515625" customWidth="1"/>
    <col min="10723" max="10723" width="12.140625" customWidth="1"/>
    <col min="10724" max="10724" width="6.7109375" customWidth="1"/>
    <col min="10725" max="10725" width="12.42578125" customWidth="1"/>
    <col min="10726" max="10726" width="10.7109375" customWidth="1"/>
    <col min="10727" max="10727" width="11.7109375" customWidth="1"/>
    <col min="10728" max="10728" width="3.42578125" customWidth="1"/>
    <col min="10729" max="10729" width="4.5703125" customWidth="1"/>
    <col min="10730" max="10730" width="3.7109375" customWidth="1"/>
    <col min="10731" max="10743" width="2.7109375" customWidth="1"/>
    <col min="10744" max="10744" width="5.28515625" customWidth="1"/>
    <col min="10745" max="10755" width="2.7109375" customWidth="1"/>
    <col min="10756" max="10756" width="2.5703125" customWidth="1"/>
    <col min="10757" max="10757" width="0" hidden="1" customWidth="1"/>
    <col min="10758" max="10758" width="11" customWidth="1"/>
    <col min="10759" max="10759" width="7.7109375" customWidth="1"/>
    <col min="10760" max="10760" width="6.140625" customWidth="1"/>
    <col min="10761" max="10761" width="3.85546875" customWidth="1"/>
    <col min="10976" max="10976" width="5.7109375" customWidth="1"/>
    <col min="10977" max="10977" width="10.42578125" customWidth="1"/>
    <col min="10978" max="10978" width="22.28515625" customWidth="1"/>
    <col min="10979" max="10979" width="12.140625" customWidth="1"/>
    <col min="10980" max="10980" width="6.7109375" customWidth="1"/>
    <col min="10981" max="10981" width="12.42578125" customWidth="1"/>
    <col min="10982" max="10982" width="10.7109375" customWidth="1"/>
    <col min="10983" max="10983" width="11.7109375" customWidth="1"/>
    <col min="10984" max="10984" width="3.42578125" customWidth="1"/>
    <col min="10985" max="10985" width="4.5703125" customWidth="1"/>
    <col min="10986" max="10986" width="3.7109375" customWidth="1"/>
    <col min="10987" max="10999" width="2.7109375" customWidth="1"/>
    <col min="11000" max="11000" width="5.28515625" customWidth="1"/>
    <col min="11001" max="11011" width="2.7109375" customWidth="1"/>
    <col min="11012" max="11012" width="2.5703125" customWidth="1"/>
    <col min="11013" max="11013" width="0" hidden="1" customWidth="1"/>
    <col min="11014" max="11014" width="11" customWidth="1"/>
    <col min="11015" max="11015" width="7.7109375" customWidth="1"/>
    <col min="11016" max="11016" width="6.140625" customWidth="1"/>
    <col min="11017" max="11017" width="3.85546875" customWidth="1"/>
    <col min="11232" max="11232" width="5.7109375" customWidth="1"/>
    <col min="11233" max="11233" width="10.42578125" customWidth="1"/>
    <col min="11234" max="11234" width="22.28515625" customWidth="1"/>
    <col min="11235" max="11235" width="12.140625" customWidth="1"/>
    <col min="11236" max="11236" width="6.7109375" customWidth="1"/>
    <col min="11237" max="11237" width="12.42578125" customWidth="1"/>
    <col min="11238" max="11238" width="10.7109375" customWidth="1"/>
    <col min="11239" max="11239" width="11.7109375" customWidth="1"/>
    <col min="11240" max="11240" width="3.42578125" customWidth="1"/>
    <col min="11241" max="11241" width="4.5703125" customWidth="1"/>
    <col min="11242" max="11242" width="3.7109375" customWidth="1"/>
    <col min="11243" max="11255" width="2.7109375" customWidth="1"/>
    <col min="11256" max="11256" width="5.28515625" customWidth="1"/>
    <col min="11257" max="11267" width="2.7109375" customWidth="1"/>
    <col min="11268" max="11268" width="2.5703125" customWidth="1"/>
    <col min="11269" max="11269" width="0" hidden="1" customWidth="1"/>
    <col min="11270" max="11270" width="11" customWidth="1"/>
    <col min="11271" max="11271" width="7.7109375" customWidth="1"/>
    <col min="11272" max="11272" width="6.140625" customWidth="1"/>
    <col min="11273" max="11273" width="3.85546875" customWidth="1"/>
    <col min="11488" max="11488" width="5.7109375" customWidth="1"/>
    <col min="11489" max="11489" width="10.42578125" customWidth="1"/>
    <col min="11490" max="11490" width="22.28515625" customWidth="1"/>
    <col min="11491" max="11491" width="12.140625" customWidth="1"/>
    <col min="11492" max="11492" width="6.7109375" customWidth="1"/>
    <col min="11493" max="11493" width="12.42578125" customWidth="1"/>
    <col min="11494" max="11494" width="10.7109375" customWidth="1"/>
    <col min="11495" max="11495" width="11.7109375" customWidth="1"/>
    <col min="11496" max="11496" width="3.42578125" customWidth="1"/>
    <col min="11497" max="11497" width="4.5703125" customWidth="1"/>
    <col min="11498" max="11498" width="3.7109375" customWidth="1"/>
    <col min="11499" max="11511" width="2.7109375" customWidth="1"/>
    <col min="11512" max="11512" width="5.28515625" customWidth="1"/>
    <col min="11513" max="11523" width="2.7109375" customWidth="1"/>
    <col min="11524" max="11524" width="2.5703125" customWidth="1"/>
    <col min="11525" max="11525" width="0" hidden="1" customWidth="1"/>
    <col min="11526" max="11526" width="11" customWidth="1"/>
    <col min="11527" max="11527" width="7.7109375" customWidth="1"/>
    <col min="11528" max="11528" width="6.140625" customWidth="1"/>
    <col min="11529" max="11529" width="3.85546875" customWidth="1"/>
    <col min="11744" max="11744" width="5.7109375" customWidth="1"/>
    <col min="11745" max="11745" width="10.42578125" customWidth="1"/>
    <col min="11746" max="11746" width="22.28515625" customWidth="1"/>
    <col min="11747" max="11747" width="12.140625" customWidth="1"/>
    <col min="11748" max="11748" width="6.7109375" customWidth="1"/>
    <col min="11749" max="11749" width="12.42578125" customWidth="1"/>
    <col min="11750" max="11750" width="10.7109375" customWidth="1"/>
    <col min="11751" max="11751" width="11.7109375" customWidth="1"/>
    <col min="11752" max="11752" width="3.42578125" customWidth="1"/>
    <col min="11753" max="11753" width="4.5703125" customWidth="1"/>
    <col min="11754" max="11754" width="3.7109375" customWidth="1"/>
    <col min="11755" max="11767" width="2.7109375" customWidth="1"/>
    <col min="11768" max="11768" width="5.28515625" customWidth="1"/>
    <col min="11769" max="11779" width="2.7109375" customWidth="1"/>
    <col min="11780" max="11780" width="2.5703125" customWidth="1"/>
    <col min="11781" max="11781" width="0" hidden="1" customWidth="1"/>
    <col min="11782" max="11782" width="11" customWidth="1"/>
    <col min="11783" max="11783" width="7.7109375" customWidth="1"/>
    <col min="11784" max="11784" width="6.140625" customWidth="1"/>
    <col min="11785" max="11785" width="3.85546875" customWidth="1"/>
    <col min="12000" max="12000" width="5.7109375" customWidth="1"/>
    <col min="12001" max="12001" width="10.42578125" customWidth="1"/>
    <col min="12002" max="12002" width="22.28515625" customWidth="1"/>
    <col min="12003" max="12003" width="12.140625" customWidth="1"/>
    <col min="12004" max="12004" width="6.7109375" customWidth="1"/>
    <col min="12005" max="12005" width="12.42578125" customWidth="1"/>
    <col min="12006" max="12006" width="10.7109375" customWidth="1"/>
    <col min="12007" max="12007" width="11.7109375" customWidth="1"/>
    <col min="12008" max="12008" width="3.42578125" customWidth="1"/>
    <col min="12009" max="12009" width="4.5703125" customWidth="1"/>
    <col min="12010" max="12010" width="3.7109375" customWidth="1"/>
    <col min="12011" max="12023" width="2.7109375" customWidth="1"/>
    <col min="12024" max="12024" width="5.28515625" customWidth="1"/>
    <col min="12025" max="12035" width="2.7109375" customWidth="1"/>
    <col min="12036" max="12036" width="2.5703125" customWidth="1"/>
    <col min="12037" max="12037" width="0" hidden="1" customWidth="1"/>
    <col min="12038" max="12038" width="11" customWidth="1"/>
    <col min="12039" max="12039" width="7.7109375" customWidth="1"/>
    <col min="12040" max="12040" width="6.140625" customWidth="1"/>
    <col min="12041" max="12041" width="3.85546875" customWidth="1"/>
    <col min="12256" max="12256" width="5.7109375" customWidth="1"/>
    <col min="12257" max="12257" width="10.42578125" customWidth="1"/>
    <col min="12258" max="12258" width="22.28515625" customWidth="1"/>
    <col min="12259" max="12259" width="12.140625" customWidth="1"/>
    <col min="12260" max="12260" width="6.7109375" customWidth="1"/>
    <col min="12261" max="12261" width="12.42578125" customWidth="1"/>
    <col min="12262" max="12262" width="10.7109375" customWidth="1"/>
    <col min="12263" max="12263" width="11.7109375" customWidth="1"/>
    <col min="12264" max="12264" width="3.42578125" customWidth="1"/>
    <col min="12265" max="12265" width="4.5703125" customWidth="1"/>
    <col min="12266" max="12266" width="3.7109375" customWidth="1"/>
    <col min="12267" max="12279" width="2.7109375" customWidth="1"/>
    <col min="12280" max="12280" width="5.28515625" customWidth="1"/>
    <col min="12281" max="12291" width="2.7109375" customWidth="1"/>
    <col min="12292" max="12292" width="2.5703125" customWidth="1"/>
    <col min="12293" max="12293" width="0" hidden="1" customWidth="1"/>
    <col min="12294" max="12294" width="11" customWidth="1"/>
    <col min="12295" max="12295" width="7.7109375" customWidth="1"/>
    <col min="12296" max="12296" width="6.140625" customWidth="1"/>
    <col min="12297" max="12297" width="3.85546875" customWidth="1"/>
    <col min="12512" max="12512" width="5.7109375" customWidth="1"/>
    <col min="12513" max="12513" width="10.42578125" customWidth="1"/>
    <col min="12514" max="12514" width="22.28515625" customWidth="1"/>
    <col min="12515" max="12515" width="12.140625" customWidth="1"/>
    <col min="12516" max="12516" width="6.7109375" customWidth="1"/>
    <col min="12517" max="12517" width="12.42578125" customWidth="1"/>
    <col min="12518" max="12518" width="10.7109375" customWidth="1"/>
    <col min="12519" max="12519" width="11.7109375" customWidth="1"/>
    <col min="12520" max="12520" width="3.42578125" customWidth="1"/>
    <col min="12521" max="12521" width="4.5703125" customWidth="1"/>
    <col min="12522" max="12522" width="3.7109375" customWidth="1"/>
    <col min="12523" max="12535" width="2.7109375" customWidth="1"/>
    <col min="12536" max="12536" width="5.28515625" customWidth="1"/>
    <col min="12537" max="12547" width="2.7109375" customWidth="1"/>
    <col min="12548" max="12548" width="2.5703125" customWidth="1"/>
    <col min="12549" max="12549" width="0" hidden="1" customWidth="1"/>
    <col min="12550" max="12550" width="11" customWidth="1"/>
    <col min="12551" max="12551" width="7.7109375" customWidth="1"/>
    <col min="12552" max="12552" width="6.140625" customWidth="1"/>
    <col min="12553" max="12553" width="3.85546875" customWidth="1"/>
    <col min="12768" max="12768" width="5.7109375" customWidth="1"/>
    <col min="12769" max="12769" width="10.42578125" customWidth="1"/>
    <col min="12770" max="12770" width="22.28515625" customWidth="1"/>
    <col min="12771" max="12771" width="12.140625" customWidth="1"/>
    <col min="12772" max="12772" width="6.7109375" customWidth="1"/>
    <col min="12773" max="12773" width="12.42578125" customWidth="1"/>
    <col min="12774" max="12774" width="10.7109375" customWidth="1"/>
    <col min="12775" max="12775" width="11.7109375" customWidth="1"/>
    <col min="12776" max="12776" width="3.42578125" customWidth="1"/>
    <col min="12777" max="12777" width="4.5703125" customWidth="1"/>
    <col min="12778" max="12778" width="3.7109375" customWidth="1"/>
    <col min="12779" max="12791" width="2.7109375" customWidth="1"/>
    <col min="12792" max="12792" width="5.28515625" customWidth="1"/>
    <col min="12793" max="12803" width="2.7109375" customWidth="1"/>
    <col min="12804" max="12804" width="2.5703125" customWidth="1"/>
    <col min="12805" max="12805" width="0" hidden="1" customWidth="1"/>
    <col min="12806" max="12806" width="11" customWidth="1"/>
    <col min="12807" max="12807" width="7.7109375" customWidth="1"/>
    <col min="12808" max="12808" width="6.140625" customWidth="1"/>
    <col min="12809" max="12809" width="3.85546875" customWidth="1"/>
    <col min="13024" max="13024" width="5.7109375" customWidth="1"/>
    <col min="13025" max="13025" width="10.42578125" customWidth="1"/>
    <col min="13026" max="13026" width="22.28515625" customWidth="1"/>
    <col min="13027" max="13027" width="12.140625" customWidth="1"/>
    <col min="13028" max="13028" width="6.7109375" customWidth="1"/>
    <col min="13029" max="13029" width="12.42578125" customWidth="1"/>
    <col min="13030" max="13030" width="10.7109375" customWidth="1"/>
    <col min="13031" max="13031" width="11.7109375" customWidth="1"/>
    <col min="13032" max="13032" width="3.42578125" customWidth="1"/>
    <col min="13033" max="13033" width="4.5703125" customWidth="1"/>
    <col min="13034" max="13034" width="3.7109375" customWidth="1"/>
    <col min="13035" max="13047" width="2.7109375" customWidth="1"/>
    <col min="13048" max="13048" width="5.28515625" customWidth="1"/>
    <col min="13049" max="13059" width="2.7109375" customWidth="1"/>
    <col min="13060" max="13060" width="2.5703125" customWidth="1"/>
    <col min="13061" max="13061" width="0" hidden="1" customWidth="1"/>
    <col min="13062" max="13062" width="11" customWidth="1"/>
    <col min="13063" max="13063" width="7.7109375" customWidth="1"/>
    <col min="13064" max="13064" width="6.140625" customWidth="1"/>
    <col min="13065" max="13065" width="3.85546875" customWidth="1"/>
    <col min="13280" max="13280" width="5.7109375" customWidth="1"/>
    <col min="13281" max="13281" width="10.42578125" customWidth="1"/>
    <col min="13282" max="13282" width="22.28515625" customWidth="1"/>
    <col min="13283" max="13283" width="12.140625" customWidth="1"/>
    <col min="13284" max="13284" width="6.7109375" customWidth="1"/>
    <col min="13285" max="13285" width="12.42578125" customWidth="1"/>
    <col min="13286" max="13286" width="10.7109375" customWidth="1"/>
    <col min="13287" max="13287" width="11.7109375" customWidth="1"/>
    <col min="13288" max="13288" width="3.42578125" customWidth="1"/>
    <col min="13289" max="13289" width="4.5703125" customWidth="1"/>
    <col min="13290" max="13290" width="3.7109375" customWidth="1"/>
    <col min="13291" max="13303" width="2.7109375" customWidth="1"/>
    <col min="13304" max="13304" width="5.28515625" customWidth="1"/>
    <col min="13305" max="13315" width="2.7109375" customWidth="1"/>
    <col min="13316" max="13316" width="2.5703125" customWidth="1"/>
    <col min="13317" max="13317" width="0" hidden="1" customWidth="1"/>
    <col min="13318" max="13318" width="11" customWidth="1"/>
    <col min="13319" max="13319" width="7.7109375" customWidth="1"/>
    <col min="13320" max="13320" width="6.140625" customWidth="1"/>
    <col min="13321" max="13321" width="3.85546875" customWidth="1"/>
    <col min="13536" max="13536" width="5.7109375" customWidth="1"/>
    <col min="13537" max="13537" width="10.42578125" customWidth="1"/>
    <col min="13538" max="13538" width="22.28515625" customWidth="1"/>
    <col min="13539" max="13539" width="12.140625" customWidth="1"/>
    <col min="13540" max="13540" width="6.7109375" customWidth="1"/>
    <col min="13541" max="13541" width="12.42578125" customWidth="1"/>
    <col min="13542" max="13542" width="10.7109375" customWidth="1"/>
    <col min="13543" max="13543" width="11.7109375" customWidth="1"/>
    <col min="13544" max="13544" width="3.42578125" customWidth="1"/>
    <col min="13545" max="13545" width="4.5703125" customWidth="1"/>
    <col min="13546" max="13546" width="3.7109375" customWidth="1"/>
    <col min="13547" max="13559" width="2.7109375" customWidth="1"/>
    <col min="13560" max="13560" width="5.28515625" customWidth="1"/>
    <col min="13561" max="13571" width="2.7109375" customWidth="1"/>
    <col min="13572" max="13572" width="2.5703125" customWidth="1"/>
    <col min="13573" max="13573" width="0" hidden="1" customWidth="1"/>
    <col min="13574" max="13574" width="11" customWidth="1"/>
    <col min="13575" max="13575" width="7.7109375" customWidth="1"/>
    <col min="13576" max="13576" width="6.140625" customWidth="1"/>
    <col min="13577" max="13577" width="3.85546875" customWidth="1"/>
    <col min="13792" max="13792" width="5.7109375" customWidth="1"/>
    <col min="13793" max="13793" width="10.42578125" customWidth="1"/>
    <col min="13794" max="13794" width="22.28515625" customWidth="1"/>
    <col min="13795" max="13795" width="12.140625" customWidth="1"/>
    <col min="13796" max="13796" width="6.7109375" customWidth="1"/>
    <col min="13797" max="13797" width="12.42578125" customWidth="1"/>
    <col min="13798" max="13798" width="10.7109375" customWidth="1"/>
    <col min="13799" max="13799" width="11.7109375" customWidth="1"/>
    <col min="13800" max="13800" width="3.42578125" customWidth="1"/>
    <col min="13801" max="13801" width="4.5703125" customWidth="1"/>
    <col min="13802" max="13802" width="3.7109375" customWidth="1"/>
    <col min="13803" max="13815" width="2.7109375" customWidth="1"/>
    <col min="13816" max="13816" width="5.28515625" customWidth="1"/>
    <col min="13817" max="13827" width="2.7109375" customWidth="1"/>
    <col min="13828" max="13828" width="2.5703125" customWidth="1"/>
    <col min="13829" max="13829" width="0" hidden="1" customWidth="1"/>
    <col min="13830" max="13830" width="11" customWidth="1"/>
    <col min="13831" max="13831" width="7.7109375" customWidth="1"/>
    <col min="13832" max="13832" width="6.140625" customWidth="1"/>
    <col min="13833" max="13833" width="3.85546875" customWidth="1"/>
    <col min="14048" max="14048" width="5.7109375" customWidth="1"/>
    <col min="14049" max="14049" width="10.42578125" customWidth="1"/>
    <col min="14050" max="14050" width="22.28515625" customWidth="1"/>
    <col min="14051" max="14051" width="12.140625" customWidth="1"/>
    <col min="14052" max="14052" width="6.7109375" customWidth="1"/>
    <col min="14053" max="14053" width="12.42578125" customWidth="1"/>
    <col min="14054" max="14054" width="10.7109375" customWidth="1"/>
    <col min="14055" max="14055" width="11.7109375" customWidth="1"/>
    <col min="14056" max="14056" width="3.42578125" customWidth="1"/>
    <col min="14057" max="14057" width="4.5703125" customWidth="1"/>
    <col min="14058" max="14058" width="3.7109375" customWidth="1"/>
    <col min="14059" max="14071" width="2.7109375" customWidth="1"/>
    <col min="14072" max="14072" width="5.28515625" customWidth="1"/>
    <col min="14073" max="14083" width="2.7109375" customWidth="1"/>
    <col min="14084" max="14084" width="2.5703125" customWidth="1"/>
    <col min="14085" max="14085" width="0" hidden="1" customWidth="1"/>
    <col min="14086" max="14086" width="11" customWidth="1"/>
    <col min="14087" max="14087" width="7.7109375" customWidth="1"/>
    <col min="14088" max="14088" width="6.140625" customWidth="1"/>
    <col min="14089" max="14089" width="3.85546875" customWidth="1"/>
    <col min="14304" max="14304" width="5.7109375" customWidth="1"/>
    <col min="14305" max="14305" width="10.42578125" customWidth="1"/>
    <col min="14306" max="14306" width="22.28515625" customWidth="1"/>
    <col min="14307" max="14307" width="12.140625" customWidth="1"/>
    <col min="14308" max="14308" width="6.7109375" customWidth="1"/>
    <col min="14309" max="14309" width="12.42578125" customWidth="1"/>
    <col min="14310" max="14310" width="10.7109375" customWidth="1"/>
    <col min="14311" max="14311" width="11.7109375" customWidth="1"/>
    <col min="14312" max="14312" width="3.42578125" customWidth="1"/>
    <col min="14313" max="14313" width="4.5703125" customWidth="1"/>
    <col min="14314" max="14314" width="3.7109375" customWidth="1"/>
    <col min="14315" max="14327" width="2.7109375" customWidth="1"/>
    <col min="14328" max="14328" width="5.28515625" customWidth="1"/>
    <col min="14329" max="14339" width="2.7109375" customWidth="1"/>
    <col min="14340" max="14340" width="2.5703125" customWidth="1"/>
    <col min="14341" max="14341" width="0" hidden="1" customWidth="1"/>
    <col min="14342" max="14342" width="11" customWidth="1"/>
    <col min="14343" max="14343" width="7.7109375" customWidth="1"/>
    <col min="14344" max="14344" width="6.140625" customWidth="1"/>
    <col min="14345" max="14345" width="3.85546875" customWidth="1"/>
    <col min="14560" max="14560" width="5.7109375" customWidth="1"/>
    <col min="14561" max="14561" width="10.42578125" customWidth="1"/>
    <col min="14562" max="14562" width="22.28515625" customWidth="1"/>
    <col min="14563" max="14563" width="12.140625" customWidth="1"/>
    <col min="14564" max="14564" width="6.7109375" customWidth="1"/>
    <col min="14565" max="14565" width="12.42578125" customWidth="1"/>
    <col min="14566" max="14566" width="10.7109375" customWidth="1"/>
    <col min="14567" max="14567" width="11.7109375" customWidth="1"/>
    <col min="14568" max="14568" width="3.42578125" customWidth="1"/>
    <col min="14569" max="14569" width="4.5703125" customWidth="1"/>
    <col min="14570" max="14570" width="3.7109375" customWidth="1"/>
    <col min="14571" max="14583" width="2.7109375" customWidth="1"/>
    <col min="14584" max="14584" width="5.28515625" customWidth="1"/>
    <col min="14585" max="14595" width="2.7109375" customWidth="1"/>
    <col min="14596" max="14596" width="2.5703125" customWidth="1"/>
    <col min="14597" max="14597" width="0" hidden="1" customWidth="1"/>
    <col min="14598" max="14598" width="11" customWidth="1"/>
    <col min="14599" max="14599" width="7.7109375" customWidth="1"/>
    <col min="14600" max="14600" width="6.140625" customWidth="1"/>
    <col min="14601" max="14601" width="3.85546875" customWidth="1"/>
    <col min="14816" max="14816" width="5.7109375" customWidth="1"/>
    <col min="14817" max="14817" width="10.42578125" customWidth="1"/>
    <col min="14818" max="14818" width="22.28515625" customWidth="1"/>
    <col min="14819" max="14819" width="12.140625" customWidth="1"/>
    <col min="14820" max="14820" width="6.7109375" customWidth="1"/>
    <col min="14821" max="14821" width="12.42578125" customWidth="1"/>
    <col min="14822" max="14822" width="10.7109375" customWidth="1"/>
    <col min="14823" max="14823" width="11.7109375" customWidth="1"/>
    <col min="14824" max="14824" width="3.42578125" customWidth="1"/>
    <col min="14825" max="14825" width="4.5703125" customWidth="1"/>
    <col min="14826" max="14826" width="3.7109375" customWidth="1"/>
    <col min="14827" max="14839" width="2.7109375" customWidth="1"/>
    <col min="14840" max="14840" width="5.28515625" customWidth="1"/>
    <col min="14841" max="14851" width="2.7109375" customWidth="1"/>
    <col min="14852" max="14852" width="2.5703125" customWidth="1"/>
    <col min="14853" max="14853" width="0" hidden="1" customWidth="1"/>
    <col min="14854" max="14854" width="11" customWidth="1"/>
    <col min="14855" max="14855" width="7.7109375" customWidth="1"/>
    <col min="14856" max="14856" width="6.140625" customWidth="1"/>
    <col min="14857" max="14857" width="3.85546875" customWidth="1"/>
    <col min="15072" max="15072" width="5.7109375" customWidth="1"/>
    <col min="15073" max="15073" width="10.42578125" customWidth="1"/>
    <col min="15074" max="15074" width="22.28515625" customWidth="1"/>
    <col min="15075" max="15075" width="12.140625" customWidth="1"/>
    <col min="15076" max="15076" width="6.7109375" customWidth="1"/>
    <col min="15077" max="15077" width="12.42578125" customWidth="1"/>
    <col min="15078" max="15078" width="10.7109375" customWidth="1"/>
    <col min="15079" max="15079" width="11.7109375" customWidth="1"/>
    <col min="15080" max="15080" width="3.42578125" customWidth="1"/>
    <col min="15081" max="15081" width="4.5703125" customWidth="1"/>
    <col min="15082" max="15082" width="3.7109375" customWidth="1"/>
    <col min="15083" max="15095" width="2.7109375" customWidth="1"/>
    <col min="15096" max="15096" width="5.28515625" customWidth="1"/>
    <col min="15097" max="15107" width="2.7109375" customWidth="1"/>
    <col min="15108" max="15108" width="2.5703125" customWidth="1"/>
    <col min="15109" max="15109" width="0" hidden="1" customWidth="1"/>
    <col min="15110" max="15110" width="11" customWidth="1"/>
    <col min="15111" max="15111" width="7.7109375" customWidth="1"/>
    <col min="15112" max="15112" width="6.140625" customWidth="1"/>
    <col min="15113" max="15113" width="3.85546875" customWidth="1"/>
    <col min="15328" max="15328" width="5.7109375" customWidth="1"/>
    <col min="15329" max="15329" width="10.42578125" customWidth="1"/>
    <col min="15330" max="15330" width="22.28515625" customWidth="1"/>
    <col min="15331" max="15331" width="12.140625" customWidth="1"/>
    <col min="15332" max="15332" width="6.7109375" customWidth="1"/>
    <col min="15333" max="15333" width="12.42578125" customWidth="1"/>
    <col min="15334" max="15334" width="10.7109375" customWidth="1"/>
    <col min="15335" max="15335" width="11.7109375" customWidth="1"/>
    <col min="15336" max="15336" width="3.42578125" customWidth="1"/>
    <col min="15337" max="15337" width="4.5703125" customWidth="1"/>
    <col min="15338" max="15338" width="3.7109375" customWidth="1"/>
    <col min="15339" max="15351" width="2.7109375" customWidth="1"/>
    <col min="15352" max="15352" width="5.28515625" customWidth="1"/>
    <col min="15353" max="15363" width="2.7109375" customWidth="1"/>
    <col min="15364" max="15364" width="2.5703125" customWidth="1"/>
    <col min="15365" max="15365" width="0" hidden="1" customWidth="1"/>
    <col min="15366" max="15366" width="11" customWidth="1"/>
    <col min="15367" max="15367" width="7.7109375" customWidth="1"/>
    <col min="15368" max="15368" width="6.140625" customWidth="1"/>
    <col min="15369" max="15369" width="3.85546875" customWidth="1"/>
    <col min="15584" max="15584" width="5.7109375" customWidth="1"/>
    <col min="15585" max="15585" width="10.42578125" customWidth="1"/>
    <col min="15586" max="15586" width="22.28515625" customWidth="1"/>
    <col min="15587" max="15587" width="12.140625" customWidth="1"/>
    <col min="15588" max="15588" width="6.7109375" customWidth="1"/>
    <col min="15589" max="15589" width="12.42578125" customWidth="1"/>
    <col min="15590" max="15590" width="10.7109375" customWidth="1"/>
    <col min="15591" max="15591" width="11.7109375" customWidth="1"/>
    <col min="15592" max="15592" width="3.42578125" customWidth="1"/>
    <col min="15593" max="15593" width="4.5703125" customWidth="1"/>
    <col min="15594" max="15594" width="3.7109375" customWidth="1"/>
    <col min="15595" max="15607" width="2.7109375" customWidth="1"/>
    <col min="15608" max="15608" width="5.28515625" customWidth="1"/>
    <col min="15609" max="15619" width="2.7109375" customWidth="1"/>
    <col min="15620" max="15620" width="2.5703125" customWidth="1"/>
    <col min="15621" max="15621" width="0" hidden="1" customWidth="1"/>
    <col min="15622" max="15622" width="11" customWidth="1"/>
    <col min="15623" max="15623" width="7.7109375" customWidth="1"/>
    <col min="15624" max="15624" width="6.140625" customWidth="1"/>
    <col min="15625" max="15625" width="3.85546875" customWidth="1"/>
    <col min="15840" max="15840" width="5.7109375" customWidth="1"/>
    <col min="15841" max="15841" width="10.42578125" customWidth="1"/>
    <col min="15842" max="15842" width="22.28515625" customWidth="1"/>
    <col min="15843" max="15843" width="12.140625" customWidth="1"/>
    <col min="15844" max="15844" width="6.7109375" customWidth="1"/>
    <col min="15845" max="15845" width="12.42578125" customWidth="1"/>
    <col min="15846" max="15846" width="10.7109375" customWidth="1"/>
    <col min="15847" max="15847" width="11.7109375" customWidth="1"/>
    <col min="15848" max="15848" width="3.42578125" customWidth="1"/>
    <col min="15849" max="15849" width="4.5703125" customWidth="1"/>
    <col min="15850" max="15850" width="3.7109375" customWidth="1"/>
    <col min="15851" max="15863" width="2.7109375" customWidth="1"/>
    <col min="15864" max="15864" width="5.28515625" customWidth="1"/>
    <col min="15865" max="15875" width="2.7109375" customWidth="1"/>
    <col min="15876" max="15876" width="2.5703125" customWidth="1"/>
    <col min="15877" max="15877" width="0" hidden="1" customWidth="1"/>
    <col min="15878" max="15878" width="11" customWidth="1"/>
    <col min="15879" max="15879" width="7.7109375" customWidth="1"/>
    <col min="15880" max="15880" width="6.140625" customWidth="1"/>
    <col min="15881" max="15881" width="3.85546875" customWidth="1"/>
    <col min="16096" max="16096" width="5.7109375" customWidth="1"/>
    <col min="16097" max="16097" width="10.42578125" customWidth="1"/>
    <col min="16098" max="16098" width="22.28515625" customWidth="1"/>
    <col min="16099" max="16099" width="12.140625" customWidth="1"/>
    <col min="16100" max="16100" width="6.7109375" customWidth="1"/>
    <col min="16101" max="16101" width="12.42578125" customWidth="1"/>
    <col min="16102" max="16102" width="10.7109375" customWidth="1"/>
    <col min="16103" max="16103" width="11.7109375" customWidth="1"/>
    <col min="16104" max="16104" width="3.42578125" customWidth="1"/>
    <col min="16105" max="16105" width="4.5703125" customWidth="1"/>
    <col min="16106" max="16106" width="3.7109375" customWidth="1"/>
    <col min="16107" max="16119" width="2.7109375" customWidth="1"/>
    <col min="16120" max="16120" width="5.28515625" customWidth="1"/>
    <col min="16121" max="16131" width="2.7109375" customWidth="1"/>
    <col min="16132" max="16132" width="2.5703125" customWidth="1"/>
    <col min="16133" max="16133" width="0" hidden="1" customWidth="1"/>
    <col min="16134" max="16134" width="11" customWidth="1"/>
    <col min="16135" max="16135" width="7.7109375" customWidth="1"/>
    <col min="16136" max="16136" width="6.140625" customWidth="1"/>
    <col min="16137" max="16137" width="3.85546875" customWidth="1"/>
  </cols>
  <sheetData>
    <row r="1" spans="1:11" ht="27.75" x14ac:dyDescent="0.4">
      <c r="A1" s="1029" t="s">
        <v>390</v>
      </c>
      <c r="D1" s="1030"/>
      <c r="J1"/>
      <c r="K1"/>
    </row>
    <row r="2" spans="1:11" x14ac:dyDescent="0.25">
      <c r="A2" s="1031" t="s">
        <v>391</v>
      </c>
      <c r="D2" s="1030"/>
      <c r="J2"/>
      <c r="K2"/>
    </row>
    <row r="3" spans="1:11" x14ac:dyDescent="0.25">
      <c r="A3" s="1032" t="s">
        <v>392</v>
      </c>
      <c r="J3"/>
      <c r="K3"/>
    </row>
    <row r="4" spans="1:11" ht="10.5" customHeight="1" x14ac:dyDescent="0.25">
      <c r="A4" s="1032"/>
      <c r="J4"/>
      <c r="K4"/>
    </row>
    <row r="5" spans="1:11" ht="15.75" x14ac:dyDescent="0.25">
      <c r="A5" s="1033" t="s">
        <v>393</v>
      </c>
      <c r="D5" s="1034">
        <v>1</v>
      </c>
      <c r="F5" s="1035" t="s">
        <v>394</v>
      </c>
      <c r="J5"/>
      <c r="K5"/>
    </row>
    <row r="6" spans="1:11" ht="10.5" customHeight="1" x14ac:dyDescent="0.25">
      <c r="J6"/>
      <c r="K6"/>
    </row>
    <row r="7" spans="1:11" x14ac:dyDescent="0.25">
      <c r="A7" s="1036" t="s">
        <v>9</v>
      </c>
      <c r="B7" s="1037" t="s">
        <v>395</v>
      </c>
      <c r="C7" s="1038"/>
      <c r="D7" s="1039" t="s">
        <v>42</v>
      </c>
      <c r="E7" s="1349" t="str">
        <f>Sommaire!C4</f>
        <v>.</v>
      </c>
      <c r="F7" s="1349"/>
      <c r="G7" s="1349"/>
      <c r="H7" s="1350"/>
      <c r="J7"/>
      <c r="K7"/>
    </row>
    <row r="8" spans="1:11" x14ac:dyDescent="0.25">
      <c r="A8" s="1040"/>
      <c r="B8" s="1041">
        <v>43794</v>
      </c>
      <c r="D8" s="1042"/>
      <c r="E8" s="1043"/>
      <c r="F8" s="1043"/>
      <c r="G8" s="1043"/>
      <c r="H8" s="1044"/>
      <c r="J8"/>
      <c r="K8"/>
    </row>
    <row r="9" spans="1:11" x14ac:dyDescent="0.25">
      <c r="A9" s="7"/>
      <c r="B9" s="8"/>
      <c r="C9" s="8"/>
      <c r="D9" s="1045" t="s">
        <v>396</v>
      </c>
      <c r="E9" s="1351"/>
      <c r="F9" s="1352"/>
      <c r="G9" s="677"/>
      <c r="H9" s="1046"/>
      <c r="J9"/>
      <c r="K9"/>
    </row>
    <row r="10" spans="1:11" x14ac:dyDescent="0.25">
      <c r="A10" s="1039" t="s">
        <v>397</v>
      </c>
      <c r="B10" s="1043" t="str">
        <f>Sommaire!C1</f>
        <v>-</v>
      </c>
      <c r="C10" s="1047"/>
      <c r="D10" s="1039" t="s">
        <v>398</v>
      </c>
      <c r="E10" s="1047"/>
      <c r="F10" s="1141"/>
      <c r="G10" s="1047"/>
      <c r="H10" s="1048"/>
      <c r="J10"/>
      <c r="K10"/>
    </row>
    <row r="11" spans="1:11" x14ac:dyDescent="0.25">
      <c r="A11" s="1040"/>
      <c r="B11" s="1049" t="str">
        <f>Sommaire!C2</f>
        <v>-</v>
      </c>
      <c r="D11" s="1040" t="s">
        <v>399</v>
      </c>
      <c r="F11" s="1050"/>
      <c r="H11" s="1051"/>
      <c r="J11"/>
      <c r="K11"/>
    </row>
    <row r="12" spans="1:11" ht="15.75" x14ac:dyDescent="0.25">
      <c r="A12" s="1040"/>
      <c r="B12" s="1049" t="str">
        <f>Sommaire!C3</f>
        <v>-</v>
      </c>
      <c r="D12" s="1052" t="s">
        <v>400</v>
      </c>
      <c r="E12" s="1053"/>
      <c r="F12" s="1035" t="s">
        <v>390</v>
      </c>
      <c r="G12" s="1033"/>
      <c r="H12" s="1051"/>
      <c r="J12"/>
      <c r="K12"/>
    </row>
    <row r="13" spans="1:11" x14ac:dyDescent="0.25">
      <c r="A13" s="7"/>
      <c r="B13" s="1054"/>
      <c r="C13" s="10"/>
      <c r="D13" s="7" t="s">
        <v>401</v>
      </c>
      <c r="E13" s="1055"/>
      <c r="F13" s="1056" t="s">
        <v>402</v>
      </c>
      <c r="G13" s="8"/>
      <c r="H13" s="10"/>
      <c r="J13"/>
      <c r="K13"/>
    </row>
    <row r="14" spans="1:11" x14ac:dyDescent="0.25">
      <c r="J14"/>
      <c r="K14"/>
    </row>
    <row r="15" spans="1:11" x14ac:dyDescent="0.25">
      <c r="A15" s="1057" t="s">
        <v>403</v>
      </c>
      <c r="B15" s="1047"/>
      <c r="C15" s="1048"/>
      <c r="D15" s="1058" t="s">
        <v>404</v>
      </c>
      <c r="E15" s="1059"/>
      <c r="F15" s="15" t="s">
        <v>405</v>
      </c>
      <c r="G15" s="1060"/>
      <c r="H15" s="1061" t="s">
        <v>406</v>
      </c>
      <c r="I15" s="1027"/>
      <c r="J15"/>
      <c r="K15"/>
    </row>
    <row r="16" spans="1:11" x14ac:dyDescent="0.25">
      <c r="A16" s="1040"/>
      <c r="C16" s="1062"/>
      <c r="D16" s="1063" t="s">
        <v>407</v>
      </c>
      <c r="E16" s="1064" t="s">
        <v>168</v>
      </c>
      <c r="F16" s="1064" t="s">
        <v>408</v>
      </c>
      <c r="G16" s="1064" t="s">
        <v>409</v>
      </c>
      <c r="H16" s="1065" t="s">
        <v>410</v>
      </c>
      <c r="I16" s="1027"/>
    </row>
    <row r="17" spans="1:12" x14ac:dyDescent="0.25">
      <c r="A17" s="1067"/>
      <c r="B17" s="1054"/>
      <c r="C17" s="10"/>
      <c r="D17" s="11"/>
      <c r="E17" s="1068"/>
      <c r="F17" s="1068"/>
      <c r="G17" s="1069" t="s">
        <v>411</v>
      </c>
      <c r="H17" s="1070" t="s">
        <v>412</v>
      </c>
      <c r="I17" s="1071"/>
    </row>
    <row r="18" spans="1:12" x14ac:dyDescent="0.25">
      <c r="A18" s="1072"/>
      <c r="B18" s="1073" t="s">
        <v>413</v>
      </c>
      <c r="C18" s="1074"/>
      <c r="D18" s="1075"/>
      <c r="E18" s="1076"/>
      <c r="F18" s="1077"/>
      <c r="G18" s="1078"/>
      <c r="H18" s="1078"/>
      <c r="I18" s="1079"/>
    </row>
    <row r="19" spans="1:12" ht="15" customHeight="1" x14ac:dyDescent="0.25">
      <c r="A19" s="1080">
        <v>1</v>
      </c>
      <c r="B19" s="1343" t="str">
        <f>Sommaire!C7</f>
        <v>.</v>
      </c>
      <c r="C19" s="1344"/>
      <c r="D19" s="1077" t="e">
        <f>Sommaire!O42</f>
        <v>#DIV/0!</v>
      </c>
      <c r="E19" s="1081">
        <v>1</v>
      </c>
      <c r="F19" s="1077" t="e">
        <f>E19*D19</f>
        <v>#DIV/0!</v>
      </c>
      <c r="G19" s="1082"/>
      <c r="H19" s="1082" t="e">
        <f>F19-G19</f>
        <v>#DIV/0!</v>
      </c>
      <c r="I19" s="1083"/>
    </row>
    <row r="20" spans="1:12" ht="15" customHeight="1" x14ac:dyDescent="0.25">
      <c r="A20" s="1080"/>
      <c r="B20" s="1343" t="str">
        <f>Sommaire!C8</f>
        <v>.</v>
      </c>
      <c r="C20" s="1344"/>
      <c r="D20" s="1077" t="e">
        <f>Sommaire!O43</f>
        <v>#DIV/0!</v>
      </c>
      <c r="E20" s="1081">
        <v>0</v>
      </c>
      <c r="F20" s="1077" t="e">
        <f t="shared" ref="F20:F33" si="0">E20*D20</f>
        <v>#DIV/0!</v>
      </c>
      <c r="G20" s="1082"/>
      <c r="H20" s="1082" t="e">
        <f t="shared" ref="H20:H33" si="1">F20-G20</f>
        <v>#DIV/0!</v>
      </c>
      <c r="I20" s="1083"/>
    </row>
    <row r="21" spans="1:12" ht="15" customHeight="1" x14ac:dyDescent="0.25">
      <c r="A21" s="1080"/>
      <c r="B21" s="1343" t="str">
        <f>Sommaire!C9</f>
        <v>.</v>
      </c>
      <c r="C21" s="1344"/>
      <c r="D21" s="1077" t="e">
        <f>Sommaire!O44</f>
        <v>#DIV/0!</v>
      </c>
      <c r="E21" s="1081">
        <v>0</v>
      </c>
      <c r="F21" s="1077" t="e">
        <f t="shared" si="0"/>
        <v>#DIV/0!</v>
      </c>
      <c r="G21" s="1082"/>
      <c r="H21" s="1082" t="e">
        <f t="shared" si="1"/>
        <v>#DIV/0!</v>
      </c>
      <c r="I21" s="1083"/>
    </row>
    <row r="22" spans="1:12" ht="15" customHeight="1" x14ac:dyDescent="0.25">
      <c r="A22" s="1080"/>
      <c r="B22" s="1343" t="str">
        <f>Sommaire!C10</f>
        <v>.</v>
      </c>
      <c r="C22" s="1344"/>
      <c r="D22" s="1077" t="e">
        <f>Sommaire!O45</f>
        <v>#DIV/0!</v>
      </c>
      <c r="E22" s="1081">
        <v>0</v>
      </c>
      <c r="F22" s="1077" t="e">
        <f t="shared" si="0"/>
        <v>#DIV/0!</v>
      </c>
      <c r="G22" s="1082"/>
      <c r="H22" s="1082" t="e">
        <f t="shared" si="1"/>
        <v>#DIV/0!</v>
      </c>
      <c r="I22" s="1083"/>
    </row>
    <row r="23" spans="1:12" ht="15" customHeight="1" x14ac:dyDescent="0.25">
      <c r="A23" s="1084"/>
      <c r="B23" s="1343" t="str">
        <f>Sommaire!C11</f>
        <v>.</v>
      </c>
      <c r="C23" s="1344"/>
      <c r="D23" s="1077" t="e">
        <f>Sommaire!O46</f>
        <v>#DIV/0!</v>
      </c>
      <c r="E23" s="1081">
        <v>0</v>
      </c>
      <c r="F23" s="1077" t="e">
        <f t="shared" si="0"/>
        <v>#DIV/0!</v>
      </c>
      <c r="G23" s="1082"/>
      <c r="H23" s="1082" t="e">
        <f t="shared" si="1"/>
        <v>#DIV/0!</v>
      </c>
      <c r="I23" s="1083"/>
    </row>
    <row r="24" spans="1:12" ht="15" customHeight="1" x14ac:dyDescent="0.25">
      <c r="A24" s="1085"/>
      <c r="B24" s="1343" t="str">
        <f>Sommaire!C12</f>
        <v>.</v>
      </c>
      <c r="C24" s="1344"/>
      <c r="D24" s="1077" t="e">
        <f>Sommaire!O47</f>
        <v>#DIV/0!</v>
      </c>
      <c r="E24" s="1081">
        <v>0</v>
      </c>
      <c r="F24" s="1077" t="e">
        <f t="shared" si="0"/>
        <v>#DIV/0!</v>
      </c>
      <c r="G24" s="1082"/>
      <c r="H24" s="1082" t="e">
        <f t="shared" si="1"/>
        <v>#DIV/0!</v>
      </c>
      <c r="I24" s="1079"/>
    </row>
    <row r="25" spans="1:12" ht="15" customHeight="1" x14ac:dyDescent="0.25">
      <c r="A25" s="1085"/>
      <c r="B25" s="1343" t="str">
        <f>Sommaire!C13</f>
        <v>.</v>
      </c>
      <c r="C25" s="1344"/>
      <c r="D25" s="1077" t="e">
        <f>Sommaire!O48</f>
        <v>#DIV/0!</v>
      </c>
      <c r="E25" s="1081">
        <v>0</v>
      </c>
      <c r="F25" s="1077" t="e">
        <f t="shared" si="0"/>
        <v>#DIV/0!</v>
      </c>
      <c r="G25" s="1082"/>
      <c r="H25" s="1082" t="e">
        <f t="shared" si="1"/>
        <v>#DIV/0!</v>
      </c>
      <c r="I25" s="1079"/>
    </row>
    <row r="26" spans="1:12" ht="15" customHeight="1" x14ac:dyDescent="0.25">
      <c r="A26" s="1086"/>
      <c r="B26" s="1343" t="str">
        <f>Sommaire!C14</f>
        <v>.</v>
      </c>
      <c r="C26" s="1344"/>
      <c r="D26" s="1077" t="e">
        <f>Sommaire!O49</f>
        <v>#DIV/0!</v>
      </c>
      <c r="E26" s="1081">
        <v>0</v>
      </c>
      <c r="F26" s="1077" t="e">
        <f t="shared" si="0"/>
        <v>#DIV/0!</v>
      </c>
      <c r="G26" s="1087"/>
      <c r="H26" s="1082" t="e">
        <f t="shared" si="1"/>
        <v>#DIV/0!</v>
      </c>
      <c r="I26" s="1079"/>
      <c r="J26" s="1088"/>
      <c r="K26" s="1088"/>
    </row>
    <row r="27" spans="1:12" ht="15" customHeight="1" x14ac:dyDescent="0.25">
      <c r="A27" s="1085"/>
      <c r="B27" s="1343" t="str">
        <f>Sommaire!C15</f>
        <v>.</v>
      </c>
      <c r="C27" s="1344"/>
      <c r="D27" s="1077" t="e">
        <f>Sommaire!O50</f>
        <v>#DIV/0!</v>
      </c>
      <c r="E27" s="1081">
        <v>0</v>
      </c>
      <c r="F27" s="1077" t="e">
        <f t="shared" si="0"/>
        <v>#DIV/0!</v>
      </c>
      <c r="G27" s="1082"/>
      <c r="H27" s="1082" t="e">
        <f t="shared" si="1"/>
        <v>#DIV/0!</v>
      </c>
      <c r="I27" s="1089"/>
    </row>
    <row r="28" spans="1:12" ht="15" customHeight="1" x14ac:dyDescent="0.25">
      <c r="A28" s="1085"/>
      <c r="B28" s="1343" t="str">
        <f>Sommaire!C16</f>
        <v>.</v>
      </c>
      <c r="C28" s="1344"/>
      <c r="D28" s="1077" t="e">
        <f>Sommaire!O51</f>
        <v>#DIV/0!</v>
      </c>
      <c r="E28" s="1081">
        <v>0</v>
      </c>
      <c r="F28" s="1077" t="e">
        <f t="shared" si="0"/>
        <v>#DIV/0!</v>
      </c>
      <c r="G28" s="1082"/>
      <c r="H28" s="1082" t="e">
        <f t="shared" si="1"/>
        <v>#DIV/0!</v>
      </c>
      <c r="I28" s="1079"/>
      <c r="L28" s="1090"/>
    </row>
    <row r="29" spans="1:12" ht="15" customHeight="1" x14ac:dyDescent="0.25">
      <c r="A29" s="1080"/>
      <c r="B29" s="1343" t="str">
        <f>Sommaire!C17</f>
        <v>.</v>
      </c>
      <c r="C29" s="1344"/>
      <c r="D29" s="1077" t="e">
        <f>Sommaire!O52</f>
        <v>#DIV/0!</v>
      </c>
      <c r="E29" s="1081">
        <v>0</v>
      </c>
      <c r="F29" s="1077" t="e">
        <f t="shared" si="0"/>
        <v>#DIV/0!</v>
      </c>
      <c r="G29" s="1082"/>
      <c r="H29" s="1082" t="e">
        <f t="shared" si="1"/>
        <v>#DIV/0!</v>
      </c>
      <c r="I29" s="1079"/>
    </row>
    <row r="30" spans="1:12" ht="15" customHeight="1" x14ac:dyDescent="0.25">
      <c r="A30" s="1091"/>
      <c r="B30" s="1343" t="str">
        <f>Sommaire!C18</f>
        <v>.</v>
      </c>
      <c r="C30" s="1344"/>
      <c r="D30" s="1077" t="e">
        <f>Sommaire!O53</f>
        <v>#DIV/0!</v>
      </c>
      <c r="E30" s="1081">
        <v>0</v>
      </c>
      <c r="F30" s="1077" t="e">
        <f t="shared" si="0"/>
        <v>#DIV/0!</v>
      </c>
      <c r="G30" s="1082"/>
      <c r="H30" s="1082" t="e">
        <f t="shared" si="1"/>
        <v>#DIV/0!</v>
      </c>
      <c r="I30" s="1079"/>
    </row>
    <row r="31" spans="1:12" x14ac:dyDescent="0.25">
      <c r="A31" s="1091"/>
      <c r="B31" s="1345"/>
      <c r="C31" s="1346"/>
      <c r="D31" s="1077" t="e">
        <f>Sommaire!O54</f>
        <v>#DIV/0!</v>
      </c>
      <c r="E31" s="1081">
        <v>0</v>
      </c>
      <c r="F31" s="1077" t="e">
        <f t="shared" si="0"/>
        <v>#DIV/0!</v>
      </c>
      <c r="G31" s="1082"/>
      <c r="H31" s="1082" t="e">
        <f t="shared" si="1"/>
        <v>#DIV/0!</v>
      </c>
      <c r="I31" s="1079"/>
    </row>
    <row r="32" spans="1:12" x14ac:dyDescent="0.25">
      <c r="A32" s="1091"/>
      <c r="B32" s="1347"/>
      <c r="C32" s="1348"/>
      <c r="D32" s="1077"/>
      <c r="E32" s="1081">
        <v>0</v>
      </c>
      <c r="F32" s="1077">
        <f t="shared" si="0"/>
        <v>0</v>
      </c>
      <c r="G32" s="1082"/>
      <c r="H32" s="1082">
        <f t="shared" si="1"/>
        <v>0</v>
      </c>
      <c r="I32" s="1079"/>
    </row>
    <row r="33" spans="1:11" x14ac:dyDescent="0.25">
      <c r="A33" s="1091"/>
      <c r="B33" s="1347"/>
      <c r="C33" s="1348"/>
      <c r="D33" s="1077"/>
      <c r="E33" s="1081">
        <v>0</v>
      </c>
      <c r="F33" s="1077">
        <f t="shared" si="0"/>
        <v>0</v>
      </c>
      <c r="G33" s="1082"/>
      <c r="H33" s="1082">
        <f t="shared" si="1"/>
        <v>0</v>
      </c>
      <c r="I33" s="1079"/>
    </row>
    <row r="34" spans="1:11" x14ac:dyDescent="0.25">
      <c r="A34" s="1091"/>
      <c r="B34" s="1341"/>
      <c r="C34" s="1342"/>
      <c r="D34" s="1077"/>
      <c r="E34" s="1081"/>
      <c r="F34" s="1077"/>
      <c r="G34" s="1082"/>
      <c r="H34" s="1093"/>
      <c r="I34" s="1094"/>
    </row>
    <row r="35" spans="1:11" x14ac:dyDescent="0.25">
      <c r="A35" s="1095"/>
      <c r="B35" s="1096"/>
      <c r="C35" s="1096"/>
      <c r="D35" s="1097" t="e">
        <f>SUM(D19:D34)</f>
        <v>#DIV/0!</v>
      </c>
      <c r="E35" s="1098" t="e">
        <f>F35/D35</f>
        <v>#DIV/0!</v>
      </c>
      <c r="F35" s="1099" t="e">
        <f>SUM(F19:F34)</f>
        <v>#DIV/0!</v>
      </c>
      <c r="G35" s="1099">
        <f>SUM(G19:G34)</f>
        <v>0</v>
      </c>
      <c r="H35" s="1099" t="e">
        <f>SUM(H19:H34)</f>
        <v>#DIV/0!</v>
      </c>
      <c r="I35" s="1079"/>
      <c r="J35"/>
      <c r="K35"/>
    </row>
    <row r="36" spans="1:11" x14ac:dyDescent="0.25">
      <c r="A36" s="1100"/>
      <c r="B36" s="1101" t="s">
        <v>414</v>
      </c>
      <c r="C36" s="1102"/>
      <c r="D36" s="1103"/>
      <c r="E36" s="1104"/>
      <c r="F36" s="1082"/>
      <c r="G36" s="1079"/>
      <c r="H36" s="1082"/>
      <c r="I36" s="1079"/>
      <c r="J36"/>
      <c r="K36"/>
    </row>
    <row r="37" spans="1:11" x14ac:dyDescent="0.25">
      <c r="A37" s="1105">
        <v>1</v>
      </c>
      <c r="B37" s="1106"/>
      <c r="C37" s="1107"/>
      <c r="D37" s="1108"/>
      <c r="E37" s="1104"/>
      <c r="F37" s="1082"/>
      <c r="G37" s="1079"/>
      <c r="H37" s="1082"/>
      <c r="I37" s="1079"/>
      <c r="J37"/>
      <c r="K37"/>
    </row>
    <row r="38" spans="1:11" x14ac:dyDescent="0.25">
      <c r="A38" s="1109">
        <v>2</v>
      </c>
      <c r="B38" s="1106"/>
      <c r="C38" s="1102"/>
      <c r="D38" s="1108"/>
      <c r="E38" s="1104"/>
      <c r="F38" s="1082"/>
      <c r="G38" s="1079"/>
      <c r="H38" s="1082"/>
      <c r="I38" s="1079"/>
      <c r="J38"/>
      <c r="K38"/>
    </row>
    <row r="39" spans="1:11" x14ac:dyDescent="0.25">
      <c r="A39" s="1110"/>
      <c r="B39" s="1106"/>
      <c r="C39" s="1102"/>
      <c r="D39" s="1108"/>
      <c r="E39" s="1104"/>
      <c r="F39" s="1082"/>
      <c r="G39" s="1079"/>
      <c r="H39" s="1082"/>
      <c r="I39" s="1079"/>
      <c r="J39"/>
      <c r="K39"/>
    </row>
    <row r="40" spans="1:11" x14ac:dyDescent="0.25">
      <c r="A40" s="1109"/>
      <c r="B40" s="1106"/>
      <c r="C40" s="1102"/>
      <c r="D40" s="1108"/>
      <c r="E40" s="1104"/>
      <c r="F40" s="1082"/>
      <c r="G40" s="1079"/>
      <c r="H40" s="1082"/>
      <c r="I40" s="1079"/>
      <c r="J40"/>
      <c r="K40"/>
    </row>
    <row r="41" spans="1:11" x14ac:dyDescent="0.25">
      <c r="A41" s="1109"/>
      <c r="B41" s="1106"/>
      <c r="C41" s="1102"/>
      <c r="D41" s="1108"/>
      <c r="E41" s="1104"/>
      <c r="F41" s="1082"/>
      <c r="G41" s="1079"/>
      <c r="H41" s="1082"/>
      <c r="I41" s="1079"/>
      <c r="J41"/>
      <c r="K41"/>
    </row>
    <row r="42" spans="1:11" x14ac:dyDescent="0.25">
      <c r="A42" s="1110"/>
      <c r="B42" s="1106"/>
      <c r="C42" s="1102"/>
      <c r="D42" s="1108"/>
      <c r="E42" s="1104"/>
      <c r="F42" s="1082"/>
      <c r="G42" s="1079"/>
      <c r="H42" s="1082"/>
      <c r="I42" s="1079"/>
      <c r="J42"/>
      <c r="K42"/>
    </row>
    <row r="43" spans="1:11" x14ac:dyDescent="0.25">
      <c r="A43" s="1111"/>
      <c r="B43" s="1102"/>
      <c r="C43" s="1092"/>
      <c r="D43" s="1111"/>
      <c r="E43" s="1111"/>
      <c r="F43" s="1111"/>
      <c r="G43" s="1111"/>
      <c r="H43" s="1111"/>
      <c r="I43" s="1102"/>
      <c r="K43"/>
    </row>
    <row r="44" spans="1:11" x14ac:dyDescent="0.25">
      <c r="A44" s="1095" t="s">
        <v>415</v>
      </c>
      <c r="B44" s="1096"/>
      <c r="C44" s="1096"/>
      <c r="D44" s="1112">
        <f>SUM(D36:D43)</f>
        <v>0</v>
      </c>
      <c r="E44" s="1113" t="e">
        <f>F44/D44</f>
        <v>#DIV/0!</v>
      </c>
      <c r="F44" s="1114">
        <f>SUM(F36:F43)</f>
        <v>0</v>
      </c>
      <c r="G44" s="1115">
        <f>SUM(G36:G43)</f>
        <v>0</v>
      </c>
      <c r="H44" s="1115">
        <f>SUM(H36:H43)</f>
        <v>0</v>
      </c>
      <c r="I44" s="1079"/>
      <c r="K44"/>
    </row>
    <row r="45" spans="1:11" x14ac:dyDescent="0.25">
      <c r="A45" s="1109"/>
      <c r="B45" s="1102"/>
      <c r="C45" s="1102"/>
      <c r="D45" s="1114"/>
      <c r="E45" s="1116"/>
      <c r="F45" s="1117"/>
      <c r="G45" s="1118"/>
      <c r="H45" s="1097"/>
      <c r="I45" s="1079"/>
      <c r="K45"/>
    </row>
    <row r="46" spans="1:11" x14ac:dyDescent="0.25">
      <c r="A46" s="1119" t="s">
        <v>416</v>
      </c>
      <c r="B46" s="1102"/>
      <c r="C46" s="1120"/>
      <c r="D46" s="1117">
        <v>0</v>
      </c>
      <c r="E46" s="1121"/>
      <c r="F46" s="1117" t="e">
        <f>F35+F44</f>
        <v>#DIV/0!</v>
      </c>
      <c r="G46" s="1122">
        <f>G35+G44</f>
        <v>0</v>
      </c>
      <c r="H46" s="1123" t="e">
        <f>(H35+H44)</f>
        <v>#DIV/0!</v>
      </c>
      <c r="I46" s="1124"/>
      <c r="K46"/>
    </row>
    <row r="47" spans="1:11" x14ac:dyDescent="0.25">
      <c r="A47" s="1106"/>
      <c r="B47" s="1125"/>
      <c r="C47" s="1120"/>
      <c r="D47" s="1114">
        <f>D46*0.05</f>
        <v>0</v>
      </c>
      <c r="E47" s="1116"/>
      <c r="F47" s="1114" t="e">
        <f>F46*0.05</f>
        <v>#DIV/0!</v>
      </c>
      <c r="G47" s="1097">
        <f>G46*0.05</f>
        <v>0</v>
      </c>
      <c r="H47" s="1126" t="e">
        <f>H46*5%</f>
        <v>#DIV/0!</v>
      </c>
      <c r="I47" s="1124"/>
      <c r="K47"/>
    </row>
    <row r="48" spans="1:11" x14ac:dyDescent="0.25">
      <c r="A48" s="1106"/>
      <c r="B48" s="1125"/>
      <c r="C48" s="1120"/>
      <c r="D48" s="1114">
        <f>D46*0.09975</f>
        <v>0</v>
      </c>
      <c r="E48" s="1102"/>
      <c r="F48" s="1114" t="e">
        <f>F46*0.09975</f>
        <v>#DIV/0!</v>
      </c>
      <c r="G48" s="1114">
        <f>G46*0.09975</f>
        <v>0</v>
      </c>
      <c r="H48" s="1127" t="e">
        <f>H46*0.09975</f>
        <v>#DIV/0!</v>
      </c>
      <c r="I48" s="1128"/>
      <c r="K48"/>
    </row>
    <row r="49" spans="1:11" x14ac:dyDescent="0.25">
      <c r="A49" s="1129" t="s">
        <v>417</v>
      </c>
      <c r="B49" s="1130"/>
      <c r="C49" s="1092"/>
      <c r="D49" s="1114">
        <f>D46+D47+D48</f>
        <v>0</v>
      </c>
      <c r="E49" s="1130"/>
      <c r="F49" s="1114" t="e">
        <f>F46+F47+F48</f>
        <v>#DIV/0!</v>
      </c>
      <c r="G49" s="1097">
        <f>G46+G47+G48</f>
        <v>0</v>
      </c>
      <c r="H49" s="1126" t="e">
        <f>H46+H47+H48</f>
        <v>#DIV/0!</v>
      </c>
      <c r="I49" s="1124"/>
      <c r="K49"/>
    </row>
    <row r="50" spans="1:11" x14ac:dyDescent="0.25">
      <c r="A50" s="1131" t="s">
        <v>418</v>
      </c>
      <c r="B50" s="1132"/>
      <c r="C50" s="1132"/>
      <c r="D50" s="1075"/>
      <c r="E50" s="1076">
        <v>0.1</v>
      </c>
      <c r="F50" s="1133" t="e">
        <f>F49*10%</f>
        <v>#DIV/0!</v>
      </c>
      <c r="G50" s="1078">
        <f>G49*10%</f>
        <v>0</v>
      </c>
      <c r="H50" s="1134" t="e">
        <f>H49*10%</f>
        <v>#DIV/0!</v>
      </c>
      <c r="I50" s="1124"/>
      <c r="J50"/>
      <c r="K50"/>
    </row>
    <row r="51" spans="1:11" x14ac:dyDescent="0.25">
      <c r="A51" s="1119"/>
      <c r="B51" s="1102"/>
      <c r="C51" s="1102"/>
      <c r="D51" s="1077"/>
      <c r="E51" s="1081"/>
      <c r="F51" s="1135">
        <v>0</v>
      </c>
      <c r="G51" s="1082">
        <v>0</v>
      </c>
      <c r="H51" s="1136">
        <v>0</v>
      </c>
      <c r="I51" s="1124"/>
      <c r="J51"/>
      <c r="K51"/>
    </row>
    <row r="52" spans="1:11" x14ac:dyDescent="0.25">
      <c r="A52" s="1129" t="s">
        <v>419</v>
      </c>
      <c r="B52" s="1130"/>
      <c r="C52" s="1130"/>
      <c r="D52" s="1117">
        <f>D49-D50</f>
        <v>0</v>
      </c>
      <c r="E52" s="1111"/>
      <c r="F52" s="1137" t="e">
        <f>+F49-F50-F51</f>
        <v>#DIV/0!</v>
      </c>
      <c r="G52" s="1138">
        <f>+G49-G50-G51</f>
        <v>0</v>
      </c>
      <c r="H52" s="1139" t="e">
        <f>+H49-H50-H51</f>
        <v>#DIV/0!</v>
      </c>
      <c r="I52" s="1140"/>
      <c r="J52"/>
      <c r="K52"/>
    </row>
    <row r="53" spans="1:11" x14ac:dyDescent="0.25">
      <c r="J53"/>
      <c r="K53"/>
    </row>
    <row r="54" spans="1:11" x14ac:dyDescent="0.25">
      <c r="A54" s="1049" t="s">
        <v>420</v>
      </c>
      <c r="B54" s="1049"/>
      <c r="C54" s="1049" t="s">
        <v>9</v>
      </c>
      <c r="D54" s="1049" t="s">
        <v>421</v>
      </c>
      <c r="E54" s="1049"/>
      <c r="J54"/>
      <c r="K54"/>
    </row>
    <row r="55" spans="1:11" x14ac:dyDescent="0.25">
      <c r="A55" s="1049"/>
      <c r="B55" s="1049"/>
      <c r="C55" s="1049"/>
      <c r="D55" s="1049"/>
      <c r="E55" s="1049"/>
      <c r="J55"/>
      <c r="K55"/>
    </row>
    <row r="56" spans="1:11" x14ac:dyDescent="0.25">
      <c r="A56" s="1049" t="s">
        <v>422</v>
      </c>
      <c r="B56" s="1049"/>
      <c r="C56" s="1049"/>
      <c r="D56" s="1049" t="s">
        <v>422</v>
      </c>
      <c r="E56" s="1049"/>
      <c r="J56"/>
      <c r="K56"/>
    </row>
    <row r="57" spans="1:11" x14ac:dyDescent="0.25">
      <c r="A57" s="1049" t="s">
        <v>423</v>
      </c>
      <c r="D57" s="1049" t="s">
        <v>424</v>
      </c>
      <c r="E57" s="1049"/>
      <c r="J57"/>
      <c r="K57"/>
    </row>
  </sheetData>
  <mergeCells count="18">
    <mergeCell ref="B22:C22"/>
    <mergeCell ref="E7:H7"/>
    <mergeCell ref="E9:F9"/>
    <mergeCell ref="B19:C19"/>
    <mergeCell ref="B20:C20"/>
    <mergeCell ref="B21:C21"/>
    <mergeCell ref="B34:C34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52"/>
  <sheetViews>
    <sheetView workbookViewId="0">
      <pane ySplit="3" topLeftCell="A34" activePane="bottomLeft" state="frozen"/>
      <selection pane="bottomLeft" activeCell="E55" sqref="E55"/>
    </sheetView>
  </sheetViews>
  <sheetFormatPr baseColWidth="10" defaultRowHeight="15" x14ac:dyDescent="0.25"/>
  <cols>
    <col min="1" max="1" width="20.28515625" customWidth="1"/>
    <col min="3" max="3" width="13" bestFit="1" customWidth="1"/>
    <col min="4" max="5" width="17.28515625" customWidth="1"/>
    <col min="6" max="6" width="15" customWidth="1"/>
    <col min="8" max="8" width="13" bestFit="1" customWidth="1"/>
    <col min="10" max="10" width="13" bestFit="1" customWidth="1"/>
  </cols>
  <sheetData>
    <row r="3" spans="1:10" x14ac:dyDescent="0.25">
      <c r="C3" t="s">
        <v>196</v>
      </c>
      <c r="D3" t="s">
        <v>235</v>
      </c>
      <c r="E3" t="s">
        <v>236</v>
      </c>
      <c r="F3" t="s">
        <v>237</v>
      </c>
      <c r="H3" t="s">
        <v>194</v>
      </c>
      <c r="J3" t="s">
        <v>198</v>
      </c>
    </row>
    <row r="5" spans="1:10" x14ac:dyDescent="0.25">
      <c r="A5" t="s">
        <v>195</v>
      </c>
      <c r="B5" t="s">
        <v>197</v>
      </c>
      <c r="C5" s="675"/>
      <c r="F5" s="675">
        <v>765122</v>
      </c>
      <c r="H5" s="675">
        <v>157182</v>
      </c>
      <c r="J5" s="676">
        <f>C5+F5+H5</f>
        <v>922304</v>
      </c>
    </row>
    <row r="6" spans="1:10" x14ac:dyDescent="0.25">
      <c r="A6" s="677" t="s">
        <v>206</v>
      </c>
      <c r="C6" s="675"/>
      <c r="F6" s="675"/>
      <c r="H6" s="675"/>
      <c r="J6" s="676">
        <f t="shared" ref="J6:J51" si="0">C6+F6+H6</f>
        <v>0</v>
      </c>
    </row>
    <row r="7" spans="1:10" x14ac:dyDescent="0.25">
      <c r="A7" t="s">
        <v>199</v>
      </c>
      <c r="C7" s="675"/>
      <c r="F7" s="675">
        <f>79429.12+9358.59+23853.98+19116.93+17560.96-19.28</f>
        <v>149300.29999999999</v>
      </c>
      <c r="H7" s="675">
        <v>8599.14</v>
      </c>
      <c r="J7" s="676">
        <f t="shared" si="0"/>
        <v>157899.44</v>
      </c>
    </row>
    <row r="8" spans="1:10" x14ac:dyDescent="0.25">
      <c r="A8" t="s">
        <v>210</v>
      </c>
      <c r="C8" s="675"/>
      <c r="F8" s="675">
        <v>80086.06</v>
      </c>
      <c r="H8" s="675">
        <v>1060</v>
      </c>
      <c r="J8" s="676">
        <f t="shared" si="0"/>
        <v>81146.06</v>
      </c>
    </row>
    <row r="9" spans="1:10" x14ac:dyDescent="0.25">
      <c r="A9" t="s">
        <v>200</v>
      </c>
      <c r="C9" s="675"/>
      <c r="F9" s="675"/>
      <c r="H9" s="675">
        <v>2807.82</v>
      </c>
      <c r="J9" s="676">
        <f t="shared" si="0"/>
        <v>2807.82</v>
      </c>
    </row>
    <row r="10" spans="1:10" x14ac:dyDescent="0.25">
      <c r="A10" s="681" t="s">
        <v>201</v>
      </c>
      <c r="C10" s="675">
        <v>1000</v>
      </c>
      <c r="F10" s="675">
        <v>1067.93</v>
      </c>
      <c r="H10" s="675"/>
      <c r="J10" s="676">
        <f t="shared" si="0"/>
        <v>2067.9300000000003</v>
      </c>
    </row>
    <row r="11" spans="1:10" x14ac:dyDescent="0.25">
      <c r="A11" t="s">
        <v>202</v>
      </c>
      <c r="C11" s="675">
        <v>4819.5</v>
      </c>
      <c r="F11" s="675">
        <v>4819.5</v>
      </c>
      <c r="H11" s="675">
        <f>4819.5+4819.5</f>
        <v>9639</v>
      </c>
      <c r="J11" s="676">
        <f t="shared" si="0"/>
        <v>19278</v>
      </c>
    </row>
    <row r="12" spans="1:10" x14ac:dyDescent="0.25">
      <c r="A12" t="s">
        <v>211</v>
      </c>
      <c r="F12">
        <f>-10439.77-31715.82+16000</f>
        <v>-26155.589999999997</v>
      </c>
      <c r="J12" s="676">
        <f t="shared" si="0"/>
        <v>-26155.589999999997</v>
      </c>
    </row>
    <row r="13" spans="1:10" x14ac:dyDescent="0.25">
      <c r="A13" t="s">
        <v>204</v>
      </c>
      <c r="C13" s="675">
        <v>350.61</v>
      </c>
      <c r="F13" s="675">
        <v>1555.62</v>
      </c>
      <c r="H13" s="675">
        <f>1555.62+350.61+84.98</f>
        <v>1991.21</v>
      </c>
      <c r="J13" s="676">
        <f t="shared" si="0"/>
        <v>3897.44</v>
      </c>
    </row>
    <row r="14" spans="1:10" x14ac:dyDescent="0.25">
      <c r="A14" t="s">
        <v>205</v>
      </c>
      <c r="C14" s="675"/>
      <c r="F14" s="675">
        <v>259</v>
      </c>
      <c r="H14" s="675"/>
      <c r="J14" s="676">
        <f t="shared" si="0"/>
        <v>259</v>
      </c>
    </row>
    <row r="15" spans="1:10" x14ac:dyDescent="0.25">
      <c r="A15" t="s">
        <v>207</v>
      </c>
      <c r="C15" s="675"/>
      <c r="F15" s="675">
        <v>6277.93</v>
      </c>
      <c r="H15" s="675"/>
      <c r="J15" s="676">
        <f t="shared" si="0"/>
        <v>6277.93</v>
      </c>
    </row>
    <row r="16" spans="1:10" x14ac:dyDescent="0.25">
      <c r="A16" s="133" t="s">
        <v>208</v>
      </c>
      <c r="C16" s="675"/>
      <c r="F16" s="675">
        <f>6706.72+593.59</f>
        <v>7300.31</v>
      </c>
      <c r="H16" s="675"/>
      <c r="J16" s="676">
        <f t="shared" si="0"/>
        <v>7300.31</v>
      </c>
    </row>
    <row r="17" spans="1:10" x14ac:dyDescent="0.25">
      <c r="F17" s="675"/>
    </row>
    <row r="18" spans="1:10" x14ac:dyDescent="0.25">
      <c r="C18" s="675"/>
      <c r="F18" s="675"/>
      <c r="H18" s="675"/>
      <c r="J18" s="676">
        <f t="shared" si="0"/>
        <v>0</v>
      </c>
    </row>
    <row r="19" spans="1:10" x14ac:dyDescent="0.25">
      <c r="A19" t="s">
        <v>212</v>
      </c>
      <c r="C19" s="675"/>
      <c r="F19" s="675"/>
      <c r="H19" s="675"/>
      <c r="J19" s="676">
        <f>SUM(J7:J18)</f>
        <v>254778.34</v>
      </c>
    </row>
    <row r="20" spans="1:10" x14ac:dyDescent="0.25">
      <c r="C20" s="675"/>
      <c r="F20" s="675"/>
      <c r="H20" s="675"/>
      <c r="J20" s="676"/>
    </row>
    <row r="21" spans="1:10" x14ac:dyDescent="0.25">
      <c r="A21" t="s">
        <v>215</v>
      </c>
      <c r="C21" s="675">
        <f>111201+1532.88+10061.94+246.97+4615.65+239.54+1419.23</f>
        <v>129317.20999999999</v>
      </c>
      <c r="F21" s="675">
        <f>176438.07+9063.57+22663.59+6437.95+1491.98</f>
        <v>216095.16000000003</v>
      </c>
      <c r="H21" s="675">
        <f>47161.61+6121.01+5321.68+7195.22+9314.46+9308.04</f>
        <v>84422.020000000019</v>
      </c>
      <c r="J21" s="676">
        <f t="shared" ref="J21:J24" si="1">C21+F21+H21</f>
        <v>429834.39</v>
      </c>
    </row>
    <row r="22" spans="1:10" x14ac:dyDescent="0.25">
      <c r="C22" s="675"/>
      <c r="F22" s="675"/>
      <c r="H22" s="675"/>
      <c r="J22" s="676">
        <f t="shared" si="1"/>
        <v>0</v>
      </c>
    </row>
    <row r="23" spans="1:10" x14ac:dyDescent="0.25">
      <c r="C23" s="675"/>
      <c r="F23" s="675"/>
      <c r="H23" s="675"/>
      <c r="J23" s="676">
        <f t="shared" si="1"/>
        <v>0</v>
      </c>
    </row>
    <row r="24" spans="1:10" x14ac:dyDescent="0.25">
      <c r="A24" s="677" t="s">
        <v>213</v>
      </c>
      <c r="C24" s="675"/>
      <c r="F24" s="675"/>
      <c r="H24" s="675"/>
      <c r="J24" s="676">
        <f t="shared" si="1"/>
        <v>0</v>
      </c>
    </row>
    <row r="25" spans="1:10" x14ac:dyDescent="0.25">
      <c r="A25" s="681" t="s">
        <v>203</v>
      </c>
      <c r="C25" s="675">
        <v>5692.67</v>
      </c>
      <c r="F25" s="675">
        <v>5692.67</v>
      </c>
      <c r="H25" s="675">
        <f>5692.67+5692.67</f>
        <v>11385.34</v>
      </c>
      <c r="J25" s="676">
        <f>C25+F25+H25</f>
        <v>22770.68</v>
      </c>
    </row>
    <row r="26" spans="1:10" x14ac:dyDescent="0.25">
      <c r="A26" s="682" t="s">
        <v>209</v>
      </c>
      <c r="C26" s="675"/>
      <c r="F26" s="675">
        <v>4335.09</v>
      </c>
      <c r="H26" s="675"/>
      <c r="J26" s="676">
        <f>C26+F26+H26</f>
        <v>4335.09</v>
      </c>
    </row>
    <row r="27" spans="1:10" x14ac:dyDescent="0.25">
      <c r="A27" s="682" t="s">
        <v>214</v>
      </c>
      <c r="C27" s="675"/>
      <c r="F27" s="675">
        <v>12025</v>
      </c>
      <c r="H27" s="675"/>
      <c r="J27" s="676">
        <f t="shared" si="0"/>
        <v>12025</v>
      </c>
    </row>
    <row r="28" spans="1:10" x14ac:dyDescent="0.25">
      <c r="A28" t="s">
        <v>216</v>
      </c>
      <c r="C28" s="675">
        <f>2790.69+565.54</f>
        <v>3356.23</v>
      </c>
      <c r="F28" s="675"/>
      <c r="H28" s="675"/>
      <c r="J28" s="676">
        <f t="shared" si="0"/>
        <v>3356.23</v>
      </c>
    </row>
    <row r="29" spans="1:10" x14ac:dyDescent="0.25">
      <c r="A29" t="s">
        <v>217</v>
      </c>
      <c r="C29" s="675">
        <f>6150</f>
        <v>6150</v>
      </c>
      <c r="F29" s="675"/>
      <c r="H29" s="675"/>
      <c r="J29" s="676">
        <f t="shared" si="0"/>
        <v>6150</v>
      </c>
    </row>
    <row r="30" spans="1:10" x14ac:dyDescent="0.25">
      <c r="A30" t="s">
        <v>218</v>
      </c>
      <c r="C30" s="675">
        <v>14824.39</v>
      </c>
      <c r="F30" s="675"/>
      <c r="H30" s="675"/>
      <c r="J30" s="676">
        <f t="shared" si="0"/>
        <v>14824.39</v>
      </c>
    </row>
    <row r="31" spans="1:10" x14ac:dyDescent="0.25">
      <c r="A31" t="s">
        <v>219</v>
      </c>
      <c r="C31" s="675">
        <v>433</v>
      </c>
      <c r="F31" s="675">
        <v>1489</v>
      </c>
      <c r="H31" s="675">
        <v>1494.85</v>
      </c>
      <c r="J31" s="676">
        <f t="shared" si="0"/>
        <v>3416.85</v>
      </c>
    </row>
    <row r="32" spans="1:10" x14ac:dyDescent="0.25">
      <c r="A32" t="s">
        <v>220</v>
      </c>
      <c r="C32" s="675">
        <v>11087.47</v>
      </c>
      <c r="F32" s="675"/>
      <c r="H32" s="675"/>
      <c r="J32" s="676">
        <f t="shared" si="0"/>
        <v>11087.47</v>
      </c>
    </row>
    <row r="33" spans="1:10" x14ac:dyDescent="0.25">
      <c r="A33" t="s">
        <v>221</v>
      </c>
      <c r="C33" s="675">
        <v>445</v>
      </c>
      <c r="F33" s="675"/>
      <c r="H33" s="675"/>
      <c r="J33" s="676">
        <f t="shared" si="0"/>
        <v>445</v>
      </c>
    </row>
    <row r="34" spans="1:10" x14ac:dyDescent="0.25">
      <c r="A34" t="s">
        <v>222</v>
      </c>
      <c r="C34" s="675">
        <f>3473.06</f>
        <v>3473.06</v>
      </c>
      <c r="F34" s="675"/>
      <c r="H34" s="675"/>
      <c r="J34" s="676">
        <f t="shared" si="0"/>
        <v>3473.06</v>
      </c>
    </row>
    <row r="35" spans="1:10" x14ac:dyDescent="0.25">
      <c r="A35" t="s">
        <v>223</v>
      </c>
      <c r="C35" s="675">
        <v>1169</v>
      </c>
      <c r="F35" s="675"/>
      <c r="H35" s="675"/>
      <c r="J35" s="676">
        <f t="shared" si="0"/>
        <v>1169</v>
      </c>
    </row>
    <row r="36" spans="1:10" x14ac:dyDescent="0.25">
      <c r="A36" t="s">
        <v>224</v>
      </c>
      <c r="C36" s="675">
        <f>7624.21-1092.31</f>
        <v>6531.9</v>
      </c>
      <c r="H36" s="675">
        <f>665+427.31</f>
        <v>1092.31</v>
      </c>
      <c r="J36" s="676">
        <f t="shared" si="0"/>
        <v>7624.2099999999991</v>
      </c>
    </row>
    <row r="37" spans="1:10" x14ac:dyDescent="0.25">
      <c r="A37" t="s">
        <v>225</v>
      </c>
      <c r="C37" s="675">
        <f>3151.12+532+593</f>
        <v>4276.12</v>
      </c>
      <c r="J37" s="676">
        <f t="shared" si="0"/>
        <v>4276.12</v>
      </c>
    </row>
    <row r="38" spans="1:10" x14ac:dyDescent="0.25">
      <c r="A38" t="s">
        <v>226</v>
      </c>
      <c r="C38" s="675">
        <f>528.91</f>
        <v>528.91</v>
      </c>
      <c r="D38" s="675"/>
      <c r="E38" s="675"/>
      <c r="F38" s="675"/>
      <c r="G38" s="675"/>
      <c r="H38" s="675"/>
      <c r="I38" s="675"/>
      <c r="J38" s="676">
        <f t="shared" si="0"/>
        <v>528.91</v>
      </c>
    </row>
    <row r="39" spans="1:10" x14ac:dyDescent="0.25">
      <c r="A39" t="s">
        <v>227</v>
      </c>
      <c r="C39" s="675">
        <v>12000</v>
      </c>
      <c r="D39" s="675"/>
      <c r="E39" s="675"/>
      <c r="F39" s="675"/>
      <c r="G39" s="675"/>
      <c r="H39" s="675"/>
      <c r="I39" s="675"/>
      <c r="J39" s="676">
        <f t="shared" si="0"/>
        <v>12000</v>
      </c>
    </row>
    <row r="40" spans="1:10" x14ac:dyDescent="0.25">
      <c r="A40" t="s">
        <v>228</v>
      </c>
      <c r="C40" s="675">
        <v>3675.51</v>
      </c>
      <c r="D40" s="675"/>
      <c r="E40" s="675"/>
      <c r="F40" s="675"/>
      <c r="G40" s="675"/>
      <c r="H40" s="675"/>
      <c r="I40" s="675"/>
      <c r="J40" s="676">
        <f t="shared" si="0"/>
        <v>3675.51</v>
      </c>
    </row>
    <row r="41" spans="1:10" x14ac:dyDescent="0.25">
      <c r="A41" t="s">
        <v>229</v>
      </c>
      <c r="C41" s="675">
        <v>1365.65</v>
      </c>
      <c r="D41" s="675"/>
      <c r="E41" s="675"/>
      <c r="F41" s="675"/>
      <c r="G41" s="675"/>
      <c r="H41" s="675"/>
      <c r="I41" s="675"/>
      <c r="J41" s="676">
        <f t="shared" si="0"/>
        <v>1365.65</v>
      </c>
    </row>
    <row r="42" spans="1:10" x14ac:dyDescent="0.25">
      <c r="A42" t="s">
        <v>230</v>
      </c>
      <c r="C42" s="675">
        <f>9429.34-1440</f>
        <v>7989.34</v>
      </c>
      <c r="D42" s="675"/>
      <c r="E42" s="675"/>
      <c r="F42" s="675"/>
      <c r="G42" s="675"/>
      <c r="H42" s="675">
        <v>1440</v>
      </c>
      <c r="I42" s="675"/>
      <c r="J42" s="676">
        <f t="shared" si="0"/>
        <v>9429.34</v>
      </c>
    </row>
    <row r="43" spans="1:10" x14ac:dyDescent="0.25">
      <c r="A43" t="s">
        <v>231</v>
      </c>
      <c r="C43" s="675">
        <v>12265</v>
      </c>
      <c r="D43" s="675"/>
      <c r="E43" s="675"/>
      <c r="F43" s="675"/>
      <c r="G43" s="675"/>
      <c r="H43" s="675"/>
      <c r="I43" s="675"/>
      <c r="J43" s="676">
        <f t="shared" si="0"/>
        <v>12265</v>
      </c>
    </row>
    <row r="44" spans="1:10" x14ac:dyDescent="0.25">
      <c r="A44" t="s">
        <v>232</v>
      </c>
      <c r="C44" s="675">
        <v>1771</v>
      </c>
      <c r="D44" s="675"/>
      <c r="E44" s="675"/>
      <c r="F44" s="675"/>
      <c r="G44" s="675"/>
      <c r="H44" s="675"/>
      <c r="I44" s="675"/>
      <c r="J44" s="676">
        <f t="shared" si="0"/>
        <v>1771</v>
      </c>
    </row>
    <row r="45" spans="1:10" x14ac:dyDescent="0.25">
      <c r="C45" s="675"/>
      <c r="D45" s="675"/>
      <c r="E45" s="675"/>
      <c r="F45" s="675"/>
      <c r="G45" s="675"/>
      <c r="H45" s="675"/>
      <c r="I45" s="675"/>
      <c r="J45" s="676">
        <f t="shared" si="0"/>
        <v>0</v>
      </c>
    </row>
    <row r="46" spans="1:10" x14ac:dyDescent="0.25">
      <c r="C46" s="675"/>
      <c r="D46" s="675"/>
      <c r="E46" s="675"/>
      <c r="F46" s="675"/>
      <c r="G46" s="675"/>
      <c r="H46" s="675"/>
      <c r="I46" s="675"/>
      <c r="J46" s="676">
        <f t="shared" si="0"/>
        <v>0</v>
      </c>
    </row>
    <row r="47" spans="1:10" x14ac:dyDescent="0.25">
      <c r="A47" t="s">
        <v>233</v>
      </c>
      <c r="C47" s="675">
        <v>12204</v>
      </c>
      <c r="D47" s="675"/>
      <c r="E47" s="675"/>
      <c r="F47" s="675"/>
      <c r="G47" s="675"/>
      <c r="H47" s="675"/>
      <c r="I47" s="675"/>
      <c r="J47" s="676">
        <f t="shared" si="0"/>
        <v>12204</v>
      </c>
    </row>
    <row r="48" spans="1:10" x14ac:dyDescent="0.25">
      <c r="A48" t="s">
        <v>234</v>
      </c>
      <c r="C48" s="675">
        <v>17091</v>
      </c>
      <c r="D48" s="675"/>
      <c r="E48" s="675"/>
      <c r="F48" s="675"/>
      <c r="G48" s="675"/>
      <c r="H48" s="675"/>
      <c r="I48" s="675"/>
      <c r="J48" s="676">
        <f t="shared" si="0"/>
        <v>17091</v>
      </c>
    </row>
    <row r="49" spans="3:10" x14ac:dyDescent="0.25">
      <c r="C49" s="8"/>
      <c r="D49" s="8"/>
      <c r="E49" s="8"/>
      <c r="F49" s="8"/>
      <c r="G49" s="8"/>
      <c r="H49" s="8"/>
      <c r="I49" s="8"/>
      <c r="J49" s="678">
        <f t="shared" si="0"/>
        <v>0</v>
      </c>
    </row>
    <row r="50" spans="3:10" x14ac:dyDescent="0.25">
      <c r="C50" s="676">
        <f>SUM(C5:C49)</f>
        <v>261816.56999999998</v>
      </c>
      <c r="D50" s="676">
        <f t="shared" ref="D50:G50" si="2">SUM(D5:D49)</f>
        <v>0</v>
      </c>
      <c r="E50" s="676"/>
      <c r="F50" s="676">
        <f>SUM(F7:F49)</f>
        <v>464147.98</v>
      </c>
      <c r="G50" s="676">
        <f t="shared" si="2"/>
        <v>0</v>
      </c>
      <c r="H50" s="676">
        <f>SUM(H7:H49)</f>
        <v>123931.69000000002</v>
      </c>
      <c r="J50" s="676">
        <f>C50+F50+H50</f>
        <v>849896.24</v>
      </c>
    </row>
    <row r="51" spans="3:10" x14ac:dyDescent="0.25">
      <c r="J51" s="676">
        <f t="shared" si="0"/>
        <v>0</v>
      </c>
    </row>
    <row r="52" spans="3:10" x14ac:dyDescent="0.25">
      <c r="C52" s="676">
        <f>SUM(C25:C48)</f>
        <v>126329.24999999999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8:L23"/>
  <sheetViews>
    <sheetView workbookViewId="0">
      <selection activeCell="C13" sqref="C13"/>
    </sheetView>
  </sheetViews>
  <sheetFormatPr baseColWidth="10" defaultRowHeight="15" x14ac:dyDescent="0.25"/>
  <sheetData>
    <row r="8" spans="12:12" x14ac:dyDescent="0.25">
      <c r="L8" s="589"/>
    </row>
    <row r="23" spans="2:2" x14ac:dyDescent="0.25">
      <c r="B23" s="46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4335-84AE-4373-AF7A-8F744B12300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78"/>
  <sheetViews>
    <sheetView workbookViewId="0">
      <selection activeCell="P39" sqref="P39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Sommaire!D7</f>
        <v>.</v>
      </c>
      <c r="D5" s="118"/>
      <c r="E5" s="63"/>
      <c r="F5" s="73" t="s">
        <v>9</v>
      </c>
      <c r="G5" s="1155" t="str">
        <f>Sommaire!M1</f>
        <v>2020-00-00</v>
      </c>
      <c r="H5" s="1018"/>
      <c r="I5" s="1019" t="str">
        <f>Sommaire!L3</f>
        <v>Date de remise:</v>
      </c>
      <c r="J5" s="1154" t="str">
        <f>Sommaire!M3</f>
        <v>2020-00-00</v>
      </c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Sommaire!A7</f>
        <v>1</v>
      </c>
      <c r="D6" s="119" t="s">
        <v>29</v>
      </c>
      <c r="E6" s="89">
        <f>Sommaire!B7</f>
        <v>1</v>
      </c>
      <c r="F6" s="114" t="s">
        <v>64</v>
      </c>
      <c r="G6" s="1286" t="str">
        <f>Sommaire!C7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>SUM(I12)*J12</f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>SUM(I19)*J19</f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ref="G35:G42" si="4">F35*E35</f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4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ref="I37:I42" si="5">H37*G37</f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4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4"/>
        <v>0</v>
      </c>
      <c r="H39" s="512"/>
      <c r="I39" s="81">
        <f t="shared" si="5"/>
        <v>0</v>
      </c>
      <c r="J39" s="525"/>
      <c r="K39" s="50">
        <f>SUM(I39)*J39</f>
        <v>0</v>
      </c>
      <c r="L39" s="958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4"/>
        <v>0</v>
      </c>
      <c r="H40" s="512"/>
      <c r="I40" s="81">
        <f t="shared" si="5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f>D41*E$6</f>
        <v>0</v>
      </c>
      <c r="F41" s="514"/>
      <c r="G41" s="80">
        <f t="shared" si="4"/>
        <v>0</v>
      </c>
      <c r="H41" s="512"/>
      <c r="I41" s="81">
        <f t="shared" si="5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4"/>
        <v>0</v>
      </c>
      <c r="H42" s="512"/>
      <c r="I42" s="81">
        <f t="shared" si="5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" customHeight="1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" customHeight="1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" customHeight="1" x14ac:dyDescent="0.2">
      <c r="A52" s="508"/>
      <c r="B52" s="631" t="s">
        <v>61</v>
      </c>
      <c r="C52" s="631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" customHeight="1" x14ac:dyDescent="0.2">
      <c r="A53" s="508"/>
      <c r="B53" s="684" t="s">
        <v>238</v>
      </c>
      <c r="C53" s="680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ht="12" customHeigh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26.25" customHeight="1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>
        <v>125</v>
      </c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5.75" customHeight="1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3.5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21.75" customHeight="1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5.75" customHeight="1" thickBot="1" x14ac:dyDescent="0.25">
      <c r="A68" s="687">
        <v>5120</v>
      </c>
      <c r="B68" s="1230" t="s">
        <v>341</v>
      </c>
      <c r="C68" s="1230"/>
      <c r="D68" s="1230"/>
      <c r="E68" s="520"/>
      <c r="F68" s="1239"/>
      <c r="G68" s="1240"/>
      <c r="H68" s="1240"/>
      <c r="I68" s="1240"/>
      <c r="J68" s="1240"/>
      <c r="K68" s="1241"/>
      <c r="L68" s="519">
        <v>250</v>
      </c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26.25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5.75" customHeight="1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5" customHeight="1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6">L71*E71</f>
        <v>0</v>
      </c>
      <c r="N71" s="1026">
        <v>5415</v>
      </c>
      <c r="O71" s="530"/>
      <c r="P71" s="531"/>
      <c r="Q71" s="530"/>
    </row>
    <row r="72" spans="1:17" s="5" customFormat="1" ht="26.25" customHeight="1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customHeight="1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"/>
      <c r="C77" s="9"/>
      <c r="D77" s="123"/>
      <c r="E77" s="9"/>
      <c r="F77" s="9"/>
      <c r="J77" s="9"/>
      <c r="K77" s="9"/>
    </row>
    <row r="78" spans="1:17" x14ac:dyDescent="0.25">
      <c r="B78" s="9"/>
      <c r="C78" s="9"/>
      <c r="D78" s="123"/>
      <c r="E78" s="9"/>
      <c r="F78" s="9"/>
      <c r="J78" s="9"/>
      <c r="K78" s="9"/>
    </row>
  </sheetData>
  <mergeCells count="100">
    <mergeCell ref="O56:P56"/>
    <mergeCell ref="Q56:Q59"/>
    <mergeCell ref="B51:C51"/>
    <mergeCell ref="B47:C47"/>
    <mergeCell ref="B39:C39"/>
    <mergeCell ref="B40:C40"/>
    <mergeCell ref="B41:C41"/>
    <mergeCell ref="B42:C42"/>
    <mergeCell ref="B43:C43"/>
    <mergeCell ref="B44:C44"/>
    <mergeCell ref="B45:C45"/>
    <mergeCell ref="B46:C46"/>
    <mergeCell ref="B48:C48"/>
    <mergeCell ref="B49:C49"/>
    <mergeCell ref="B50:C50"/>
    <mergeCell ref="G4:H4"/>
    <mergeCell ref="B17:C17"/>
    <mergeCell ref="B36:C36"/>
    <mergeCell ref="G3:I3"/>
    <mergeCell ref="B38:C38"/>
    <mergeCell ref="B37:C37"/>
    <mergeCell ref="B35:C35"/>
    <mergeCell ref="G6:K6"/>
    <mergeCell ref="C3:E3"/>
    <mergeCell ref="B10:C10"/>
    <mergeCell ref="B11:C11"/>
    <mergeCell ref="B12:C12"/>
    <mergeCell ref="B13:C13"/>
    <mergeCell ref="B34:C34"/>
    <mergeCell ref="B14:C14"/>
    <mergeCell ref="B15:C15"/>
    <mergeCell ref="B22:C22"/>
    <mergeCell ref="B23:C23"/>
    <mergeCell ref="B24:C24"/>
    <mergeCell ref="B25:C25"/>
    <mergeCell ref="A8:A9"/>
    <mergeCell ref="B8:C9"/>
    <mergeCell ref="B16:C16"/>
    <mergeCell ref="B18:C18"/>
    <mergeCell ref="B19:C19"/>
    <mergeCell ref="B20:C20"/>
    <mergeCell ref="B21:C21"/>
    <mergeCell ref="F63:K63"/>
    <mergeCell ref="B57:D57"/>
    <mergeCell ref="F57:K57"/>
    <mergeCell ref="F58:K58"/>
    <mergeCell ref="F59:K59"/>
    <mergeCell ref="F61:K61"/>
    <mergeCell ref="F62:K62"/>
    <mergeCell ref="B60:D60"/>
    <mergeCell ref="B58:D58"/>
    <mergeCell ref="B59:D59"/>
    <mergeCell ref="B61:D61"/>
    <mergeCell ref="B62:D62"/>
    <mergeCell ref="F60:K60"/>
    <mergeCell ref="K8:K9"/>
    <mergeCell ref="L8:L9"/>
    <mergeCell ref="D8:D9"/>
    <mergeCell ref="J8:J9"/>
    <mergeCell ref="L55:M55"/>
    <mergeCell ref="H8:H9"/>
    <mergeCell ref="I8:I9"/>
    <mergeCell ref="E8:E9"/>
    <mergeCell ref="F8:F9"/>
    <mergeCell ref="G8:G9"/>
    <mergeCell ref="B74:D74"/>
    <mergeCell ref="B75:D75"/>
    <mergeCell ref="F74:K74"/>
    <mergeCell ref="F75:K75"/>
    <mergeCell ref="F64:K64"/>
    <mergeCell ref="F66:K66"/>
    <mergeCell ref="F67:K67"/>
    <mergeCell ref="F68:K68"/>
    <mergeCell ref="F65:K65"/>
    <mergeCell ref="F69:K69"/>
    <mergeCell ref="F70:K70"/>
    <mergeCell ref="F71:K71"/>
    <mergeCell ref="F72:K72"/>
    <mergeCell ref="F73:K73"/>
    <mergeCell ref="B70:D70"/>
    <mergeCell ref="B73:D73"/>
    <mergeCell ref="B72:D72"/>
    <mergeCell ref="B31:C31"/>
    <mergeCell ref="B32:C32"/>
    <mergeCell ref="B33:C33"/>
    <mergeCell ref="B63:D63"/>
    <mergeCell ref="B71:D71"/>
    <mergeCell ref="B68:D68"/>
    <mergeCell ref="B65:D65"/>
    <mergeCell ref="B67:D67"/>
    <mergeCell ref="B69:D69"/>
    <mergeCell ref="B64:D64"/>
    <mergeCell ref="B66:D66"/>
    <mergeCell ref="B54:C54"/>
    <mergeCell ref="B56:D56"/>
    <mergeCell ref="B26:C26"/>
    <mergeCell ref="B27:C27"/>
    <mergeCell ref="B28:C28"/>
    <mergeCell ref="B29:C29"/>
    <mergeCell ref="B30:C30"/>
  </mergeCells>
  <phoneticPr fontId="0" type="noConversion"/>
  <pageMargins left="0.27559055118110198" right="0.27559055118110198" top="0.27559055118110198" bottom="0.27559055118110198" header="0.27559055118110198" footer="0.27559055118110198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143"/>
  <sheetViews>
    <sheetView workbookViewId="0">
      <selection activeCell="J5" sqref="H5:J5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Sommaire!D8</f>
        <v>.</v>
      </c>
      <c r="D5" s="118"/>
      <c r="E5" s="63"/>
      <c r="F5" s="73" t="s">
        <v>9</v>
      </c>
      <c r="G5" s="1155" t="str">
        <f>Sommaire!M1</f>
        <v>2020-00-00</v>
      </c>
      <c r="H5" s="1020"/>
      <c r="I5" s="1019" t="str">
        <f>Sommaire!L3</f>
        <v>Date de remise:</v>
      </c>
      <c r="J5" s="1154" t="str">
        <f>Sommaire!M3</f>
        <v>2020-00-00</v>
      </c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Sommaire!A8</f>
        <v>2</v>
      </c>
      <c r="D6" s="119" t="s">
        <v>29</v>
      </c>
      <c r="E6" s="89">
        <f>Sommaire!B8</f>
        <v>1</v>
      </c>
      <c r="F6" s="114" t="s">
        <v>64</v>
      </c>
      <c r="G6" s="1286" t="str">
        <f>Sommaire!C8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" customHeight="1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" customHeight="1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" customHeight="1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ht="12" customHeigh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customHeight="1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3.5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3.5" thickBot="1" x14ac:dyDescent="0.25">
      <c r="A68" s="687">
        <v>5120</v>
      </c>
      <c r="B68" s="1230" t="s">
        <v>341</v>
      </c>
      <c r="C68" s="1230"/>
      <c r="D68" s="1230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26.25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3.5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5.75" customHeight="1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Q56:Q59"/>
    <mergeCell ref="B54:C54"/>
    <mergeCell ref="B34:C34"/>
    <mergeCell ref="B35:C35"/>
    <mergeCell ref="B51:C51"/>
    <mergeCell ref="L55:M55"/>
    <mergeCell ref="L8:L9"/>
    <mergeCell ref="I8:I9"/>
    <mergeCell ref="J8:J9"/>
    <mergeCell ref="K8:K9"/>
    <mergeCell ref="H8:H9"/>
    <mergeCell ref="G8:G9"/>
    <mergeCell ref="F8:F9"/>
    <mergeCell ref="E8:E9"/>
    <mergeCell ref="D8:D9"/>
    <mergeCell ref="B57:D57"/>
    <mergeCell ref="B58:D58"/>
    <mergeCell ref="B20:C20"/>
    <mergeCell ref="B21:C21"/>
    <mergeCell ref="B22:C22"/>
    <mergeCell ref="B23:C23"/>
    <mergeCell ref="B56:D56"/>
    <mergeCell ref="F57:K57"/>
    <mergeCell ref="B39:C39"/>
    <mergeCell ref="B79:J79"/>
    <mergeCell ref="G3:I3"/>
    <mergeCell ref="G4:H4"/>
    <mergeCell ref="B49:C49"/>
    <mergeCell ref="O56:P56"/>
    <mergeCell ref="G6:K6"/>
    <mergeCell ref="C3:E3"/>
    <mergeCell ref="B64:D64"/>
    <mergeCell ref="B65:D65"/>
    <mergeCell ref="B66:D66"/>
    <mergeCell ref="B67:D67"/>
    <mergeCell ref="F58:K58"/>
    <mergeCell ref="F59:K59"/>
    <mergeCell ref="F61:K61"/>
    <mergeCell ref="F60:K60"/>
    <mergeCell ref="B59:D59"/>
    <mergeCell ref="B60:D60"/>
    <mergeCell ref="B61:D61"/>
    <mergeCell ref="B62:D62"/>
    <mergeCell ref="B63:D63"/>
    <mergeCell ref="B75:D75"/>
    <mergeCell ref="F75:K75"/>
    <mergeCell ref="B74:D74"/>
    <mergeCell ref="F74:K74"/>
    <mergeCell ref="A8:A9"/>
    <mergeCell ref="B8:C9"/>
    <mergeCell ref="B50:C50"/>
    <mergeCell ref="B12:C12"/>
    <mergeCell ref="B46:C46"/>
    <mergeCell ref="B47:C47"/>
    <mergeCell ref="B44:C44"/>
    <mergeCell ref="B13:C13"/>
    <mergeCell ref="B14:C14"/>
    <mergeCell ref="B17:C17"/>
    <mergeCell ref="B48:C48"/>
    <mergeCell ref="B11:C11"/>
    <mergeCell ref="B45:C45"/>
    <mergeCell ref="B10:C10"/>
    <mergeCell ref="B32:C32"/>
    <mergeCell ref="B33:C33"/>
    <mergeCell ref="B15:C15"/>
    <mergeCell ref="B16:C16"/>
    <mergeCell ref="B18:C18"/>
    <mergeCell ref="B19:C19"/>
    <mergeCell ref="B42:C42"/>
    <mergeCell ref="B43:C43"/>
    <mergeCell ref="B37:C37"/>
    <mergeCell ref="B38:C38"/>
    <mergeCell ref="B72:D72"/>
    <mergeCell ref="F72:K72"/>
    <mergeCell ref="B73:D73"/>
    <mergeCell ref="F73:K73"/>
    <mergeCell ref="F67:K67"/>
    <mergeCell ref="F68:K68"/>
    <mergeCell ref="F69:K69"/>
    <mergeCell ref="F70:K70"/>
    <mergeCell ref="F71:K71"/>
    <mergeCell ref="F62:K62"/>
    <mergeCell ref="F63:K63"/>
    <mergeCell ref="B68:D68"/>
    <mergeCell ref="B69:D69"/>
    <mergeCell ref="B70:D70"/>
    <mergeCell ref="B71:D71"/>
    <mergeCell ref="F64:K64"/>
    <mergeCell ref="F65:K65"/>
    <mergeCell ref="F66:K66"/>
    <mergeCell ref="B40:C40"/>
    <mergeCell ref="B41:C41"/>
    <mergeCell ref="B24:C24"/>
    <mergeCell ref="B25:C25"/>
    <mergeCell ref="B26:C26"/>
    <mergeCell ref="B27:C27"/>
    <mergeCell ref="B28:C28"/>
    <mergeCell ref="B29:C29"/>
    <mergeCell ref="B30:C30"/>
    <mergeCell ref="B31:C31"/>
    <mergeCell ref="B36:C36"/>
  </mergeCells>
  <phoneticPr fontId="0" type="noConversion"/>
  <hyperlinks>
    <hyperlink ref="A75" location="Sommaire!A1" display="Sommaire!A1" xr:uid="{00000000-0004-0000-0300-000000000000}"/>
  </hyperlinks>
  <pageMargins left="0.31496062992125984" right="0.31496062992125984" top="0.31496062992125984" bottom="0.31496062992125984" header="0.27559055118110237" footer="0.27559055118110237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143"/>
  <sheetViews>
    <sheetView workbookViewId="0">
      <selection activeCell="J3" sqref="J3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Sommaire!D9</f>
        <v>.</v>
      </c>
      <c r="D5" s="118"/>
      <c r="E5" s="63"/>
      <c r="F5" s="73" t="s">
        <v>9</v>
      </c>
      <c r="G5" s="1155" t="str">
        <f>Sommaire!M1</f>
        <v>2020-00-00</v>
      </c>
      <c r="H5" s="1020"/>
      <c r="I5" s="1019" t="str">
        <f>Sommaire!L3</f>
        <v>Date de remise:</v>
      </c>
      <c r="J5" s="1154" t="str">
        <f>Sommaire!M3</f>
        <v>2020-00-00</v>
      </c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Sommaire!A9</f>
        <v>3</v>
      </c>
      <c r="D6" s="119" t="s">
        <v>29</v>
      </c>
      <c r="E6" s="89">
        <f>Sommaire!B9</f>
        <v>1</v>
      </c>
      <c r="F6" s="114" t="s">
        <v>64</v>
      </c>
      <c r="G6" s="1286" t="str">
        <f>Sommaire!C9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" customHeight="1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" customHeight="1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" customHeight="1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ht="12" customHeigh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3.5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3.5" thickBot="1" x14ac:dyDescent="0.25">
      <c r="A68" s="687">
        <v>5120</v>
      </c>
      <c r="B68" s="1230" t="s">
        <v>341</v>
      </c>
      <c r="C68" s="1230"/>
      <c r="D68" s="1230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26.25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3.5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8" customHeight="1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B49:C49"/>
    <mergeCell ref="O56:P56"/>
    <mergeCell ref="Q56:Q59"/>
    <mergeCell ref="B79:J79"/>
    <mergeCell ref="B60:D60"/>
    <mergeCell ref="F60:K60"/>
    <mergeCell ref="A8:A9"/>
    <mergeCell ref="B8:C9"/>
    <mergeCell ref="B12:C12"/>
    <mergeCell ref="B35:C35"/>
    <mergeCell ref="D8:D9"/>
    <mergeCell ref="B14:C14"/>
    <mergeCell ref="B32:C32"/>
    <mergeCell ref="B34:C34"/>
    <mergeCell ref="B26:C26"/>
    <mergeCell ref="B27:C27"/>
    <mergeCell ref="B28:C28"/>
    <mergeCell ref="B29:C29"/>
    <mergeCell ref="B30:C30"/>
    <mergeCell ref="B44:C44"/>
    <mergeCell ref="J8:J9"/>
    <mergeCell ref="G8:G9"/>
    <mergeCell ref="H8:H9"/>
    <mergeCell ref="I8:I9"/>
    <mergeCell ref="B46:C46"/>
    <mergeCell ref="L8:L9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42:C42"/>
    <mergeCell ref="B41:C41"/>
    <mergeCell ref="B54:C54"/>
    <mergeCell ref="B51:C51"/>
    <mergeCell ref="G3:I3"/>
    <mergeCell ref="G4:H4"/>
    <mergeCell ref="B47:C47"/>
    <mergeCell ref="B48:C48"/>
    <mergeCell ref="B50:C50"/>
    <mergeCell ref="C3:E3"/>
    <mergeCell ref="B45:C45"/>
    <mergeCell ref="G6:K6"/>
    <mergeCell ref="K8:K9"/>
    <mergeCell ref="B43:C43"/>
    <mergeCell ref="B11:C11"/>
    <mergeCell ref="B33:C33"/>
    <mergeCell ref="B10:C10"/>
    <mergeCell ref="B13:C13"/>
    <mergeCell ref="B36:C36"/>
    <mergeCell ref="B31:C31"/>
    <mergeCell ref="B37:C37"/>
    <mergeCell ref="B38:C38"/>
    <mergeCell ref="B39:C39"/>
    <mergeCell ref="B40:C40"/>
    <mergeCell ref="E8:E9"/>
    <mergeCell ref="F8:F9"/>
    <mergeCell ref="L55:M55"/>
    <mergeCell ref="B64:D64"/>
    <mergeCell ref="F64:K64"/>
    <mergeCell ref="B65:D65"/>
    <mergeCell ref="F65:K65"/>
    <mergeCell ref="F59:K59"/>
    <mergeCell ref="F61:K61"/>
    <mergeCell ref="F62:K62"/>
    <mergeCell ref="F63:K63"/>
    <mergeCell ref="F57:K57"/>
    <mergeCell ref="F58:K58"/>
    <mergeCell ref="B59:D59"/>
    <mergeCell ref="B61:D61"/>
    <mergeCell ref="B62:D62"/>
    <mergeCell ref="B63:D63"/>
    <mergeCell ref="B56:D56"/>
    <mergeCell ref="B57:D57"/>
    <mergeCell ref="B58:D58"/>
    <mergeCell ref="B66:D66"/>
    <mergeCell ref="F66:K66"/>
    <mergeCell ref="B67:D67"/>
    <mergeCell ref="F67:K67"/>
    <mergeCell ref="B68:D68"/>
    <mergeCell ref="F68:K68"/>
    <mergeCell ref="B69:D69"/>
    <mergeCell ref="F69:K69"/>
    <mergeCell ref="B70:D70"/>
    <mergeCell ref="F70:K70"/>
    <mergeCell ref="B71:D71"/>
    <mergeCell ref="F71:K71"/>
    <mergeCell ref="B75:D75"/>
    <mergeCell ref="F75:K75"/>
    <mergeCell ref="B72:D72"/>
    <mergeCell ref="F72:K72"/>
    <mergeCell ref="B73:D73"/>
    <mergeCell ref="F73:K73"/>
    <mergeCell ref="B74:D74"/>
    <mergeCell ref="F74:K74"/>
  </mergeCells>
  <phoneticPr fontId="0" type="noConversion"/>
  <hyperlinks>
    <hyperlink ref="A75" location="Sommaire!A1" display="Sommaire!A1" xr:uid="{00000000-0004-0000-0400-000000000000}"/>
  </hyperlinks>
  <pageMargins left="0.31496062992125984" right="0.31496062992125984" top="0.31496062992125984" bottom="0.31496062992125984" header="0.27559055118110237" footer="0.27559055118110237"/>
  <pageSetup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43"/>
  <sheetViews>
    <sheetView workbookViewId="0">
      <selection activeCell="H5" sqref="H5:J5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Sommaire!D10</f>
        <v>.</v>
      </c>
      <c r="D5" s="118"/>
      <c r="E5" s="63"/>
      <c r="F5" s="73" t="s">
        <v>9</v>
      </c>
      <c r="G5" s="1155" t="str">
        <f>Sommaire!M1</f>
        <v>2020-00-00</v>
      </c>
      <c r="H5" s="1020"/>
      <c r="I5" s="1019" t="str">
        <f>Sommaire!L3</f>
        <v>Date de remise:</v>
      </c>
      <c r="J5" s="1154" t="str">
        <f>Sommaire!M3</f>
        <v>2020-00-00</v>
      </c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Sommaire!A10</f>
        <v>4</v>
      </c>
      <c r="D6" s="119" t="s">
        <v>29</v>
      </c>
      <c r="E6" s="89">
        <f>Sommaire!B10</f>
        <v>1</v>
      </c>
      <c r="F6" s="114" t="s">
        <v>64</v>
      </c>
      <c r="G6" s="1286" t="str">
        <f>Sommaire!C10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" customHeight="1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" customHeight="1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" customHeight="1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ht="12" customHeigh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customHeight="1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3.5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3.5" thickBot="1" x14ac:dyDescent="0.25">
      <c r="A68" s="687">
        <v>5120</v>
      </c>
      <c r="B68" s="1230" t="s">
        <v>341</v>
      </c>
      <c r="C68" s="1230"/>
      <c r="D68" s="1230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26.25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3.5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5.75" customHeight="1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L8:L9"/>
    <mergeCell ref="A8:A9"/>
    <mergeCell ref="B8:C9"/>
    <mergeCell ref="B12:C12"/>
    <mergeCell ref="B35:C35"/>
    <mergeCell ref="D8:D9"/>
    <mergeCell ref="B14:C14"/>
    <mergeCell ref="B32:C32"/>
    <mergeCell ref="B34:C34"/>
    <mergeCell ref="B22:C22"/>
    <mergeCell ref="B23:C23"/>
    <mergeCell ref="B24:C24"/>
    <mergeCell ref="B25:C25"/>
    <mergeCell ref="B26:C26"/>
    <mergeCell ref="B27:C27"/>
    <mergeCell ref="B28:C28"/>
    <mergeCell ref="B29:C29"/>
    <mergeCell ref="O56:P56"/>
    <mergeCell ref="Q56:Q59"/>
    <mergeCell ref="B79:J79"/>
    <mergeCell ref="B60:D60"/>
    <mergeCell ref="F60:K60"/>
    <mergeCell ref="L55:M55"/>
    <mergeCell ref="B56:D56"/>
    <mergeCell ref="B66:D66"/>
    <mergeCell ref="F66:K66"/>
    <mergeCell ref="B67:D67"/>
    <mergeCell ref="F67:K67"/>
    <mergeCell ref="B68:D68"/>
    <mergeCell ref="F68:K68"/>
    <mergeCell ref="B64:D64"/>
    <mergeCell ref="F64:K64"/>
    <mergeCell ref="B65:D65"/>
    <mergeCell ref="F65:K65"/>
    <mergeCell ref="F59:K59"/>
    <mergeCell ref="F61:K61"/>
    <mergeCell ref="F62:K62"/>
    <mergeCell ref="F63:K63"/>
    <mergeCell ref="F57:K57"/>
    <mergeCell ref="F58:K58"/>
    <mergeCell ref="B59:D59"/>
    <mergeCell ref="B46:C46"/>
    <mergeCell ref="B15:C15"/>
    <mergeCell ref="B16:C16"/>
    <mergeCell ref="B17:C17"/>
    <mergeCell ref="B18:C18"/>
    <mergeCell ref="B19:C19"/>
    <mergeCell ref="B20:C20"/>
    <mergeCell ref="B21:C21"/>
    <mergeCell ref="B41:C41"/>
    <mergeCell ref="B42:C42"/>
    <mergeCell ref="B30:C30"/>
    <mergeCell ref="B37:C37"/>
    <mergeCell ref="B40:C40"/>
    <mergeCell ref="G3:I3"/>
    <mergeCell ref="G4:H4"/>
    <mergeCell ref="G6:K6"/>
    <mergeCell ref="B47:C47"/>
    <mergeCell ref="B48:C48"/>
    <mergeCell ref="C3:E3"/>
    <mergeCell ref="B45:C45"/>
    <mergeCell ref="K8:K9"/>
    <mergeCell ref="B43:C43"/>
    <mergeCell ref="B11:C11"/>
    <mergeCell ref="B33:C33"/>
    <mergeCell ref="B10:C10"/>
    <mergeCell ref="B13:C13"/>
    <mergeCell ref="B36:C36"/>
    <mergeCell ref="B31:C31"/>
    <mergeCell ref="B44:C44"/>
    <mergeCell ref="J8:J9"/>
    <mergeCell ref="G8:G9"/>
    <mergeCell ref="H8:H9"/>
    <mergeCell ref="I8:I9"/>
    <mergeCell ref="E8:E9"/>
    <mergeCell ref="F8:F9"/>
    <mergeCell ref="B38:C38"/>
    <mergeCell ref="B39:C39"/>
    <mergeCell ref="B61:D61"/>
    <mergeCell ref="B62:D62"/>
    <mergeCell ref="B63:D63"/>
    <mergeCell ref="B49:C49"/>
    <mergeCell ref="B57:D57"/>
    <mergeCell ref="B58:D58"/>
    <mergeCell ref="B54:C54"/>
    <mergeCell ref="B50:C50"/>
    <mergeCell ref="B51:C51"/>
    <mergeCell ref="B75:D75"/>
    <mergeCell ref="F75:K75"/>
    <mergeCell ref="B72:D72"/>
    <mergeCell ref="F72:K72"/>
    <mergeCell ref="B73:D73"/>
    <mergeCell ref="F73:K73"/>
    <mergeCell ref="B74:D74"/>
    <mergeCell ref="F74:K74"/>
    <mergeCell ref="B69:D69"/>
    <mergeCell ref="F69:K69"/>
    <mergeCell ref="B70:D70"/>
    <mergeCell ref="F70:K70"/>
    <mergeCell ref="B71:D71"/>
    <mergeCell ref="F71:K71"/>
  </mergeCells>
  <phoneticPr fontId="0" type="noConversion"/>
  <hyperlinks>
    <hyperlink ref="A75" location="Sommaire!A1" display="Sommaire!A1" xr:uid="{00000000-0004-0000-0500-000000000000}"/>
  </hyperlinks>
  <pageMargins left="0.31496062992125984" right="0.31496062992125984" top="0.31496062992125984" bottom="0.31496062992125984" header="0.27559055118110237" footer="0.27559055118110237"/>
  <pageSetup scale="7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43"/>
  <sheetViews>
    <sheetView workbookViewId="0">
      <selection activeCell="J5" sqref="H5:J5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Sommaire!D11</f>
        <v>.</v>
      </c>
      <c r="D5" s="118"/>
      <c r="E5" s="63"/>
      <c r="F5" s="73" t="s">
        <v>9</v>
      </c>
      <c r="G5" s="1155" t="str">
        <f>Sommaire!M1</f>
        <v>2020-00-00</v>
      </c>
      <c r="H5" s="1020"/>
      <c r="I5" s="1019" t="str">
        <f>Sommaire!L3</f>
        <v>Date de remise:</v>
      </c>
      <c r="J5" s="1154" t="str">
        <f>Sommaire!M3</f>
        <v>2020-00-00</v>
      </c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Sommaire!A11</f>
        <v>5</v>
      </c>
      <c r="D6" s="119" t="s">
        <v>29</v>
      </c>
      <c r="E6" s="89">
        <f>Sommaire!B11</f>
        <v>1</v>
      </c>
      <c r="F6" s="114" t="s">
        <v>64</v>
      </c>
      <c r="G6" s="1286" t="str">
        <f>Sommaire!C11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" customHeight="1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" customHeight="1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" customHeight="1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ht="12" customHeigh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3.5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3.5" thickBot="1" x14ac:dyDescent="0.25">
      <c r="A68" s="687">
        <v>5120</v>
      </c>
      <c r="B68" s="1230" t="s">
        <v>341</v>
      </c>
      <c r="C68" s="1230"/>
      <c r="D68" s="1230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26.25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3.5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3.5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O56:P56"/>
    <mergeCell ref="Q56:Q59"/>
    <mergeCell ref="B79:J79"/>
    <mergeCell ref="F60:K60"/>
    <mergeCell ref="A8:A9"/>
    <mergeCell ref="B8:C9"/>
    <mergeCell ref="B12:C12"/>
    <mergeCell ref="B35:C35"/>
    <mergeCell ref="D8:D9"/>
    <mergeCell ref="B14:C14"/>
    <mergeCell ref="B32:C32"/>
    <mergeCell ref="B34:C34"/>
    <mergeCell ref="B26:C26"/>
    <mergeCell ref="B27:C27"/>
    <mergeCell ref="B28:C28"/>
    <mergeCell ref="B29:C29"/>
    <mergeCell ref="B30:C30"/>
    <mergeCell ref="B44:C44"/>
    <mergeCell ref="E8:E9"/>
    <mergeCell ref="J8:J9"/>
    <mergeCell ref="G8:G9"/>
    <mergeCell ref="H8:H9"/>
    <mergeCell ref="I8:I9"/>
    <mergeCell ref="F8:F9"/>
    <mergeCell ref="L8:L9"/>
    <mergeCell ref="B15:C15"/>
    <mergeCell ref="B16:C16"/>
    <mergeCell ref="B17:C17"/>
    <mergeCell ref="B18:C18"/>
    <mergeCell ref="B19:C19"/>
    <mergeCell ref="B20:C20"/>
    <mergeCell ref="B21:C21"/>
    <mergeCell ref="B22:C22"/>
    <mergeCell ref="G3:I3"/>
    <mergeCell ref="G4:H4"/>
    <mergeCell ref="B47:C47"/>
    <mergeCell ref="B48:C48"/>
    <mergeCell ref="B50:C50"/>
    <mergeCell ref="C3:E3"/>
    <mergeCell ref="B45:C45"/>
    <mergeCell ref="G6:K6"/>
    <mergeCell ref="K8:K9"/>
    <mergeCell ref="B43:C43"/>
    <mergeCell ref="B11:C11"/>
    <mergeCell ref="B33:C33"/>
    <mergeCell ref="B10:C10"/>
    <mergeCell ref="B13:C13"/>
    <mergeCell ref="B36:C36"/>
    <mergeCell ref="B31:C31"/>
    <mergeCell ref="B46:C46"/>
    <mergeCell ref="B23:C23"/>
    <mergeCell ref="B24:C24"/>
    <mergeCell ref="B25:C25"/>
    <mergeCell ref="B42:C42"/>
    <mergeCell ref="B37:C37"/>
    <mergeCell ref="F68:K68"/>
    <mergeCell ref="F69:K69"/>
    <mergeCell ref="B70:D70"/>
    <mergeCell ref="F70:K70"/>
    <mergeCell ref="B71:D71"/>
    <mergeCell ref="F71:K71"/>
    <mergeCell ref="L55:M55"/>
    <mergeCell ref="B64:D64"/>
    <mergeCell ref="F64:K64"/>
    <mergeCell ref="B65:D65"/>
    <mergeCell ref="F65:K65"/>
    <mergeCell ref="F59:K59"/>
    <mergeCell ref="F61:K61"/>
    <mergeCell ref="F62:K62"/>
    <mergeCell ref="F63:K63"/>
    <mergeCell ref="F57:K57"/>
    <mergeCell ref="F58:K58"/>
    <mergeCell ref="B59:D59"/>
    <mergeCell ref="B60:D60"/>
    <mergeCell ref="B61:D61"/>
    <mergeCell ref="B62:D62"/>
    <mergeCell ref="B63:D63"/>
    <mergeCell ref="F75:K75"/>
    <mergeCell ref="B72:D72"/>
    <mergeCell ref="F72:K72"/>
    <mergeCell ref="B73:D73"/>
    <mergeCell ref="F73:K73"/>
    <mergeCell ref="B74:D74"/>
    <mergeCell ref="F74:K74"/>
    <mergeCell ref="B38:C38"/>
    <mergeCell ref="B39:C39"/>
    <mergeCell ref="B40:C40"/>
    <mergeCell ref="B41:C41"/>
    <mergeCell ref="B75:D75"/>
    <mergeCell ref="B69:D69"/>
    <mergeCell ref="B66:D66"/>
    <mergeCell ref="B56:D56"/>
    <mergeCell ref="B57:D57"/>
    <mergeCell ref="B58:D58"/>
    <mergeCell ref="B54:C54"/>
    <mergeCell ref="B51:C51"/>
    <mergeCell ref="B49:C49"/>
    <mergeCell ref="F66:K66"/>
    <mergeCell ref="B67:D67"/>
    <mergeCell ref="F67:K67"/>
    <mergeCell ref="B68:D68"/>
  </mergeCells>
  <phoneticPr fontId="0" type="noConversion"/>
  <hyperlinks>
    <hyperlink ref="A75" location="Sommaire!A1" display="Sommaire!A1" xr:uid="{00000000-0004-0000-0600-000000000000}"/>
  </hyperlinks>
  <pageMargins left="0.31496062992125984" right="0.31496062992125984" top="0.31496062992125984" bottom="0.31496062992125984" header="0.27559055118110237" footer="0.27559055118110237"/>
  <pageSetup scale="7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43"/>
  <sheetViews>
    <sheetView workbookViewId="0">
      <selection activeCell="G3" sqref="G3:I3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Sommaire!D12</f>
        <v>.</v>
      </c>
      <c r="D5" s="118"/>
      <c r="E5" s="63"/>
      <c r="F5" s="73" t="s">
        <v>9</v>
      </c>
      <c r="G5" s="1155" t="str">
        <f>Sommaire!M1</f>
        <v>2020-00-00</v>
      </c>
      <c r="H5" s="1020"/>
      <c r="I5" s="1019" t="str">
        <f>Sommaire!L3</f>
        <v>Date de remise:</v>
      </c>
      <c r="J5" s="1154" t="str">
        <f>Sommaire!M3</f>
        <v>2020-00-00</v>
      </c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Sommaire!A12</f>
        <v>6</v>
      </c>
      <c r="D6" s="119" t="s">
        <v>29</v>
      </c>
      <c r="E6" s="89">
        <f>Sommaire!B12</f>
        <v>1</v>
      </c>
      <c r="F6" s="114" t="s">
        <v>64</v>
      </c>
      <c r="G6" s="1286" t="str">
        <f>Sommaire!C12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.75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.75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.75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.75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.75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4.25" customHeight="1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3.5" thickBot="1" x14ac:dyDescent="0.25">
      <c r="A68" s="687">
        <v>5120</v>
      </c>
      <c r="B68" s="1230" t="s">
        <v>341</v>
      </c>
      <c r="C68" s="1230"/>
      <c r="D68" s="1230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26.25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3.5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3.5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B49:C49"/>
    <mergeCell ref="O56:P56"/>
    <mergeCell ref="Q56:Q59"/>
    <mergeCell ref="B79:J79"/>
    <mergeCell ref="F60:K60"/>
    <mergeCell ref="B15:C15"/>
    <mergeCell ref="B16:C16"/>
    <mergeCell ref="B17:C17"/>
    <mergeCell ref="B18:C18"/>
    <mergeCell ref="B56:D56"/>
    <mergeCell ref="B57:D57"/>
    <mergeCell ref="B58:D58"/>
    <mergeCell ref="B54:C54"/>
    <mergeCell ref="B50:C50"/>
    <mergeCell ref="B51:C51"/>
    <mergeCell ref="B19:C19"/>
    <mergeCell ref="B20:C20"/>
    <mergeCell ref="B21:C21"/>
    <mergeCell ref="B22:C22"/>
    <mergeCell ref="L55:M55"/>
    <mergeCell ref="B64:D64"/>
    <mergeCell ref="F64:K64"/>
    <mergeCell ref="B65:D65"/>
    <mergeCell ref="F65:K65"/>
    <mergeCell ref="A8:A9"/>
    <mergeCell ref="B8:C9"/>
    <mergeCell ref="B12:C12"/>
    <mergeCell ref="G8:G9"/>
    <mergeCell ref="H8:H9"/>
    <mergeCell ref="B10:C10"/>
    <mergeCell ref="J8:J9"/>
    <mergeCell ref="K8:K9"/>
    <mergeCell ref="L8:L9"/>
    <mergeCell ref="I8:I9"/>
    <mergeCell ref="E8:E9"/>
    <mergeCell ref="F8:F9"/>
    <mergeCell ref="D8:D9"/>
    <mergeCell ref="G3:I3"/>
    <mergeCell ref="G4:H4"/>
    <mergeCell ref="G6:K6"/>
    <mergeCell ref="B47:C47"/>
    <mergeCell ref="B48:C48"/>
    <mergeCell ref="B13:C13"/>
    <mergeCell ref="B14:C14"/>
    <mergeCell ref="B31:C31"/>
    <mergeCell ref="C3:E3"/>
    <mergeCell ref="B44:C44"/>
    <mergeCell ref="B36:C36"/>
    <mergeCell ref="B46:C46"/>
    <mergeCell ref="B45:C45"/>
    <mergeCell ref="B43:C43"/>
    <mergeCell ref="B11:C11"/>
    <mergeCell ref="B32:C32"/>
    <mergeCell ref="B23:C23"/>
    <mergeCell ref="B24:C24"/>
    <mergeCell ref="B25:C25"/>
    <mergeCell ref="B26:C26"/>
    <mergeCell ref="B27:C27"/>
    <mergeCell ref="B28:C28"/>
    <mergeCell ref="B40:C40"/>
    <mergeCell ref="B41:C41"/>
    <mergeCell ref="F59:K59"/>
    <mergeCell ref="F61:K61"/>
    <mergeCell ref="F62:K62"/>
    <mergeCell ref="F63:K63"/>
    <mergeCell ref="F57:K57"/>
    <mergeCell ref="F58:K58"/>
    <mergeCell ref="B59:D59"/>
    <mergeCell ref="B60:D60"/>
    <mergeCell ref="B61:D61"/>
    <mergeCell ref="B62:D62"/>
    <mergeCell ref="B63:D63"/>
    <mergeCell ref="B66:D66"/>
    <mergeCell ref="F66:K66"/>
    <mergeCell ref="B67:D67"/>
    <mergeCell ref="F67:K67"/>
    <mergeCell ref="B68:D68"/>
    <mergeCell ref="F68:K68"/>
    <mergeCell ref="B69:D69"/>
    <mergeCell ref="F69:K69"/>
    <mergeCell ref="B70:D70"/>
    <mergeCell ref="F70:K70"/>
    <mergeCell ref="B71:D71"/>
    <mergeCell ref="F71:K71"/>
    <mergeCell ref="B75:D75"/>
    <mergeCell ref="F75:K75"/>
    <mergeCell ref="B72:D72"/>
    <mergeCell ref="F72:K72"/>
    <mergeCell ref="B73:D73"/>
    <mergeCell ref="F73:K73"/>
    <mergeCell ref="B74:D74"/>
    <mergeCell ref="F74:K74"/>
    <mergeCell ref="B42:C42"/>
    <mergeCell ref="B29:C29"/>
    <mergeCell ref="B30:C30"/>
    <mergeCell ref="B37:C37"/>
    <mergeCell ref="B38:C38"/>
    <mergeCell ref="B39:C39"/>
    <mergeCell ref="B33:C33"/>
    <mergeCell ref="B34:C34"/>
    <mergeCell ref="B35:C35"/>
  </mergeCells>
  <phoneticPr fontId="0" type="noConversion"/>
  <hyperlinks>
    <hyperlink ref="A75" location="Sommaire!A1" display="Sommaire!A1" xr:uid="{00000000-0004-0000-07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143"/>
  <sheetViews>
    <sheetView topLeftCell="A22" workbookViewId="0">
      <selection activeCell="P38" sqref="P38"/>
    </sheetView>
  </sheetViews>
  <sheetFormatPr baseColWidth="10" defaultColWidth="11.42578125" defaultRowHeight="15" x14ac:dyDescent="0.25"/>
  <cols>
    <col min="1" max="1" width="6.42578125" customWidth="1"/>
    <col min="2" max="2" width="14.42578125" customWidth="1"/>
    <col min="3" max="3" width="12.140625" customWidth="1"/>
    <col min="4" max="4" width="9.140625" style="125" customWidth="1"/>
    <col min="5" max="5" width="10.28515625" customWidth="1"/>
    <col min="6" max="6" width="10.7109375" customWidth="1"/>
    <col min="7" max="7" width="10.7109375" style="40" customWidth="1"/>
    <col min="8" max="8" width="10.7109375" customWidth="1"/>
    <col min="9" max="9" width="10.7109375" style="40" customWidth="1"/>
    <col min="10" max="11" width="10.7109375" customWidth="1"/>
    <col min="14" max="14" width="10.140625" style="1016" customWidth="1"/>
    <col min="17" max="17" width="14.140625" customWidth="1"/>
  </cols>
  <sheetData>
    <row r="1" spans="1:14" ht="15.95" customHeight="1" x14ac:dyDescent="0.3">
      <c r="A1" s="53"/>
      <c r="B1" s="54" t="s">
        <v>31</v>
      </c>
      <c r="C1" s="55"/>
      <c r="D1" s="115"/>
      <c r="E1" s="56"/>
      <c r="F1" s="53"/>
      <c r="G1" s="57"/>
      <c r="H1" s="58"/>
      <c r="I1" s="59"/>
      <c r="J1" s="60"/>
      <c r="K1" s="53"/>
    </row>
    <row r="2" spans="1:14" s="49" customFormat="1" ht="14.1" customHeight="1" x14ac:dyDescent="0.2">
      <c r="A2" s="61"/>
      <c r="B2" s="62" t="s">
        <v>46</v>
      </c>
      <c r="C2" s="63" t="str">
        <f>Sommaire!I1</f>
        <v>.</v>
      </c>
      <c r="D2" s="116"/>
      <c r="E2" s="63"/>
      <c r="F2" s="66" t="s">
        <v>47</v>
      </c>
      <c r="G2" s="88" t="str">
        <f>Sommaire!M2</f>
        <v>SM-0</v>
      </c>
      <c r="H2" s="67"/>
      <c r="I2" s="68"/>
      <c r="J2" s="69"/>
      <c r="K2" s="67"/>
      <c r="N2" s="1022"/>
    </row>
    <row r="3" spans="1:14" s="49" customFormat="1" ht="14.1" customHeight="1" x14ac:dyDescent="0.25">
      <c r="A3" s="61"/>
      <c r="B3" s="70" t="s">
        <v>42</v>
      </c>
      <c r="C3" s="1287" t="str">
        <f>Sommaire!C4</f>
        <v>.</v>
      </c>
      <c r="D3" s="1288"/>
      <c r="E3" s="1281"/>
      <c r="F3" s="66" t="s">
        <v>51</v>
      </c>
      <c r="G3" s="1279" t="str">
        <f>Sommaire!C1</f>
        <v>-</v>
      </c>
      <c r="H3" s="1280"/>
      <c r="I3" s="1281"/>
      <c r="J3" s="67"/>
      <c r="K3" s="67"/>
      <c r="N3" s="1022"/>
    </row>
    <row r="4" spans="1:14" s="49" customFormat="1" ht="14.1" customHeight="1" x14ac:dyDescent="0.2">
      <c r="A4" s="61"/>
      <c r="B4" s="70" t="s">
        <v>32</v>
      </c>
      <c r="C4" s="71"/>
      <c r="D4" s="117"/>
      <c r="E4" s="72"/>
      <c r="F4" s="73" t="s">
        <v>48</v>
      </c>
      <c r="G4" s="1275" t="str">
        <f>Sommaire!I2</f>
        <v>-</v>
      </c>
      <c r="H4" s="1276"/>
      <c r="I4" s="75"/>
      <c r="J4" s="74"/>
      <c r="K4" s="75"/>
      <c r="N4" s="1022"/>
    </row>
    <row r="5" spans="1:14" s="49" customFormat="1" ht="14.1" customHeight="1" x14ac:dyDescent="0.2">
      <c r="A5" s="61"/>
      <c r="B5" s="62" t="s">
        <v>43</v>
      </c>
      <c r="C5" s="89" t="str">
        <f>Sommaire!D13</f>
        <v>.</v>
      </c>
      <c r="D5" s="118"/>
      <c r="E5" s="63"/>
      <c r="F5" s="73" t="s">
        <v>9</v>
      </c>
      <c r="G5" s="87" t="str">
        <f>Sommaire!M1</f>
        <v>2020-00-00</v>
      </c>
      <c r="H5" s="76"/>
      <c r="I5" s="64"/>
      <c r="J5" s="65"/>
      <c r="K5" s="65"/>
      <c r="N5" s="1022"/>
    </row>
    <row r="6" spans="1:14" s="49" customFormat="1" ht="14.1" customHeight="1" x14ac:dyDescent="0.25">
      <c r="A6" s="61"/>
      <c r="B6" s="62" t="s">
        <v>44</v>
      </c>
      <c r="C6" s="89">
        <f>Sommaire!A13</f>
        <v>7</v>
      </c>
      <c r="D6" s="119" t="s">
        <v>29</v>
      </c>
      <c r="E6" s="89">
        <f>Sommaire!B13</f>
        <v>1</v>
      </c>
      <c r="F6" s="114" t="s">
        <v>64</v>
      </c>
      <c r="G6" s="1286" t="str">
        <f>Sommaire!C13</f>
        <v>.</v>
      </c>
      <c r="H6" s="1280"/>
      <c r="I6" s="1280"/>
      <c r="J6" s="1280"/>
      <c r="K6" s="1281"/>
      <c r="N6" s="1022"/>
    </row>
    <row r="7" spans="1:14" ht="9.9499999999999993" customHeight="1" x14ac:dyDescent="0.25">
      <c r="B7" s="21"/>
      <c r="C7" s="21"/>
      <c r="D7" s="120"/>
      <c r="E7" s="22"/>
      <c r="F7" s="18"/>
      <c r="G7" s="37"/>
      <c r="H7" s="20"/>
      <c r="I7" s="37"/>
      <c r="J7" s="19"/>
      <c r="K7" s="19"/>
    </row>
    <row r="8" spans="1:14" s="49" customFormat="1" ht="12.75" customHeight="1" x14ac:dyDescent="0.2">
      <c r="A8" s="1272" t="s">
        <v>45</v>
      </c>
      <c r="B8" s="1273" t="s">
        <v>33</v>
      </c>
      <c r="C8" s="1273"/>
      <c r="D8" s="1255" t="s">
        <v>63</v>
      </c>
      <c r="E8" s="1259" t="s">
        <v>65</v>
      </c>
      <c r="F8" s="1263" t="s">
        <v>49</v>
      </c>
      <c r="G8" s="1261" t="s">
        <v>38</v>
      </c>
      <c r="H8" s="1259" t="s">
        <v>34</v>
      </c>
      <c r="I8" s="1261" t="s">
        <v>35</v>
      </c>
      <c r="J8" s="1252" t="s">
        <v>36</v>
      </c>
      <c r="K8" s="1252" t="s">
        <v>37</v>
      </c>
      <c r="L8" s="1254" t="s">
        <v>50</v>
      </c>
      <c r="M8" s="924" t="s">
        <v>358</v>
      </c>
      <c r="N8" s="1022"/>
    </row>
    <row r="9" spans="1:14" s="49" customFormat="1" ht="12" customHeight="1" x14ac:dyDescent="0.2">
      <c r="A9" s="1253"/>
      <c r="B9" s="1274"/>
      <c r="C9" s="1274"/>
      <c r="D9" s="1256"/>
      <c r="E9" s="1262"/>
      <c r="F9" s="1262"/>
      <c r="G9" s="1224"/>
      <c r="H9" s="1260"/>
      <c r="I9" s="1224"/>
      <c r="J9" s="1253"/>
      <c r="K9" s="1253"/>
      <c r="L9" s="1254"/>
      <c r="M9" s="924" t="s">
        <v>356</v>
      </c>
      <c r="N9" s="1022"/>
    </row>
    <row r="10" spans="1:14" s="49" customFormat="1" ht="12" customHeight="1" x14ac:dyDescent="0.2">
      <c r="A10" s="503"/>
      <c r="B10" s="1289" t="s">
        <v>362</v>
      </c>
      <c r="C10" s="1290"/>
      <c r="D10" s="504"/>
      <c r="E10" s="79">
        <f>D10*E$6</f>
        <v>0</v>
      </c>
      <c r="F10" s="512"/>
      <c r="G10" s="80">
        <f>F10*E10</f>
        <v>0</v>
      </c>
      <c r="H10" s="512"/>
      <c r="I10" s="81">
        <f>H10*G10</f>
        <v>0</v>
      </c>
      <c r="J10" s="523"/>
      <c r="K10" s="50">
        <f>SUM(I10)*J10</f>
        <v>0</v>
      </c>
      <c r="L10" s="931">
        <v>0</v>
      </c>
      <c r="M10" s="77">
        <v>0</v>
      </c>
      <c r="N10" s="1022"/>
    </row>
    <row r="11" spans="1:14" s="49" customFormat="1" ht="12" customHeight="1" x14ac:dyDescent="0.2">
      <c r="A11" s="503"/>
      <c r="B11" s="1225"/>
      <c r="C11" s="1226"/>
      <c r="D11" s="505"/>
      <c r="E11" s="79">
        <f>D11*E$6</f>
        <v>0</v>
      </c>
      <c r="F11" s="513"/>
      <c r="G11" s="80">
        <f>F11*E11</f>
        <v>0</v>
      </c>
      <c r="H11" s="512"/>
      <c r="I11" s="81">
        <f>H11*G11</f>
        <v>0</v>
      </c>
      <c r="J11" s="524"/>
      <c r="K11" s="50">
        <f t="shared" ref="K11:K50" si="0">SUM(I11)*J11</f>
        <v>0</v>
      </c>
      <c r="L11" s="931">
        <v>0</v>
      </c>
      <c r="M11" s="77">
        <v>0</v>
      </c>
      <c r="N11" s="1022"/>
    </row>
    <row r="12" spans="1:14" s="49" customFormat="1" ht="12" customHeight="1" x14ac:dyDescent="0.2">
      <c r="A12" s="506"/>
      <c r="B12" s="1225"/>
      <c r="C12" s="1226"/>
      <c r="D12" s="507"/>
      <c r="E12" s="79">
        <f t="shared" ref="E12:E51" si="1">D12*E$6</f>
        <v>0</v>
      </c>
      <c r="F12" s="514"/>
      <c r="G12" s="80">
        <f t="shared" ref="G12:G51" si="2">F12*E12</f>
        <v>0</v>
      </c>
      <c r="H12" s="512"/>
      <c r="I12" s="81">
        <f t="shared" ref="I12:I51" si="3">H12*G12</f>
        <v>0</v>
      </c>
      <c r="J12" s="525"/>
      <c r="K12" s="50">
        <f t="shared" si="0"/>
        <v>0</v>
      </c>
      <c r="L12" s="931">
        <v>0</v>
      </c>
      <c r="M12" s="77">
        <v>0</v>
      </c>
      <c r="N12" s="1022"/>
    </row>
    <row r="13" spans="1:14" s="49" customFormat="1" ht="12" customHeight="1" x14ac:dyDescent="0.2">
      <c r="A13" s="508"/>
      <c r="B13" s="1225"/>
      <c r="C13" s="1226"/>
      <c r="D13" s="507"/>
      <c r="E13" s="79">
        <f t="shared" si="1"/>
        <v>0</v>
      </c>
      <c r="F13" s="514"/>
      <c r="G13" s="80">
        <f>F13*E13</f>
        <v>0</v>
      </c>
      <c r="H13" s="512"/>
      <c r="I13" s="81">
        <f>H13*G13</f>
        <v>0</v>
      </c>
      <c r="J13" s="525"/>
      <c r="K13" s="50">
        <f>SUM(I13)*J13</f>
        <v>0</v>
      </c>
      <c r="L13" s="931">
        <v>0</v>
      </c>
      <c r="M13" s="77">
        <v>0</v>
      </c>
      <c r="N13" s="1022"/>
    </row>
    <row r="14" spans="1:14" s="49" customFormat="1" ht="12" customHeight="1" x14ac:dyDescent="0.2">
      <c r="A14" s="508"/>
      <c r="B14" s="1225"/>
      <c r="C14" s="1226"/>
      <c r="D14" s="507"/>
      <c r="E14" s="79">
        <f t="shared" si="1"/>
        <v>0</v>
      </c>
      <c r="F14" s="514"/>
      <c r="G14" s="80">
        <f t="shared" si="2"/>
        <v>0</v>
      </c>
      <c r="H14" s="512"/>
      <c r="I14" s="81">
        <f t="shared" si="3"/>
        <v>0</v>
      </c>
      <c r="J14" s="525"/>
      <c r="K14" s="50">
        <f t="shared" si="0"/>
        <v>0</v>
      </c>
      <c r="L14" s="931">
        <v>0</v>
      </c>
      <c r="M14" s="77">
        <v>0</v>
      </c>
      <c r="N14" s="1022"/>
    </row>
    <row r="15" spans="1:14" s="49" customFormat="1" ht="12" customHeight="1" x14ac:dyDescent="0.2">
      <c r="A15" s="508"/>
      <c r="B15" s="1225"/>
      <c r="C15" s="1226"/>
      <c r="D15" s="507"/>
      <c r="E15" s="79">
        <f>D15*E$6</f>
        <v>0</v>
      </c>
      <c r="F15" s="514"/>
      <c r="G15" s="80">
        <f t="shared" si="2"/>
        <v>0</v>
      </c>
      <c r="H15" s="512"/>
      <c r="I15" s="81">
        <f t="shared" si="3"/>
        <v>0</v>
      </c>
      <c r="J15" s="525"/>
      <c r="K15" s="50">
        <f t="shared" si="0"/>
        <v>0</v>
      </c>
      <c r="L15" s="931">
        <v>0</v>
      </c>
      <c r="M15" s="77">
        <v>0</v>
      </c>
      <c r="N15" s="1022"/>
    </row>
    <row r="16" spans="1:14" s="49" customFormat="1" ht="12" customHeight="1" x14ac:dyDescent="0.2">
      <c r="A16" s="508"/>
      <c r="B16" s="1225"/>
      <c r="C16" s="1226"/>
      <c r="D16" s="507"/>
      <c r="E16" s="79">
        <f t="shared" si="1"/>
        <v>0</v>
      </c>
      <c r="F16" s="514"/>
      <c r="G16" s="80">
        <f t="shared" si="2"/>
        <v>0</v>
      </c>
      <c r="H16" s="512"/>
      <c r="I16" s="81">
        <f t="shared" si="3"/>
        <v>0</v>
      </c>
      <c r="J16" s="525"/>
      <c r="K16" s="50">
        <f t="shared" si="0"/>
        <v>0</v>
      </c>
      <c r="L16" s="931">
        <v>0</v>
      </c>
      <c r="M16" s="77">
        <v>0</v>
      </c>
      <c r="N16" s="1022"/>
    </row>
    <row r="17" spans="1:14" s="49" customFormat="1" ht="12" customHeight="1" x14ac:dyDescent="0.2">
      <c r="A17" s="508"/>
      <c r="B17" s="1225"/>
      <c r="C17" s="1226"/>
      <c r="D17" s="507"/>
      <c r="E17" s="79">
        <f t="shared" si="1"/>
        <v>0</v>
      </c>
      <c r="F17" s="514"/>
      <c r="G17" s="80">
        <f t="shared" si="2"/>
        <v>0</v>
      </c>
      <c r="H17" s="512"/>
      <c r="I17" s="81">
        <f t="shared" si="3"/>
        <v>0</v>
      </c>
      <c r="J17" s="525"/>
      <c r="K17" s="50">
        <f t="shared" si="0"/>
        <v>0</v>
      </c>
      <c r="L17" s="931">
        <v>0</v>
      </c>
      <c r="M17" s="77">
        <v>0</v>
      </c>
      <c r="N17" s="1022"/>
    </row>
    <row r="18" spans="1:14" s="49" customFormat="1" ht="12" customHeight="1" x14ac:dyDescent="0.2">
      <c r="A18" s="508"/>
      <c r="B18" s="1225"/>
      <c r="C18" s="1226"/>
      <c r="D18" s="507"/>
      <c r="E18" s="79">
        <f t="shared" si="1"/>
        <v>0</v>
      </c>
      <c r="F18" s="514"/>
      <c r="G18" s="80">
        <f t="shared" si="2"/>
        <v>0</v>
      </c>
      <c r="H18" s="512"/>
      <c r="I18" s="81">
        <f t="shared" si="3"/>
        <v>0</v>
      </c>
      <c r="J18" s="525"/>
      <c r="K18" s="50">
        <f t="shared" si="0"/>
        <v>0</v>
      </c>
      <c r="L18" s="931">
        <v>0</v>
      </c>
      <c r="M18" s="77">
        <v>0</v>
      </c>
      <c r="N18" s="1022"/>
    </row>
    <row r="19" spans="1:14" s="49" customFormat="1" ht="12" customHeight="1" x14ac:dyDescent="0.2">
      <c r="A19" s="508"/>
      <c r="B19" s="1225"/>
      <c r="C19" s="1226"/>
      <c r="D19" s="507"/>
      <c r="E19" s="79">
        <f t="shared" si="1"/>
        <v>0</v>
      </c>
      <c r="F19" s="514"/>
      <c r="G19" s="80">
        <f t="shared" si="2"/>
        <v>0</v>
      </c>
      <c r="H19" s="512"/>
      <c r="I19" s="81">
        <f t="shared" si="3"/>
        <v>0</v>
      </c>
      <c r="J19" s="525"/>
      <c r="K19" s="50">
        <f t="shared" si="0"/>
        <v>0</v>
      </c>
      <c r="L19" s="931">
        <v>0</v>
      </c>
      <c r="M19" s="77">
        <v>0</v>
      </c>
      <c r="N19" s="1022"/>
    </row>
    <row r="20" spans="1:14" s="49" customFormat="1" ht="12" customHeight="1" x14ac:dyDescent="0.2">
      <c r="A20" s="508"/>
      <c r="B20" s="1225"/>
      <c r="C20" s="1226"/>
      <c r="D20" s="507"/>
      <c r="E20" s="79">
        <f t="shared" si="1"/>
        <v>0</v>
      </c>
      <c r="F20" s="514"/>
      <c r="G20" s="80">
        <f t="shared" si="2"/>
        <v>0</v>
      </c>
      <c r="H20" s="512"/>
      <c r="I20" s="81">
        <f t="shared" si="3"/>
        <v>0</v>
      </c>
      <c r="J20" s="525"/>
      <c r="K20" s="50">
        <f t="shared" si="0"/>
        <v>0</v>
      </c>
      <c r="L20" s="931">
        <v>0</v>
      </c>
      <c r="M20" s="77">
        <v>0</v>
      </c>
      <c r="N20" s="1022"/>
    </row>
    <row r="21" spans="1:14" s="49" customFormat="1" ht="12" customHeight="1" x14ac:dyDescent="0.2">
      <c r="A21" s="508"/>
      <c r="B21" s="1225"/>
      <c r="C21" s="1226"/>
      <c r="D21" s="507"/>
      <c r="E21" s="79">
        <f t="shared" si="1"/>
        <v>0</v>
      </c>
      <c r="F21" s="514"/>
      <c r="G21" s="80">
        <f t="shared" si="2"/>
        <v>0</v>
      </c>
      <c r="H21" s="512"/>
      <c r="I21" s="81">
        <f t="shared" si="3"/>
        <v>0</v>
      </c>
      <c r="J21" s="525"/>
      <c r="K21" s="50">
        <f t="shared" si="0"/>
        <v>0</v>
      </c>
      <c r="L21" s="931">
        <v>0</v>
      </c>
      <c r="M21" s="77">
        <v>0</v>
      </c>
      <c r="N21" s="1022"/>
    </row>
    <row r="22" spans="1:14" s="49" customFormat="1" ht="12" customHeight="1" x14ac:dyDescent="0.2">
      <c r="A22" s="508"/>
      <c r="B22" s="1225"/>
      <c r="C22" s="1226"/>
      <c r="D22" s="507"/>
      <c r="E22" s="79">
        <f t="shared" si="1"/>
        <v>0</v>
      </c>
      <c r="F22" s="514"/>
      <c r="G22" s="80">
        <f t="shared" si="2"/>
        <v>0</v>
      </c>
      <c r="H22" s="512"/>
      <c r="I22" s="81">
        <f t="shared" si="3"/>
        <v>0</v>
      </c>
      <c r="J22" s="525"/>
      <c r="K22" s="50">
        <f t="shared" si="0"/>
        <v>0</v>
      </c>
      <c r="L22" s="931">
        <v>0</v>
      </c>
      <c r="M22" s="77">
        <v>0</v>
      </c>
      <c r="N22" s="1022"/>
    </row>
    <row r="23" spans="1:14" s="49" customFormat="1" ht="12" customHeight="1" x14ac:dyDescent="0.2">
      <c r="A23" s="508"/>
      <c r="B23" s="1225"/>
      <c r="C23" s="1226"/>
      <c r="D23" s="507"/>
      <c r="E23" s="79">
        <f t="shared" si="1"/>
        <v>0</v>
      </c>
      <c r="F23" s="514"/>
      <c r="G23" s="80">
        <f t="shared" si="2"/>
        <v>0</v>
      </c>
      <c r="H23" s="512"/>
      <c r="I23" s="81">
        <f t="shared" si="3"/>
        <v>0</v>
      </c>
      <c r="J23" s="525"/>
      <c r="K23" s="50">
        <f t="shared" si="0"/>
        <v>0</v>
      </c>
      <c r="L23" s="931">
        <v>0</v>
      </c>
      <c r="M23" s="77">
        <v>0</v>
      </c>
      <c r="N23" s="1022"/>
    </row>
    <row r="24" spans="1:14" s="49" customFormat="1" ht="12" customHeight="1" x14ac:dyDescent="0.2">
      <c r="A24" s="508"/>
      <c r="B24" s="1225"/>
      <c r="C24" s="1226"/>
      <c r="D24" s="507"/>
      <c r="E24" s="79">
        <f t="shared" si="1"/>
        <v>0</v>
      </c>
      <c r="F24" s="514"/>
      <c r="G24" s="80">
        <f t="shared" si="2"/>
        <v>0</v>
      </c>
      <c r="H24" s="512"/>
      <c r="I24" s="81">
        <f t="shared" si="3"/>
        <v>0</v>
      </c>
      <c r="J24" s="525"/>
      <c r="K24" s="50">
        <f t="shared" si="0"/>
        <v>0</v>
      </c>
      <c r="L24" s="931">
        <v>0</v>
      </c>
      <c r="M24" s="77">
        <v>0</v>
      </c>
      <c r="N24" s="1022"/>
    </row>
    <row r="25" spans="1:14" s="49" customFormat="1" ht="12" customHeight="1" x14ac:dyDescent="0.2">
      <c r="A25" s="508"/>
      <c r="B25" s="1225"/>
      <c r="C25" s="1226"/>
      <c r="D25" s="507"/>
      <c r="E25" s="79">
        <f t="shared" si="1"/>
        <v>0</v>
      </c>
      <c r="F25" s="514"/>
      <c r="G25" s="80">
        <f t="shared" si="2"/>
        <v>0</v>
      </c>
      <c r="H25" s="512"/>
      <c r="I25" s="81">
        <f t="shared" si="3"/>
        <v>0</v>
      </c>
      <c r="J25" s="525"/>
      <c r="K25" s="50">
        <f t="shared" si="0"/>
        <v>0</v>
      </c>
      <c r="L25" s="931">
        <v>0</v>
      </c>
      <c r="M25" s="77">
        <v>0</v>
      </c>
      <c r="N25" s="1022"/>
    </row>
    <row r="26" spans="1:14" s="49" customFormat="1" ht="12" customHeight="1" x14ac:dyDescent="0.2">
      <c r="A26" s="508"/>
      <c r="B26" s="1225"/>
      <c r="C26" s="1226"/>
      <c r="D26" s="507"/>
      <c r="E26" s="79">
        <f t="shared" si="1"/>
        <v>0</v>
      </c>
      <c r="F26" s="514"/>
      <c r="G26" s="80">
        <f t="shared" si="2"/>
        <v>0</v>
      </c>
      <c r="H26" s="512"/>
      <c r="I26" s="81">
        <f t="shared" si="3"/>
        <v>0</v>
      </c>
      <c r="J26" s="525"/>
      <c r="K26" s="50">
        <f t="shared" si="0"/>
        <v>0</v>
      </c>
      <c r="L26" s="931">
        <v>0</v>
      </c>
      <c r="M26" s="77">
        <v>0</v>
      </c>
      <c r="N26" s="1022"/>
    </row>
    <row r="27" spans="1:14" s="49" customFormat="1" ht="12" customHeight="1" x14ac:dyDescent="0.2">
      <c r="A27" s="508"/>
      <c r="B27" s="1225"/>
      <c r="C27" s="1226"/>
      <c r="D27" s="507"/>
      <c r="E27" s="79">
        <f t="shared" si="1"/>
        <v>0</v>
      </c>
      <c r="F27" s="514"/>
      <c r="G27" s="80">
        <f t="shared" si="2"/>
        <v>0</v>
      </c>
      <c r="H27" s="512"/>
      <c r="I27" s="81">
        <f t="shared" si="3"/>
        <v>0</v>
      </c>
      <c r="J27" s="525"/>
      <c r="K27" s="50">
        <f t="shared" si="0"/>
        <v>0</v>
      </c>
      <c r="L27" s="931">
        <v>0</v>
      </c>
      <c r="M27" s="77">
        <v>0</v>
      </c>
      <c r="N27" s="1022"/>
    </row>
    <row r="28" spans="1:14" s="49" customFormat="1" ht="12" customHeight="1" x14ac:dyDescent="0.2">
      <c r="A28" s="508"/>
      <c r="B28" s="1225"/>
      <c r="C28" s="1226"/>
      <c r="D28" s="507"/>
      <c r="E28" s="79">
        <f t="shared" si="1"/>
        <v>0</v>
      </c>
      <c r="F28" s="514"/>
      <c r="G28" s="80">
        <f t="shared" si="2"/>
        <v>0</v>
      </c>
      <c r="H28" s="512"/>
      <c r="I28" s="81">
        <f t="shared" si="3"/>
        <v>0</v>
      </c>
      <c r="J28" s="525"/>
      <c r="K28" s="50">
        <f t="shared" si="0"/>
        <v>0</v>
      </c>
      <c r="L28" s="931">
        <v>0</v>
      </c>
      <c r="M28" s="77">
        <v>0</v>
      </c>
      <c r="N28" s="1022"/>
    </row>
    <row r="29" spans="1:14" s="49" customFormat="1" ht="12" customHeight="1" x14ac:dyDescent="0.2">
      <c r="A29" s="508"/>
      <c r="B29" s="1225"/>
      <c r="C29" s="1226"/>
      <c r="D29" s="507"/>
      <c r="E29" s="79">
        <f t="shared" si="1"/>
        <v>0</v>
      </c>
      <c r="F29" s="514"/>
      <c r="G29" s="80">
        <f t="shared" si="2"/>
        <v>0</v>
      </c>
      <c r="H29" s="512"/>
      <c r="I29" s="81">
        <f t="shared" si="3"/>
        <v>0</v>
      </c>
      <c r="J29" s="525"/>
      <c r="K29" s="50">
        <f t="shared" si="0"/>
        <v>0</v>
      </c>
      <c r="L29" s="931">
        <v>0</v>
      </c>
      <c r="M29" s="77">
        <v>0</v>
      </c>
      <c r="N29" s="1022"/>
    </row>
    <row r="30" spans="1:14" s="49" customFormat="1" ht="12" customHeight="1" x14ac:dyDescent="0.2">
      <c r="A30" s="508"/>
      <c r="B30" s="1225"/>
      <c r="C30" s="1226"/>
      <c r="D30" s="507"/>
      <c r="E30" s="79">
        <f t="shared" si="1"/>
        <v>0</v>
      </c>
      <c r="F30" s="514"/>
      <c r="G30" s="80">
        <f t="shared" si="2"/>
        <v>0</v>
      </c>
      <c r="H30" s="512"/>
      <c r="I30" s="81">
        <f t="shared" si="3"/>
        <v>0</v>
      </c>
      <c r="J30" s="525"/>
      <c r="K30" s="50">
        <f t="shared" si="0"/>
        <v>0</v>
      </c>
      <c r="L30" s="931">
        <v>0</v>
      </c>
      <c r="M30" s="77">
        <v>0</v>
      </c>
      <c r="N30" s="1022"/>
    </row>
    <row r="31" spans="1:14" s="49" customFormat="1" ht="12" customHeight="1" x14ac:dyDescent="0.2">
      <c r="A31" s="508"/>
      <c r="B31" s="1225"/>
      <c r="C31" s="1226"/>
      <c r="D31" s="507"/>
      <c r="E31" s="79">
        <f t="shared" si="1"/>
        <v>0</v>
      </c>
      <c r="F31" s="514"/>
      <c r="G31" s="80">
        <f t="shared" si="2"/>
        <v>0</v>
      </c>
      <c r="H31" s="512"/>
      <c r="I31" s="81">
        <f t="shared" si="3"/>
        <v>0</v>
      </c>
      <c r="J31" s="525"/>
      <c r="K31" s="50">
        <f t="shared" si="0"/>
        <v>0</v>
      </c>
      <c r="L31" s="931">
        <v>0</v>
      </c>
      <c r="M31" s="77">
        <v>0</v>
      </c>
      <c r="N31" s="1022"/>
    </row>
    <row r="32" spans="1:14" s="49" customFormat="1" ht="12" customHeight="1" x14ac:dyDescent="0.2">
      <c r="A32" s="508"/>
      <c r="B32" s="1225"/>
      <c r="C32" s="1226"/>
      <c r="D32" s="507"/>
      <c r="E32" s="79">
        <f t="shared" si="1"/>
        <v>0</v>
      </c>
      <c r="F32" s="514"/>
      <c r="G32" s="80">
        <f t="shared" si="2"/>
        <v>0</v>
      </c>
      <c r="H32" s="512"/>
      <c r="I32" s="81">
        <f t="shared" si="3"/>
        <v>0</v>
      </c>
      <c r="J32" s="525"/>
      <c r="K32" s="50">
        <f t="shared" si="0"/>
        <v>0</v>
      </c>
      <c r="L32" s="931">
        <v>0</v>
      </c>
      <c r="M32" s="77">
        <v>0</v>
      </c>
      <c r="N32" s="1022"/>
    </row>
    <row r="33" spans="1:19" s="49" customFormat="1" ht="12" customHeight="1" x14ac:dyDescent="0.2">
      <c r="A33" s="508"/>
      <c r="B33" s="1225"/>
      <c r="C33" s="1226"/>
      <c r="D33" s="507"/>
      <c r="E33" s="79">
        <f t="shared" si="1"/>
        <v>0</v>
      </c>
      <c r="F33" s="514"/>
      <c r="G33" s="80">
        <f t="shared" si="2"/>
        <v>0</v>
      </c>
      <c r="H33" s="512"/>
      <c r="I33" s="81">
        <f t="shared" si="3"/>
        <v>0</v>
      </c>
      <c r="J33" s="525"/>
      <c r="K33" s="50">
        <f t="shared" si="0"/>
        <v>0</v>
      </c>
      <c r="L33" s="931">
        <v>0</v>
      </c>
      <c r="M33" s="77">
        <v>0</v>
      </c>
      <c r="N33" s="1022"/>
    </row>
    <row r="34" spans="1:19" s="49" customFormat="1" ht="12" customHeight="1" x14ac:dyDescent="0.2">
      <c r="A34" s="508"/>
      <c r="B34" s="1225"/>
      <c r="C34" s="1226"/>
      <c r="D34" s="509"/>
      <c r="E34" s="79">
        <f t="shared" si="1"/>
        <v>0</v>
      </c>
      <c r="F34" s="514"/>
      <c r="G34" s="80">
        <f t="shared" si="2"/>
        <v>0</v>
      </c>
      <c r="H34" s="512"/>
      <c r="I34" s="81">
        <f t="shared" si="3"/>
        <v>0</v>
      </c>
      <c r="J34" s="525"/>
      <c r="K34" s="50">
        <f t="shared" si="0"/>
        <v>0</v>
      </c>
      <c r="L34" s="931">
        <v>0</v>
      </c>
      <c r="M34" s="77">
        <v>0</v>
      </c>
      <c r="N34" s="1022"/>
    </row>
    <row r="35" spans="1:19" s="49" customFormat="1" ht="12" customHeight="1" x14ac:dyDescent="0.2">
      <c r="A35" s="508"/>
      <c r="B35" s="1225"/>
      <c r="C35" s="1226"/>
      <c r="D35" s="509"/>
      <c r="E35" s="79">
        <f t="shared" si="1"/>
        <v>0</v>
      </c>
      <c r="F35" s="514"/>
      <c r="G35" s="80">
        <f t="shared" si="2"/>
        <v>0</v>
      </c>
      <c r="H35" s="512"/>
      <c r="I35" s="81">
        <f t="shared" si="3"/>
        <v>0</v>
      </c>
      <c r="J35" s="525"/>
      <c r="K35" s="50">
        <f t="shared" si="0"/>
        <v>0</v>
      </c>
      <c r="L35" s="931">
        <v>0</v>
      </c>
      <c r="M35" s="77">
        <v>0</v>
      </c>
      <c r="N35" s="1022"/>
    </row>
    <row r="36" spans="1:19" s="49" customFormat="1" ht="12" customHeight="1" x14ac:dyDescent="0.2">
      <c r="A36" s="508"/>
      <c r="B36" s="1277"/>
      <c r="C36" s="1278"/>
      <c r="D36" s="509"/>
      <c r="E36" s="79">
        <f t="shared" si="1"/>
        <v>0</v>
      </c>
      <c r="F36" s="514"/>
      <c r="G36" s="80">
        <f t="shared" si="2"/>
        <v>0</v>
      </c>
      <c r="H36" s="512"/>
      <c r="I36" s="81">
        <f t="shared" si="3"/>
        <v>0</v>
      </c>
      <c r="J36" s="525"/>
      <c r="K36" s="50">
        <f t="shared" si="0"/>
        <v>0</v>
      </c>
      <c r="L36" s="931">
        <v>0</v>
      </c>
      <c r="M36" s="77">
        <v>0</v>
      </c>
      <c r="N36" s="1023"/>
    </row>
    <row r="37" spans="1:19" s="49" customFormat="1" ht="12" customHeight="1" x14ac:dyDescent="0.2">
      <c r="A37" s="508"/>
      <c r="B37" s="1284" t="s">
        <v>363</v>
      </c>
      <c r="C37" s="1285"/>
      <c r="D37" s="509"/>
      <c r="E37" s="79">
        <f t="shared" si="1"/>
        <v>0</v>
      </c>
      <c r="F37" s="514"/>
      <c r="G37" s="80">
        <f>F37*E37</f>
        <v>0</v>
      </c>
      <c r="H37" s="512"/>
      <c r="I37" s="81">
        <f t="shared" si="3"/>
        <v>0</v>
      </c>
      <c r="J37" s="525"/>
      <c r="K37" s="50">
        <f>SUM(I37)*J37</f>
        <v>0</v>
      </c>
      <c r="L37" s="957">
        <v>0</v>
      </c>
      <c r="M37" s="77">
        <v>0</v>
      </c>
      <c r="N37" s="1021"/>
    </row>
    <row r="38" spans="1:19" s="49" customFormat="1" ht="12" customHeight="1" x14ac:dyDescent="0.2">
      <c r="A38" s="508"/>
      <c r="B38" s="1282"/>
      <c r="C38" s="1283"/>
      <c r="D38" s="509"/>
      <c r="E38" s="79">
        <f t="shared" si="1"/>
        <v>0</v>
      </c>
      <c r="F38" s="514"/>
      <c r="G38" s="80">
        <f t="shared" si="2"/>
        <v>0</v>
      </c>
      <c r="H38" s="512"/>
      <c r="I38" s="81">
        <f>H38*G38</f>
        <v>0</v>
      </c>
      <c r="J38" s="525"/>
      <c r="K38" s="50">
        <f t="shared" si="0"/>
        <v>0</v>
      </c>
      <c r="L38" s="958">
        <v>0</v>
      </c>
      <c r="M38" s="77">
        <v>0</v>
      </c>
      <c r="N38" s="1021"/>
    </row>
    <row r="39" spans="1:19" s="49" customFormat="1" ht="12" customHeight="1" x14ac:dyDescent="0.2">
      <c r="A39" s="508"/>
      <c r="B39" s="1282"/>
      <c r="C39" s="1283"/>
      <c r="D39" s="509"/>
      <c r="E39" s="79">
        <f t="shared" si="1"/>
        <v>0</v>
      </c>
      <c r="F39" s="514"/>
      <c r="G39" s="80">
        <f t="shared" si="2"/>
        <v>0</v>
      </c>
      <c r="H39" s="512"/>
      <c r="I39" s="81">
        <f t="shared" si="3"/>
        <v>0</v>
      </c>
      <c r="J39" s="525"/>
      <c r="K39" s="50">
        <f>SUM(I39)*J39</f>
        <v>0</v>
      </c>
      <c r="L39" s="959">
        <v>0</v>
      </c>
      <c r="M39" s="77">
        <v>0</v>
      </c>
      <c r="N39" s="1021"/>
    </row>
    <row r="40" spans="1:19" s="49" customFormat="1" ht="12" customHeight="1" x14ac:dyDescent="0.2">
      <c r="A40" s="508"/>
      <c r="B40" s="1282"/>
      <c r="C40" s="1283"/>
      <c r="D40" s="509"/>
      <c r="E40" s="79">
        <f t="shared" si="1"/>
        <v>0</v>
      </c>
      <c r="F40" s="514"/>
      <c r="G40" s="80">
        <f t="shared" si="2"/>
        <v>0</v>
      </c>
      <c r="H40" s="512"/>
      <c r="I40" s="81">
        <f t="shared" si="3"/>
        <v>0</v>
      </c>
      <c r="J40" s="525"/>
      <c r="K40" s="50">
        <f>SUM(I40)*J40</f>
        <v>0</v>
      </c>
      <c r="L40" s="959">
        <v>0</v>
      </c>
      <c r="M40" s="77">
        <v>0</v>
      </c>
      <c r="N40" s="1021"/>
    </row>
    <row r="41" spans="1:19" s="49" customFormat="1" ht="12" customHeight="1" x14ac:dyDescent="0.2">
      <c r="A41" s="508"/>
      <c r="B41" s="1282"/>
      <c r="C41" s="1283"/>
      <c r="D41" s="509"/>
      <c r="E41" s="79">
        <v>0</v>
      </c>
      <c r="F41" s="514"/>
      <c r="G41" s="80">
        <f t="shared" si="2"/>
        <v>0</v>
      </c>
      <c r="H41" s="512"/>
      <c r="I41" s="81">
        <f t="shared" si="3"/>
        <v>0</v>
      </c>
      <c r="J41" s="525"/>
      <c r="K41" s="50">
        <f>SUM(I41)*J41</f>
        <v>0</v>
      </c>
      <c r="L41" s="960">
        <v>0</v>
      </c>
      <c r="M41" s="77">
        <v>0</v>
      </c>
      <c r="N41" s="1021"/>
    </row>
    <row r="42" spans="1:19" s="49" customFormat="1" ht="12" customHeight="1" x14ac:dyDescent="0.2">
      <c r="A42" s="508"/>
      <c r="B42" s="1282"/>
      <c r="C42" s="1283"/>
      <c r="D42" s="509"/>
      <c r="E42" s="79">
        <f t="shared" si="1"/>
        <v>0</v>
      </c>
      <c r="F42" s="514"/>
      <c r="G42" s="80">
        <f t="shared" si="2"/>
        <v>0</v>
      </c>
      <c r="H42" s="512"/>
      <c r="I42" s="81">
        <f t="shared" si="3"/>
        <v>0</v>
      </c>
      <c r="J42" s="525"/>
      <c r="K42" s="50">
        <f>SUM(I42)*J42</f>
        <v>0</v>
      </c>
      <c r="L42" s="960">
        <v>0</v>
      </c>
      <c r="M42" s="77">
        <v>0</v>
      </c>
      <c r="N42" s="1021"/>
    </row>
    <row r="43" spans="1:19" s="49" customFormat="1" ht="12" customHeight="1" x14ac:dyDescent="0.2">
      <c r="A43" s="508"/>
      <c r="B43" s="1282" t="s">
        <v>55</v>
      </c>
      <c r="C43" s="1283"/>
      <c r="D43" s="509"/>
      <c r="E43" s="79">
        <f t="shared" si="1"/>
        <v>0</v>
      </c>
      <c r="F43" s="514"/>
      <c r="G43" s="80">
        <f t="shared" si="2"/>
        <v>0</v>
      </c>
      <c r="H43" s="512"/>
      <c r="I43" s="81">
        <f t="shared" si="3"/>
        <v>0</v>
      </c>
      <c r="J43" s="525"/>
      <c r="K43" s="50">
        <f>SUM(I43)*J43</f>
        <v>0</v>
      </c>
      <c r="L43" s="960">
        <v>0</v>
      </c>
      <c r="M43" s="77">
        <v>0</v>
      </c>
      <c r="N43" s="1021"/>
      <c r="Q43" s="955"/>
      <c r="S43" s="955"/>
    </row>
    <row r="44" spans="1:19" s="49" customFormat="1" ht="12" customHeight="1" x14ac:dyDescent="0.2">
      <c r="A44" s="508"/>
      <c r="B44" s="1282"/>
      <c r="C44" s="1283"/>
      <c r="D44" s="509"/>
      <c r="E44" s="79">
        <f t="shared" si="1"/>
        <v>0</v>
      </c>
      <c r="F44" s="514"/>
      <c r="G44" s="80">
        <f t="shared" si="2"/>
        <v>0</v>
      </c>
      <c r="H44" s="512"/>
      <c r="I44" s="81">
        <f t="shared" si="3"/>
        <v>0</v>
      </c>
      <c r="J44" s="525"/>
      <c r="K44" s="50">
        <f t="shared" si="0"/>
        <v>0</v>
      </c>
      <c r="L44" s="960">
        <v>0</v>
      </c>
      <c r="M44" s="77">
        <v>0</v>
      </c>
      <c r="N44" s="1021"/>
      <c r="O44" s="961"/>
    </row>
    <row r="45" spans="1:19" s="49" customFormat="1" ht="12" customHeight="1" x14ac:dyDescent="0.2">
      <c r="A45" s="508"/>
      <c r="B45" s="1296" t="s">
        <v>55</v>
      </c>
      <c r="C45" s="1297"/>
      <c r="D45" s="507"/>
      <c r="E45" s="79">
        <f t="shared" si="1"/>
        <v>0</v>
      </c>
      <c r="F45" s="514"/>
      <c r="G45" s="80">
        <f t="shared" si="2"/>
        <v>0</v>
      </c>
      <c r="H45" s="512"/>
      <c r="I45" s="81">
        <f t="shared" si="3"/>
        <v>0</v>
      </c>
      <c r="J45" s="525"/>
      <c r="K45" s="50">
        <f t="shared" si="0"/>
        <v>0</v>
      </c>
      <c r="L45" s="960">
        <v>0</v>
      </c>
      <c r="M45" s="77">
        <v>0</v>
      </c>
      <c r="N45" s="1021"/>
      <c r="O45" s="961"/>
    </row>
    <row r="46" spans="1:19" s="49" customFormat="1" ht="12" customHeight="1" x14ac:dyDescent="0.2">
      <c r="A46" s="508"/>
      <c r="B46" s="1298" t="s">
        <v>55</v>
      </c>
      <c r="C46" s="1299"/>
      <c r="D46" s="507"/>
      <c r="E46" s="79">
        <f t="shared" si="1"/>
        <v>0</v>
      </c>
      <c r="F46" s="514"/>
      <c r="G46" s="80">
        <f t="shared" si="2"/>
        <v>0</v>
      </c>
      <c r="H46" s="512"/>
      <c r="I46" s="81">
        <f t="shared" si="3"/>
        <v>0</v>
      </c>
      <c r="J46" s="525"/>
      <c r="K46" s="50">
        <f t="shared" si="0"/>
        <v>0</v>
      </c>
      <c r="L46" s="956">
        <v>0</v>
      </c>
      <c r="M46" s="77">
        <v>0</v>
      </c>
      <c r="N46" s="1023"/>
      <c r="O46" s="962"/>
    </row>
    <row r="47" spans="1:19" s="49" customFormat="1" ht="12" customHeight="1" x14ac:dyDescent="0.2">
      <c r="A47" s="508"/>
      <c r="B47" s="1294" t="s">
        <v>359</v>
      </c>
      <c r="C47" s="1295"/>
      <c r="D47" s="507"/>
      <c r="E47" s="79">
        <f t="shared" si="1"/>
        <v>0</v>
      </c>
      <c r="F47" s="514"/>
      <c r="G47" s="80">
        <f t="shared" si="2"/>
        <v>0</v>
      </c>
      <c r="H47" s="512"/>
      <c r="I47" s="81">
        <f t="shared" si="3"/>
        <v>0</v>
      </c>
      <c r="J47" s="525"/>
      <c r="K47" s="50">
        <f t="shared" si="0"/>
        <v>0</v>
      </c>
      <c r="L47" s="931">
        <v>0</v>
      </c>
      <c r="M47" s="77">
        <v>0</v>
      </c>
      <c r="N47" s="1022"/>
      <c r="O47" s="962"/>
    </row>
    <row r="48" spans="1:19" s="49" customFormat="1" ht="12" customHeight="1" x14ac:dyDescent="0.2">
      <c r="A48" s="508"/>
      <c r="B48" s="1300" t="s">
        <v>55</v>
      </c>
      <c r="C48" s="1300"/>
      <c r="D48" s="940"/>
      <c r="E48" s="79">
        <f t="shared" si="1"/>
        <v>0</v>
      </c>
      <c r="F48" s="514"/>
      <c r="G48" s="80">
        <f t="shared" si="2"/>
        <v>0</v>
      </c>
      <c r="H48" s="512"/>
      <c r="I48" s="81">
        <f t="shared" si="3"/>
        <v>0</v>
      </c>
      <c r="J48" s="525"/>
      <c r="K48" s="50">
        <f t="shared" si="0"/>
        <v>0</v>
      </c>
      <c r="L48" s="931">
        <v>0</v>
      </c>
      <c r="M48" s="941">
        <v>0</v>
      </c>
      <c r="N48" s="1022"/>
    </row>
    <row r="49" spans="1:17" s="49" customFormat="1" ht="12.75" x14ac:dyDescent="0.2">
      <c r="A49" s="508"/>
      <c r="B49" s="1225" t="s">
        <v>360</v>
      </c>
      <c r="C49" s="1301"/>
      <c r="D49" s="944"/>
      <c r="E49" s="79">
        <f t="shared" si="1"/>
        <v>0</v>
      </c>
      <c r="F49" s="514"/>
      <c r="G49" s="80">
        <f t="shared" si="2"/>
        <v>0</v>
      </c>
      <c r="H49" s="512"/>
      <c r="I49" s="81">
        <f t="shared" si="3"/>
        <v>0</v>
      </c>
      <c r="J49" s="525"/>
      <c r="K49" s="50">
        <f t="shared" si="0"/>
        <v>0</v>
      </c>
      <c r="L49" s="931">
        <v>0</v>
      </c>
      <c r="M49" s="942">
        <f>I52*D49</f>
        <v>0</v>
      </c>
      <c r="N49" s="1022"/>
    </row>
    <row r="50" spans="1:17" s="49" customFormat="1" ht="12.75" x14ac:dyDescent="0.2">
      <c r="A50" s="508"/>
      <c r="B50" s="1225" t="s">
        <v>55</v>
      </c>
      <c r="C50" s="1225"/>
      <c r="D50" s="505"/>
      <c r="E50" s="79">
        <f t="shared" si="1"/>
        <v>0</v>
      </c>
      <c r="F50" s="515"/>
      <c r="G50" s="80">
        <f t="shared" si="2"/>
        <v>0</v>
      </c>
      <c r="H50" s="512"/>
      <c r="I50" s="81">
        <f t="shared" si="3"/>
        <v>0</v>
      </c>
      <c r="J50" s="525"/>
      <c r="K50" s="50">
        <f t="shared" si="0"/>
        <v>0</v>
      </c>
      <c r="L50" s="931">
        <v>0</v>
      </c>
      <c r="M50" s="706">
        <v>0</v>
      </c>
      <c r="N50" s="1022"/>
    </row>
    <row r="51" spans="1:17" s="49" customFormat="1" ht="12.75" customHeight="1" x14ac:dyDescent="0.2">
      <c r="A51" s="508"/>
      <c r="B51" s="1293"/>
      <c r="C51" s="1293"/>
      <c r="D51" s="509"/>
      <c r="E51" s="79">
        <f t="shared" si="1"/>
        <v>0</v>
      </c>
      <c r="F51" s="514"/>
      <c r="G51" s="80">
        <f t="shared" si="2"/>
        <v>0</v>
      </c>
      <c r="H51" s="512"/>
      <c r="I51" s="634">
        <f t="shared" si="3"/>
        <v>0</v>
      </c>
      <c r="J51" s="525"/>
      <c r="K51" s="636">
        <f>SUM(I51)*J51</f>
        <v>0</v>
      </c>
      <c r="L51" s="932">
        <v>0</v>
      </c>
      <c r="M51" s="638">
        <v>0</v>
      </c>
      <c r="N51" s="1022"/>
    </row>
    <row r="52" spans="1:17" s="49" customFormat="1" ht="12.75" x14ac:dyDescent="0.2">
      <c r="A52" s="508"/>
      <c r="B52" s="925" t="s">
        <v>61</v>
      </c>
      <c r="C52" s="925"/>
      <c r="D52" s="121"/>
      <c r="E52" s="79"/>
      <c r="F52" s="514"/>
      <c r="G52" s="80"/>
      <c r="H52" s="514"/>
      <c r="I52" s="81">
        <f>SUM(I10:I51)</f>
        <v>0</v>
      </c>
      <c r="J52" s="525"/>
      <c r="K52" s="635">
        <f>SUM(K10:K51)</f>
        <v>0</v>
      </c>
      <c r="L52" s="933">
        <f>SUM(L10:L51)</f>
        <v>0</v>
      </c>
      <c r="M52" s="637">
        <f>SUM(M10:M51)</f>
        <v>0</v>
      </c>
      <c r="N52" s="1022"/>
    </row>
    <row r="53" spans="1:17" s="49" customFormat="1" ht="12.75" customHeight="1" x14ac:dyDescent="0.2">
      <c r="A53" s="508"/>
      <c r="B53" s="684" t="s">
        <v>238</v>
      </c>
      <c r="C53" s="925" t="s">
        <v>168</v>
      </c>
      <c r="D53" s="121"/>
      <c r="E53" s="511"/>
      <c r="F53" s="514"/>
      <c r="G53" s="80"/>
      <c r="H53" s="514"/>
      <c r="I53" s="82"/>
      <c r="J53" s="525"/>
      <c r="K53" s="935">
        <f>K52*E53%</f>
        <v>0</v>
      </c>
      <c r="L53" s="937">
        <f>L52*F53%</f>
        <v>0</v>
      </c>
      <c r="M53" s="938">
        <f>M52*E53%</f>
        <v>0</v>
      </c>
      <c r="N53" s="1022"/>
    </row>
    <row r="54" spans="1:17" s="49" customFormat="1" x14ac:dyDescent="0.2">
      <c r="A54" s="510"/>
      <c r="B54" s="1235" t="s">
        <v>60</v>
      </c>
      <c r="C54" s="1236"/>
      <c r="D54" s="122"/>
      <c r="E54" s="51"/>
      <c r="F54" s="516"/>
      <c r="G54" s="83"/>
      <c r="H54" s="517"/>
      <c r="I54" s="84"/>
      <c r="J54" s="526"/>
      <c r="K54" s="934">
        <f>SUM(K52:K53)</f>
        <v>0</v>
      </c>
      <c r="L54" s="936">
        <f>SUM(L52:L53)</f>
        <v>0</v>
      </c>
      <c r="M54" s="637">
        <f>SUM(M52:M53)</f>
        <v>0</v>
      </c>
      <c r="N54" s="1022"/>
    </row>
    <row r="55" spans="1:17" ht="24" customHeight="1" x14ac:dyDescent="0.35">
      <c r="A55" s="46"/>
      <c r="B55" s="47"/>
      <c r="C55" s="47"/>
      <c r="D55" s="47"/>
      <c r="E55" s="47"/>
      <c r="F55" s="47"/>
      <c r="G55" s="47"/>
      <c r="H55" s="47"/>
      <c r="I55" s="47"/>
      <c r="J55" s="48"/>
      <c r="K55" s="126" t="s">
        <v>66</v>
      </c>
      <c r="L55" s="1257">
        <f>K54+L54+M54</f>
        <v>0</v>
      </c>
      <c r="M55" s="1258"/>
      <c r="N55" s="1024"/>
    </row>
    <row r="56" spans="1:17" s="5" customFormat="1" ht="19.5" thickBot="1" x14ac:dyDescent="0.25">
      <c r="A56" s="52"/>
      <c r="B56" s="1237" t="s">
        <v>246</v>
      </c>
      <c r="C56" s="1238"/>
      <c r="D56" s="1238"/>
      <c r="E56" s="518"/>
      <c r="F56" s="629"/>
      <c r="G56" s="629"/>
      <c r="H56" s="629"/>
      <c r="I56" s="629"/>
      <c r="J56" s="629"/>
      <c r="K56" s="629"/>
      <c r="L56" s="519"/>
      <c r="M56" s="78"/>
      <c r="N56" s="945"/>
      <c r="O56" s="1291" t="s">
        <v>357</v>
      </c>
      <c r="P56" s="1291"/>
      <c r="Q56" s="1292" t="s">
        <v>364</v>
      </c>
    </row>
    <row r="57" spans="1:17" s="5" customFormat="1" ht="13.5" thickBot="1" x14ac:dyDescent="0.25">
      <c r="A57" s="704"/>
      <c r="B57" s="1267" t="s">
        <v>262</v>
      </c>
      <c r="C57" s="1267"/>
      <c r="D57" s="1267"/>
      <c r="E57" s="628">
        <v>0.05</v>
      </c>
      <c r="F57" s="1268"/>
      <c r="G57" s="1269"/>
      <c r="H57" s="1269"/>
      <c r="I57" s="1269"/>
      <c r="J57" s="1269"/>
      <c r="K57" s="1270"/>
      <c r="L57" s="691"/>
      <c r="M57" s="99">
        <f>+E57*(L55)</f>
        <v>0</v>
      </c>
      <c r="N57" s="946"/>
      <c r="O57" s="948">
        <f>O58+O59</f>
        <v>0</v>
      </c>
      <c r="P57" s="949" t="s">
        <v>38</v>
      </c>
      <c r="Q57" s="1292"/>
    </row>
    <row r="58" spans="1:17" s="5" customFormat="1" ht="13.5" thickBot="1" x14ac:dyDescent="0.25">
      <c r="A58" s="687">
        <v>5012</v>
      </c>
      <c r="B58" s="1267" t="s">
        <v>239</v>
      </c>
      <c r="C58" s="1267"/>
      <c r="D58" s="1267"/>
      <c r="E58" s="520"/>
      <c r="F58" s="1268" t="s">
        <v>333</v>
      </c>
      <c r="G58" s="1269"/>
      <c r="H58" s="1269"/>
      <c r="I58" s="1269"/>
      <c r="J58" s="1269"/>
      <c r="K58" s="1270"/>
      <c r="L58" s="691"/>
      <c r="M58" s="99">
        <f>L58*E58</f>
        <v>0</v>
      </c>
      <c r="N58" s="946"/>
      <c r="O58" s="706">
        <f>M54+M65</f>
        <v>0</v>
      </c>
      <c r="P58" s="939" t="s">
        <v>288</v>
      </c>
      <c r="Q58" s="1292"/>
    </row>
    <row r="59" spans="1:17" s="5" customFormat="1" ht="13.5" thickBot="1" x14ac:dyDescent="0.25">
      <c r="A59" s="687">
        <v>5012</v>
      </c>
      <c r="B59" s="1267" t="s">
        <v>240</v>
      </c>
      <c r="C59" s="1267"/>
      <c r="D59" s="1267"/>
      <c r="E59" s="520"/>
      <c r="F59" s="1268" t="s">
        <v>334</v>
      </c>
      <c r="G59" s="1269"/>
      <c r="H59" s="1269"/>
      <c r="I59" s="1269"/>
      <c r="J59" s="1269"/>
      <c r="K59" s="1270"/>
      <c r="L59" s="686"/>
      <c r="M59" s="685">
        <f>L59*E59</f>
        <v>0</v>
      </c>
      <c r="N59" s="947"/>
      <c r="O59" s="706">
        <f>M69</f>
        <v>0</v>
      </c>
      <c r="P59" s="939" t="s">
        <v>289</v>
      </c>
      <c r="Q59" s="1292"/>
    </row>
    <row r="60" spans="1:17" s="5" customFormat="1" ht="13.5" thickBot="1" x14ac:dyDescent="0.25">
      <c r="A60" s="687">
        <v>5020</v>
      </c>
      <c r="B60" s="1267" t="s">
        <v>339</v>
      </c>
      <c r="C60" s="1267"/>
      <c r="D60" s="1267"/>
      <c r="E60" s="520"/>
      <c r="F60" s="1268" t="s">
        <v>335</v>
      </c>
      <c r="G60" s="1269"/>
      <c r="H60" s="1269"/>
      <c r="I60" s="1269"/>
      <c r="J60" s="1269"/>
      <c r="K60" s="1270"/>
      <c r="L60" s="686">
        <v>90</v>
      </c>
      <c r="M60" s="685">
        <f>L60*E60</f>
        <v>0</v>
      </c>
      <c r="N60" s="1025"/>
      <c r="P60" s="945"/>
      <c r="Q60" s="688">
        <f>SUM(L37:L45)</f>
        <v>0</v>
      </c>
    </row>
    <row r="61" spans="1:17" s="5" customFormat="1" ht="13.5" thickBot="1" x14ac:dyDescent="0.25">
      <c r="A61" s="687"/>
      <c r="B61" s="1267" t="s">
        <v>342</v>
      </c>
      <c r="C61" s="1267"/>
      <c r="D61" s="1267"/>
      <c r="E61" s="520"/>
      <c r="F61" s="1268" t="s">
        <v>337</v>
      </c>
      <c r="G61" s="1269"/>
      <c r="H61" s="1269"/>
      <c r="I61" s="1269"/>
      <c r="J61" s="1269"/>
      <c r="K61" s="1270"/>
      <c r="L61" s="691">
        <v>65</v>
      </c>
      <c r="M61" s="685">
        <f>L61*E61</f>
        <v>0</v>
      </c>
      <c r="N61" s="1026"/>
    </row>
    <row r="62" spans="1:17" s="5" customFormat="1" ht="26.25" thickBot="1" x14ac:dyDescent="0.25">
      <c r="A62" s="687">
        <v>5420</v>
      </c>
      <c r="B62" s="1271" t="s">
        <v>244</v>
      </c>
      <c r="C62" s="1271"/>
      <c r="D62" s="1271"/>
      <c r="E62" s="520"/>
      <c r="F62" s="1264" t="s">
        <v>338</v>
      </c>
      <c r="G62" s="1265"/>
      <c r="H62" s="1265"/>
      <c r="I62" s="1265"/>
      <c r="J62" s="1265"/>
      <c r="K62" s="1266"/>
      <c r="L62" s="694">
        <v>90</v>
      </c>
      <c r="M62" s="910">
        <f>L62*E62</f>
        <v>0</v>
      </c>
      <c r="N62" s="1026"/>
      <c r="O62" s="698" t="s">
        <v>252</v>
      </c>
      <c r="Q62" s="699" t="s">
        <v>241</v>
      </c>
    </row>
    <row r="63" spans="1:17" s="5" customFormat="1" ht="14.25" customHeight="1" thickBot="1" x14ac:dyDescent="0.25">
      <c r="A63" s="687">
        <v>5420</v>
      </c>
      <c r="B63" s="1228" t="s">
        <v>243</v>
      </c>
      <c r="C63" s="1228"/>
      <c r="D63" s="1228"/>
      <c r="E63" s="520"/>
      <c r="F63" s="1264" t="s">
        <v>336</v>
      </c>
      <c r="G63" s="1265"/>
      <c r="H63" s="1265"/>
      <c r="I63" s="1265"/>
      <c r="J63" s="1265"/>
      <c r="K63" s="1266"/>
      <c r="L63" s="691"/>
      <c r="M63" s="695">
        <f>+O70</f>
        <v>0</v>
      </c>
      <c r="N63" s="1026">
        <v>5420</v>
      </c>
      <c r="O63" s="95">
        <f>SUM(M57:M62)+M66</f>
        <v>0</v>
      </c>
      <c r="Q63" s="688">
        <f>SUM(M70:M71)+M68+M73+M74+M75</f>
        <v>0</v>
      </c>
    </row>
    <row r="64" spans="1:17" s="5" customFormat="1" ht="13.5" thickBot="1" x14ac:dyDescent="0.25">
      <c r="A64" s="687">
        <v>5430</v>
      </c>
      <c r="B64" s="1228" t="s">
        <v>242</v>
      </c>
      <c r="C64" s="1228"/>
      <c r="D64" s="1228"/>
      <c r="E64" s="520"/>
      <c r="F64" s="1242" t="s">
        <v>251</v>
      </c>
      <c r="G64" s="1243"/>
      <c r="H64" s="1243"/>
      <c r="I64" s="1243"/>
      <c r="J64" s="1243"/>
      <c r="K64" s="1244"/>
      <c r="L64" s="686"/>
      <c r="M64" s="100">
        <f>+O67</f>
        <v>0</v>
      </c>
      <c r="N64" s="1026">
        <v>5420</v>
      </c>
    </row>
    <row r="65" spans="1:17" s="5" customFormat="1" ht="13.5" thickBot="1" x14ac:dyDescent="0.25">
      <c r="A65" s="687">
        <v>5100</v>
      </c>
      <c r="B65" s="1231" t="s">
        <v>249</v>
      </c>
      <c r="C65" s="1231"/>
      <c r="D65" s="1231"/>
      <c r="E65" s="520"/>
      <c r="F65" s="1239"/>
      <c r="G65" s="1240"/>
      <c r="H65" s="1240"/>
      <c r="I65" s="1240"/>
      <c r="J65" s="1240"/>
      <c r="K65" s="1241"/>
      <c r="L65" s="519"/>
      <c r="M65" s="77">
        <v>0</v>
      </c>
      <c r="N65" s="1026"/>
    </row>
    <row r="66" spans="1:17" s="5" customFormat="1" ht="13.5" thickBot="1" x14ac:dyDescent="0.25">
      <c r="A66" s="687"/>
      <c r="B66" s="1234" t="s">
        <v>248</v>
      </c>
      <c r="C66" s="1234"/>
      <c r="D66" s="1234"/>
      <c r="E66" s="520"/>
      <c r="F66" s="1245"/>
      <c r="G66" s="1246"/>
      <c r="H66" s="1246"/>
      <c r="I66" s="1246"/>
      <c r="J66" s="1246"/>
      <c r="K66" s="1247"/>
      <c r="L66" s="519"/>
      <c r="M66" s="685">
        <f>L66*E66</f>
        <v>0</v>
      </c>
      <c r="N66" s="1026"/>
      <c r="O66" s="527" t="s">
        <v>254</v>
      </c>
      <c r="P66" s="527" t="s">
        <v>255</v>
      </c>
      <c r="Q66" s="527" t="s">
        <v>258</v>
      </c>
    </row>
    <row r="67" spans="1:17" s="5" customFormat="1" ht="15.75" thickBot="1" x14ac:dyDescent="0.25">
      <c r="A67" s="687"/>
      <c r="B67" s="1232" t="s">
        <v>247</v>
      </c>
      <c r="C67" s="1232"/>
      <c r="D67" s="1232"/>
      <c r="E67" s="520"/>
      <c r="F67" s="1239"/>
      <c r="G67" s="1240"/>
      <c r="H67" s="1240"/>
      <c r="I67" s="1240"/>
      <c r="J67" s="1240"/>
      <c r="K67" s="1241"/>
      <c r="L67" s="519"/>
      <c r="M67" s="697"/>
      <c r="N67" s="1026"/>
      <c r="O67" s="528">
        <f>+P67*Q67</f>
        <v>0</v>
      </c>
      <c r="P67" s="529">
        <f>E64</f>
        <v>0</v>
      </c>
      <c r="Q67" s="528">
        <f>+'taux horaire '!D25</f>
        <v>50.937075517464415</v>
      </c>
    </row>
    <row r="68" spans="1:17" s="5" customFormat="1" ht="13.5" thickBot="1" x14ac:dyDescent="0.25">
      <c r="A68" s="687">
        <v>5120</v>
      </c>
      <c r="B68" s="1230" t="s">
        <v>341</v>
      </c>
      <c r="C68" s="1230"/>
      <c r="D68" s="1230"/>
      <c r="E68" s="520"/>
      <c r="F68" s="1239"/>
      <c r="G68" s="1240"/>
      <c r="H68" s="1240"/>
      <c r="I68" s="1240"/>
      <c r="J68" s="1240"/>
      <c r="K68" s="1241"/>
      <c r="L68" s="519"/>
      <c r="M68" s="911">
        <f>L68*E68</f>
        <v>0</v>
      </c>
      <c r="N68" s="1026">
        <v>5120</v>
      </c>
      <c r="O68" s="530"/>
      <c r="P68" s="531"/>
      <c r="Q68" s="530"/>
    </row>
    <row r="69" spans="1:17" s="5" customFormat="1" ht="26.25" thickBot="1" x14ac:dyDescent="0.25">
      <c r="A69" s="704">
        <v>5110</v>
      </c>
      <c r="B69" s="1233" t="s">
        <v>372</v>
      </c>
      <c r="C69" s="1233"/>
      <c r="D69" s="1233"/>
      <c r="E69" s="627"/>
      <c r="F69" s="1239"/>
      <c r="G69" s="1240"/>
      <c r="H69" s="1240"/>
      <c r="I69" s="1240"/>
      <c r="J69" s="1240"/>
      <c r="K69" s="1241"/>
      <c r="L69" s="693"/>
      <c r="M69" s="77">
        <f>L69*E69</f>
        <v>0</v>
      </c>
      <c r="N69" s="1026">
        <v>5110</v>
      </c>
      <c r="O69" s="532" t="s">
        <v>62</v>
      </c>
      <c r="P69" s="539" t="s">
        <v>256</v>
      </c>
      <c r="Q69" s="540" t="s">
        <v>259</v>
      </c>
    </row>
    <row r="70" spans="1:17" s="5" customFormat="1" ht="13.5" thickBot="1" x14ac:dyDescent="0.25">
      <c r="A70" s="90"/>
      <c r="B70" s="1251" t="s">
        <v>373</v>
      </c>
      <c r="C70" s="1251"/>
      <c r="D70" s="1251"/>
      <c r="E70" s="926"/>
      <c r="F70" s="1248"/>
      <c r="G70" s="1249"/>
      <c r="H70" s="1249"/>
      <c r="I70" s="1249"/>
      <c r="J70" s="1249"/>
      <c r="K70" s="1250"/>
      <c r="L70" s="692">
        <v>65</v>
      </c>
      <c r="M70" s="689">
        <f>L70*E70</f>
        <v>0</v>
      </c>
      <c r="N70" s="1026"/>
      <c r="O70" s="533">
        <f>+P70*Q70</f>
        <v>0</v>
      </c>
      <c r="P70" s="534">
        <f>E63</f>
        <v>0</v>
      </c>
      <c r="Q70" s="535">
        <f>+'taux horaire '!D35</f>
        <v>40.943325026559677</v>
      </c>
    </row>
    <row r="71" spans="1:17" s="5" customFormat="1" ht="13.5" thickBot="1" x14ac:dyDescent="0.25">
      <c r="A71" s="703">
        <v>5415</v>
      </c>
      <c r="B71" s="1229" t="s">
        <v>250</v>
      </c>
      <c r="C71" s="1229"/>
      <c r="D71" s="1229"/>
      <c r="E71" s="521"/>
      <c r="F71" s="1248"/>
      <c r="G71" s="1249"/>
      <c r="H71" s="1249"/>
      <c r="I71" s="1249"/>
      <c r="J71" s="1249"/>
      <c r="K71" s="1250"/>
      <c r="L71" s="692">
        <v>145.56</v>
      </c>
      <c r="M71" s="696">
        <f t="shared" ref="M71" si="4">L71*E71</f>
        <v>0</v>
      </c>
      <c r="N71" s="1026">
        <v>5415</v>
      </c>
      <c r="O71" s="530"/>
      <c r="P71" s="531"/>
      <c r="Q71" s="530"/>
    </row>
    <row r="72" spans="1:17" s="5" customFormat="1" ht="26.25" thickBot="1" x14ac:dyDescent="0.25">
      <c r="A72" s="703">
        <v>5410</v>
      </c>
      <c r="B72" s="1227" t="s">
        <v>245</v>
      </c>
      <c r="C72" s="1227"/>
      <c r="D72" s="1227"/>
      <c r="E72" s="521"/>
      <c r="F72" s="1239"/>
      <c r="G72" s="1240"/>
      <c r="H72" s="1240"/>
      <c r="I72" s="1240"/>
      <c r="J72" s="1240"/>
      <c r="K72" s="1241"/>
      <c r="L72" s="519"/>
      <c r="M72" s="536">
        <f>+O73</f>
        <v>0</v>
      </c>
      <c r="N72" s="1026">
        <v>5410</v>
      </c>
      <c r="O72" s="701" t="s">
        <v>253</v>
      </c>
      <c r="P72" s="702" t="s">
        <v>257</v>
      </c>
      <c r="Q72" s="700" t="s">
        <v>260</v>
      </c>
    </row>
    <row r="73" spans="1:17" ht="15.75" thickBot="1" x14ac:dyDescent="0.3">
      <c r="A73" s="705">
        <v>5015</v>
      </c>
      <c r="B73" s="1229" t="s">
        <v>340</v>
      </c>
      <c r="C73" s="1229"/>
      <c r="D73" s="1229"/>
      <c r="E73" s="521"/>
      <c r="F73" s="1239"/>
      <c r="G73" s="1240"/>
      <c r="H73" s="1240"/>
      <c r="I73" s="1240"/>
      <c r="J73" s="1240"/>
      <c r="K73" s="1241"/>
      <c r="L73" s="522">
        <v>48</v>
      </c>
      <c r="M73" s="689">
        <f>(E72*L73)/2</f>
        <v>0</v>
      </c>
      <c r="O73" s="536">
        <f>+P73*Q73</f>
        <v>0</v>
      </c>
      <c r="P73" s="537">
        <f>+E72</f>
        <v>0</v>
      </c>
      <c r="Q73" s="538">
        <f>+'taux horaire '!D38</f>
        <v>80.555459389671356</v>
      </c>
    </row>
    <row r="74" spans="1:17" ht="15.75" thickBot="1" x14ac:dyDescent="0.3">
      <c r="A74" s="705">
        <v>5015</v>
      </c>
      <c r="B74" s="1229"/>
      <c r="C74" s="1229"/>
      <c r="D74" s="1229"/>
      <c r="E74" s="521"/>
      <c r="F74" s="1239"/>
      <c r="G74" s="1240"/>
      <c r="H74" s="1240"/>
      <c r="I74" s="1240"/>
      <c r="J74" s="1240"/>
      <c r="K74" s="1241"/>
      <c r="L74" s="522"/>
      <c r="M74" s="689">
        <f>(L74*E74)</f>
        <v>0</v>
      </c>
    </row>
    <row r="75" spans="1:17" ht="15.75" thickBot="1" x14ac:dyDescent="0.3">
      <c r="A75" s="91"/>
      <c r="B75" s="1229"/>
      <c r="C75" s="1229"/>
      <c r="D75" s="1229"/>
      <c r="E75" s="521"/>
      <c r="F75" s="1239"/>
      <c r="G75" s="1240"/>
      <c r="H75" s="1240"/>
      <c r="I75" s="1240"/>
      <c r="J75" s="1240"/>
      <c r="K75" s="1241"/>
      <c r="L75" s="522"/>
      <c r="M75" s="689">
        <f>(L75*E75)</f>
        <v>0</v>
      </c>
    </row>
    <row r="76" spans="1:17" ht="18" x14ac:dyDescent="0.25">
      <c r="B76" s="9"/>
      <c r="C76" s="9"/>
      <c r="D76" s="123"/>
      <c r="E76" s="23"/>
      <c r="F76" s="24"/>
      <c r="G76" s="37"/>
      <c r="H76" s="26"/>
      <c r="I76" s="37"/>
      <c r="J76" s="25"/>
      <c r="K76" s="25"/>
    </row>
    <row r="77" spans="1:17" x14ac:dyDescent="0.25">
      <c r="B77" s="965"/>
      <c r="C77" s="965"/>
      <c r="D77" s="966"/>
      <c r="E77" s="967"/>
      <c r="F77" s="968"/>
      <c r="G77" s="969"/>
      <c r="H77" s="969"/>
      <c r="I77" s="969"/>
      <c r="J77" s="969"/>
      <c r="K77" s="952"/>
      <c r="L77" s="950"/>
    </row>
    <row r="78" spans="1:17" x14ac:dyDescent="0.25">
      <c r="B78" s="970"/>
      <c r="C78" s="970"/>
      <c r="D78" s="971"/>
      <c r="E78" s="972"/>
      <c r="F78" s="973"/>
      <c r="G78" s="974"/>
      <c r="H78" s="953"/>
      <c r="I78" s="969"/>
      <c r="J78" s="974"/>
      <c r="K78" s="954"/>
      <c r="L78" s="951"/>
    </row>
    <row r="79" spans="1:17" x14ac:dyDescent="0.25">
      <c r="B79" s="1302"/>
      <c r="C79" s="1302"/>
      <c r="D79" s="1302"/>
      <c r="E79" s="1302"/>
      <c r="F79" s="1302"/>
      <c r="G79" s="1302"/>
      <c r="H79" s="1302"/>
      <c r="I79" s="1302"/>
      <c r="J79" s="1302"/>
      <c r="K79" s="952"/>
      <c r="L79" s="950"/>
    </row>
    <row r="80" spans="1:17" ht="18" x14ac:dyDescent="0.25">
      <c r="B80" s="21"/>
      <c r="C80" s="21"/>
      <c r="D80" s="120"/>
      <c r="E80" s="975"/>
      <c r="F80" s="18"/>
      <c r="G80" s="19"/>
      <c r="H80" s="27"/>
      <c r="I80" s="19"/>
      <c r="J80" s="19"/>
      <c r="K80" s="25"/>
    </row>
    <row r="81" spans="2:11" ht="18" x14ac:dyDescent="0.25">
      <c r="B81" s="9"/>
      <c r="C81" s="9"/>
      <c r="D81" s="123"/>
      <c r="E81" s="23"/>
      <c r="F81" s="24"/>
      <c r="G81" s="37"/>
      <c r="H81" s="26"/>
      <c r="I81" s="37"/>
      <c r="J81" s="25"/>
      <c r="K81" s="25"/>
    </row>
    <row r="82" spans="2:11" ht="18" x14ac:dyDescent="0.25">
      <c r="B82" s="9"/>
      <c r="C82" s="9"/>
      <c r="D82" s="123"/>
      <c r="E82" s="23"/>
      <c r="F82" s="24"/>
      <c r="G82" s="37"/>
      <c r="H82" s="26"/>
      <c r="I82" s="37"/>
      <c r="J82" s="25"/>
      <c r="K82" s="25"/>
    </row>
    <row r="83" spans="2:11" ht="18" x14ac:dyDescent="0.25">
      <c r="B83" s="9"/>
      <c r="C83" s="9"/>
      <c r="D83" s="123"/>
      <c r="E83" s="23"/>
      <c r="F83" s="24"/>
      <c r="G83" s="37"/>
      <c r="H83" s="16"/>
      <c r="I83" s="37"/>
      <c r="J83" s="25"/>
      <c r="K83" s="25"/>
    </row>
    <row r="84" spans="2:11" ht="18" x14ac:dyDescent="0.25">
      <c r="B84" s="9"/>
      <c r="C84" s="9"/>
      <c r="D84" s="123"/>
      <c r="E84" s="24"/>
      <c r="F84" s="24"/>
      <c r="G84" s="37"/>
      <c r="H84" s="16"/>
      <c r="I84" s="37"/>
      <c r="J84" s="25"/>
      <c r="K84" s="25"/>
    </row>
    <row r="85" spans="2:11" ht="18" x14ac:dyDescent="0.25">
      <c r="B85" s="9"/>
      <c r="C85" s="9"/>
      <c r="D85" s="123"/>
      <c r="E85" s="24"/>
      <c r="F85" s="24"/>
      <c r="G85" s="37"/>
      <c r="H85" s="16"/>
      <c r="I85" s="37"/>
      <c r="J85" s="25"/>
      <c r="K85" s="25"/>
    </row>
    <row r="86" spans="2:11" ht="18" x14ac:dyDescent="0.25">
      <c r="B86" s="9"/>
      <c r="C86" s="9"/>
      <c r="D86" s="123"/>
      <c r="E86" s="24"/>
      <c r="F86" s="24"/>
      <c r="G86" s="37"/>
      <c r="H86" s="16"/>
      <c r="I86" s="37"/>
      <c r="J86" s="25"/>
      <c r="K86" s="25"/>
    </row>
    <row r="87" spans="2:11" ht="18" x14ac:dyDescent="0.25">
      <c r="B87" s="9"/>
      <c r="C87" s="9"/>
      <c r="D87" s="123"/>
      <c r="E87" s="24"/>
      <c r="F87" s="24"/>
      <c r="G87" s="37"/>
      <c r="H87" s="16"/>
      <c r="I87" s="37"/>
      <c r="J87" s="25"/>
      <c r="K87" s="25"/>
    </row>
    <row r="88" spans="2:11" ht="18" x14ac:dyDescent="0.25">
      <c r="B88" s="9"/>
      <c r="C88" s="9"/>
      <c r="D88" s="123"/>
      <c r="E88" s="24"/>
      <c r="F88" s="24"/>
      <c r="G88" s="37"/>
      <c r="H88" s="16"/>
      <c r="I88" s="37"/>
      <c r="J88" s="25"/>
      <c r="K88" s="25"/>
    </row>
    <row r="89" spans="2:11" ht="18" x14ac:dyDescent="0.25">
      <c r="B89" s="9"/>
      <c r="C89" s="9"/>
      <c r="D89" s="123"/>
      <c r="E89" s="22"/>
      <c r="F89" s="24"/>
      <c r="G89" s="37"/>
      <c r="H89" s="16"/>
      <c r="I89" s="37"/>
      <c r="J89" s="25"/>
      <c r="K89" s="25"/>
    </row>
    <row r="90" spans="2:11" ht="18" x14ac:dyDescent="0.25">
      <c r="B90" s="9"/>
      <c r="C90" s="9"/>
      <c r="D90" s="123"/>
      <c r="E90" s="24"/>
      <c r="F90" s="24"/>
      <c r="G90" s="38"/>
      <c r="H90" s="16"/>
      <c r="I90" s="37"/>
      <c r="J90" s="25"/>
      <c r="K90" s="25"/>
    </row>
    <row r="91" spans="2:11" ht="18" x14ac:dyDescent="0.25">
      <c r="B91" s="9"/>
      <c r="C91" s="9"/>
      <c r="D91" s="123"/>
      <c r="E91" s="24"/>
      <c r="F91" s="24"/>
      <c r="G91" s="37"/>
      <c r="H91" s="16"/>
      <c r="I91" s="41"/>
      <c r="J91" s="25"/>
      <c r="K91" s="25"/>
    </row>
    <row r="92" spans="2:11" ht="18" x14ac:dyDescent="0.25">
      <c r="B92" s="9"/>
      <c r="C92" s="9"/>
      <c r="D92" s="123"/>
      <c r="E92" s="24"/>
      <c r="F92" s="24"/>
      <c r="G92" s="38"/>
      <c r="H92" s="17"/>
      <c r="I92" s="42"/>
      <c r="J92" s="25"/>
      <c r="K92" s="25"/>
    </row>
    <row r="93" spans="2:11" ht="18" x14ac:dyDescent="0.25">
      <c r="B93" s="9"/>
      <c r="C93" s="9"/>
      <c r="D93" s="123"/>
      <c r="E93" s="24"/>
      <c r="F93" s="24"/>
      <c r="G93" s="38"/>
      <c r="H93" s="16"/>
      <c r="I93" s="42"/>
      <c r="J93" s="25"/>
      <c r="K93" s="25"/>
    </row>
    <row r="94" spans="2:11" ht="18" x14ac:dyDescent="0.25">
      <c r="B94" s="9"/>
      <c r="C94" s="9"/>
      <c r="D94" s="123"/>
      <c r="E94" s="24"/>
      <c r="F94" s="24"/>
      <c r="G94" s="38"/>
      <c r="H94" s="16"/>
      <c r="I94" s="43"/>
      <c r="J94" s="25"/>
      <c r="K94" s="25"/>
    </row>
    <row r="95" spans="2:11" ht="18" x14ac:dyDescent="0.25">
      <c r="B95" s="9"/>
      <c r="C95" s="9"/>
      <c r="D95" s="123"/>
      <c r="E95" s="24"/>
      <c r="F95" s="24"/>
      <c r="G95" s="38"/>
      <c r="H95" s="16"/>
      <c r="I95" s="43"/>
      <c r="J95" s="25"/>
      <c r="K95" s="25"/>
    </row>
    <row r="96" spans="2:11" ht="18" x14ac:dyDescent="0.25">
      <c r="B96" s="9"/>
      <c r="C96" s="9"/>
      <c r="D96" s="123"/>
      <c r="E96" s="24"/>
      <c r="F96" s="24"/>
      <c r="G96" s="39"/>
      <c r="H96" s="16"/>
      <c r="I96" s="44"/>
      <c r="J96" s="25"/>
      <c r="K96" s="25"/>
    </row>
    <row r="97" spans="2:11" ht="18" x14ac:dyDescent="0.25">
      <c r="B97" s="9"/>
      <c r="C97" s="9"/>
      <c r="D97" s="123"/>
      <c r="E97" s="24"/>
      <c r="F97" s="24"/>
      <c r="G97" s="39"/>
      <c r="H97" s="16"/>
      <c r="I97" s="45"/>
      <c r="J97" s="25"/>
      <c r="K97" s="25"/>
    </row>
    <row r="98" spans="2:11" ht="18" x14ac:dyDescent="0.25">
      <c r="B98" s="9"/>
      <c r="C98" s="9"/>
      <c r="D98" s="123"/>
      <c r="E98" s="24"/>
      <c r="F98" s="24"/>
      <c r="G98" s="39"/>
      <c r="H98" s="16"/>
      <c r="I98" s="39"/>
      <c r="J98" s="25"/>
      <c r="K98" s="25"/>
    </row>
    <row r="99" spans="2:11" ht="18" x14ac:dyDescent="0.25">
      <c r="B99" s="9"/>
      <c r="C99" s="9"/>
      <c r="D99" s="123"/>
      <c r="E99" s="24"/>
      <c r="F99" s="24"/>
      <c r="G99" s="39"/>
      <c r="H99" s="16"/>
      <c r="I99" s="39"/>
      <c r="J99" s="25"/>
      <c r="K99" s="25"/>
    </row>
    <row r="100" spans="2:11" ht="18" x14ac:dyDescent="0.25">
      <c r="B100" s="9"/>
      <c r="C100" s="9"/>
      <c r="D100" s="123"/>
      <c r="E100" s="24"/>
      <c r="F100" s="24"/>
      <c r="G100" s="39"/>
      <c r="H100" s="16"/>
      <c r="I100" s="39"/>
      <c r="J100" s="25"/>
      <c r="K100" s="25"/>
    </row>
    <row r="101" spans="2:11" ht="18" x14ac:dyDescent="0.25">
      <c r="B101" s="9"/>
      <c r="C101" s="9"/>
      <c r="D101" s="123"/>
      <c r="E101" s="24"/>
      <c r="F101" s="24"/>
      <c r="G101" s="39"/>
      <c r="H101" s="16"/>
      <c r="I101" s="39"/>
      <c r="J101" s="25"/>
      <c r="K101" s="25"/>
    </row>
    <row r="102" spans="2:11" ht="18" x14ac:dyDescent="0.25">
      <c r="B102" s="9"/>
      <c r="C102" s="9"/>
      <c r="D102" s="123"/>
      <c r="E102" s="24"/>
      <c r="F102" s="24"/>
      <c r="G102" s="39"/>
      <c r="H102" s="16"/>
      <c r="I102" s="39"/>
      <c r="J102" s="25"/>
      <c r="K102" s="25"/>
    </row>
    <row r="103" spans="2:11" ht="18" x14ac:dyDescent="0.25">
      <c r="B103" s="9"/>
      <c r="C103" s="9"/>
      <c r="D103" s="123"/>
      <c r="E103" s="24"/>
      <c r="F103" s="24"/>
      <c r="G103" s="39"/>
      <c r="H103" s="16"/>
      <c r="I103" s="39"/>
      <c r="J103" s="25"/>
      <c r="K103" s="25"/>
    </row>
    <row r="104" spans="2:11" ht="18" x14ac:dyDescent="0.25">
      <c r="B104" s="9"/>
      <c r="C104" s="9"/>
      <c r="D104" s="123"/>
      <c r="E104" s="24"/>
      <c r="F104" s="24"/>
      <c r="G104" s="39"/>
      <c r="H104" s="16"/>
      <c r="I104" s="39"/>
      <c r="J104" s="25"/>
      <c r="K104" s="25"/>
    </row>
    <row r="105" spans="2:11" ht="18" x14ac:dyDescent="0.25">
      <c r="B105" s="9"/>
      <c r="C105" s="9"/>
      <c r="D105" s="123"/>
      <c r="E105" s="18"/>
      <c r="F105" s="18"/>
      <c r="G105" s="39"/>
      <c r="H105" s="16"/>
      <c r="I105" s="39"/>
      <c r="J105" s="19"/>
      <c r="K105" s="19"/>
    </row>
    <row r="106" spans="2:11" ht="18" x14ac:dyDescent="0.25">
      <c r="B106" s="9"/>
      <c r="C106" s="9"/>
      <c r="D106" s="123"/>
      <c r="E106" s="18"/>
      <c r="F106" s="18"/>
      <c r="G106" s="39"/>
      <c r="H106" s="16"/>
      <c r="I106" s="39"/>
      <c r="J106" s="19"/>
      <c r="K106" s="19"/>
    </row>
    <row r="107" spans="2:11" ht="18" x14ac:dyDescent="0.25">
      <c r="B107" s="9"/>
      <c r="C107" s="9"/>
      <c r="D107" s="123"/>
      <c r="E107" s="24"/>
      <c r="F107" s="18"/>
      <c r="G107" s="39"/>
      <c r="H107" s="16"/>
      <c r="I107" s="39"/>
      <c r="J107" s="19"/>
      <c r="K107" s="19"/>
    </row>
    <row r="108" spans="2:11" ht="18" x14ac:dyDescent="0.25">
      <c r="B108" s="9"/>
      <c r="C108" s="9"/>
      <c r="D108" s="123"/>
      <c r="E108" s="24"/>
      <c r="F108" s="18"/>
      <c r="G108" s="39"/>
      <c r="H108" s="16"/>
      <c r="I108" s="37"/>
      <c r="J108" s="19"/>
      <c r="K108" s="19"/>
    </row>
    <row r="109" spans="2:11" ht="18" x14ac:dyDescent="0.25">
      <c r="B109" s="9"/>
      <c r="C109" s="9"/>
      <c r="D109" s="123"/>
      <c r="E109" s="24"/>
      <c r="F109" s="18"/>
      <c r="G109" s="39"/>
      <c r="H109" s="21"/>
      <c r="I109" s="39"/>
      <c r="J109" s="19"/>
      <c r="K109" s="19"/>
    </row>
    <row r="110" spans="2:11" ht="18" x14ac:dyDescent="0.25">
      <c r="B110" s="9"/>
      <c r="C110" s="9"/>
      <c r="D110" s="123"/>
      <c r="E110" s="24"/>
      <c r="F110" s="18"/>
      <c r="G110" s="39"/>
      <c r="H110" s="21"/>
      <c r="I110" s="39"/>
      <c r="J110" s="19"/>
      <c r="K110" s="19"/>
    </row>
    <row r="111" spans="2:11" ht="18" x14ac:dyDescent="0.25">
      <c r="B111" s="9"/>
      <c r="C111" s="9"/>
      <c r="D111" s="123"/>
      <c r="E111" s="18"/>
      <c r="F111" s="18"/>
      <c r="G111" s="39"/>
      <c r="H111" s="9"/>
      <c r="I111" s="39"/>
      <c r="J111" s="19"/>
      <c r="K111" s="19"/>
    </row>
    <row r="112" spans="2:11" ht="18" x14ac:dyDescent="0.25">
      <c r="B112" s="9"/>
      <c r="C112" s="9"/>
      <c r="D112" s="123"/>
      <c r="E112" s="18"/>
      <c r="F112" s="18"/>
      <c r="G112" s="39"/>
      <c r="H112" s="9"/>
      <c r="I112" s="39"/>
      <c r="J112" s="19"/>
      <c r="K112" s="19"/>
    </row>
    <row r="113" spans="2:11" ht="18" x14ac:dyDescent="0.25">
      <c r="B113" s="9"/>
      <c r="C113" s="9"/>
      <c r="D113" s="123"/>
      <c r="E113" s="18"/>
      <c r="F113" s="18"/>
      <c r="G113" s="39"/>
      <c r="H113" s="9"/>
      <c r="I113" s="39"/>
      <c r="J113" s="19"/>
      <c r="K113" s="19"/>
    </row>
    <row r="114" spans="2:11" ht="18" x14ac:dyDescent="0.25">
      <c r="B114" s="9"/>
      <c r="C114" s="9"/>
      <c r="D114" s="123"/>
      <c r="E114" s="24"/>
      <c r="F114" s="18"/>
      <c r="J114" s="19"/>
      <c r="K114" s="19"/>
    </row>
    <row r="115" spans="2:11" ht="18" x14ac:dyDescent="0.25">
      <c r="B115" s="9"/>
      <c r="C115" s="9"/>
      <c r="D115" s="123"/>
      <c r="E115" s="18"/>
      <c r="F115" s="18"/>
      <c r="J115" s="19"/>
      <c r="K115" s="19"/>
    </row>
    <row r="116" spans="2:11" ht="18" x14ac:dyDescent="0.25">
      <c r="B116" s="28"/>
      <c r="C116" s="28"/>
      <c r="D116" s="124"/>
      <c r="E116" s="18"/>
      <c r="F116" s="18"/>
      <c r="J116" s="19"/>
      <c r="K116" s="19"/>
    </row>
    <row r="117" spans="2:11" ht="18" x14ac:dyDescent="0.25">
      <c r="B117" s="9"/>
      <c r="C117" s="9"/>
      <c r="D117" s="123"/>
      <c r="E117" s="18"/>
      <c r="F117" s="18"/>
      <c r="J117" s="19"/>
      <c r="K117" s="19"/>
    </row>
    <row r="118" spans="2:11" ht="18" x14ac:dyDescent="0.25">
      <c r="B118" s="9"/>
      <c r="C118" s="9"/>
      <c r="D118" s="123"/>
      <c r="E118" s="18"/>
      <c r="F118" s="18"/>
      <c r="J118" s="19"/>
      <c r="K118" s="19"/>
    </row>
    <row r="119" spans="2:11" ht="18" x14ac:dyDescent="0.25">
      <c r="B119" s="9"/>
      <c r="C119" s="9"/>
      <c r="D119" s="123"/>
      <c r="E119" s="18"/>
      <c r="F119" s="18"/>
      <c r="J119" s="19"/>
      <c r="K119" s="19"/>
    </row>
    <row r="120" spans="2:11" ht="18" x14ac:dyDescent="0.25">
      <c r="B120" s="9"/>
      <c r="C120" s="9"/>
      <c r="D120" s="123"/>
      <c r="E120" s="18"/>
      <c r="F120" s="18"/>
      <c r="J120" s="19"/>
      <c r="K120" s="19"/>
    </row>
    <row r="121" spans="2:11" ht="18" x14ac:dyDescent="0.25">
      <c r="B121" s="9"/>
      <c r="C121" s="9"/>
      <c r="D121" s="123"/>
      <c r="E121" s="18"/>
      <c r="F121" s="18"/>
      <c r="J121" s="19"/>
      <c r="K121" s="19"/>
    </row>
    <row r="122" spans="2:11" ht="18" x14ac:dyDescent="0.25">
      <c r="B122" s="9"/>
      <c r="C122" s="9"/>
      <c r="D122" s="123"/>
      <c r="E122" s="29"/>
      <c r="F122" s="29"/>
      <c r="J122" s="22"/>
      <c r="K122" s="19"/>
    </row>
    <row r="123" spans="2:11" ht="18" x14ac:dyDescent="0.25">
      <c r="B123" s="9"/>
      <c r="C123" s="9"/>
      <c r="D123" s="123"/>
      <c r="E123" s="29"/>
      <c r="F123" s="29"/>
      <c r="J123" s="22"/>
      <c r="K123" s="19"/>
    </row>
    <row r="124" spans="2:11" ht="18" x14ac:dyDescent="0.25">
      <c r="B124" s="9"/>
      <c r="C124" s="9"/>
      <c r="D124" s="123"/>
      <c r="E124" s="29"/>
      <c r="F124" s="29"/>
      <c r="J124" s="30"/>
      <c r="K124" s="16"/>
    </row>
    <row r="125" spans="2:11" ht="18" x14ac:dyDescent="0.25">
      <c r="B125" s="9"/>
      <c r="C125" s="9"/>
      <c r="D125" s="123"/>
      <c r="E125" s="29"/>
      <c r="F125" s="29"/>
      <c r="J125" s="30"/>
      <c r="K125" s="16"/>
    </row>
    <row r="126" spans="2:11" x14ac:dyDescent="0.25">
      <c r="B126" s="9"/>
      <c r="C126" s="9"/>
      <c r="D126" s="123"/>
      <c r="E126" s="29"/>
      <c r="F126" s="29"/>
      <c r="J126" s="31"/>
      <c r="K126" s="31"/>
    </row>
    <row r="127" spans="2:11" x14ac:dyDescent="0.25">
      <c r="B127" s="9"/>
      <c r="C127" s="9"/>
      <c r="D127" s="123"/>
      <c r="E127" s="32"/>
      <c r="F127" s="32"/>
      <c r="J127" s="21"/>
      <c r="K127" s="21"/>
    </row>
    <row r="128" spans="2:11" ht="15.75" x14ac:dyDescent="0.25">
      <c r="B128" s="9"/>
      <c r="C128" s="9"/>
      <c r="D128" s="123"/>
      <c r="E128" s="33"/>
      <c r="F128" s="32"/>
      <c r="J128" s="21"/>
      <c r="K128" s="21"/>
    </row>
    <row r="129" spans="2:11" ht="15.75" x14ac:dyDescent="0.25">
      <c r="B129" s="9"/>
      <c r="C129" s="9"/>
      <c r="D129" s="123"/>
      <c r="E129" s="33"/>
      <c r="F129" s="21"/>
      <c r="J129" s="21"/>
      <c r="K129" s="21"/>
    </row>
    <row r="130" spans="2:11" ht="15.75" x14ac:dyDescent="0.25">
      <c r="B130" s="9"/>
      <c r="C130" s="9"/>
      <c r="D130" s="123"/>
      <c r="E130" s="33"/>
      <c r="F130" s="21"/>
      <c r="J130" s="21"/>
      <c r="K130" s="21"/>
    </row>
    <row r="131" spans="2:11" ht="15.75" x14ac:dyDescent="0.25">
      <c r="B131" s="9"/>
      <c r="C131" s="9"/>
      <c r="D131" s="123"/>
      <c r="E131" s="33"/>
      <c r="F131" s="21"/>
      <c r="J131" s="21"/>
      <c r="K131" s="21"/>
    </row>
    <row r="132" spans="2:11" ht="15.75" x14ac:dyDescent="0.25">
      <c r="B132" s="9"/>
      <c r="C132" s="9"/>
      <c r="D132" s="123"/>
      <c r="E132" s="33"/>
      <c r="F132" s="21"/>
      <c r="J132" s="21"/>
      <c r="K132" s="21"/>
    </row>
    <row r="133" spans="2:11" ht="15.75" x14ac:dyDescent="0.25">
      <c r="B133" s="9"/>
      <c r="C133" s="9"/>
      <c r="D133" s="123"/>
      <c r="E133" s="33"/>
      <c r="F133" s="21"/>
      <c r="J133" s="21"/>
      <c r="K133" s="21"/>
    </row>
    <row r="134" spans="2:11" ht="15.75" x14ac:dyDescent="0.25">
      <c r="B134" s="9"/>
      <c r="C134" s="9"/>
      <c r="D134" s="123"/>
      <c r="E134" s="33"/>
      <c r="F134" s="21"/>
      <c r="J134" s="21"/>
      <c r="K134" s="21"/>
    </row>
    <row r="135" spans="2:11" ht="15.75" x14ac:dyDescent="0.25">
      <c r="B135" s="9"/>
      <c r="C135" s="9"/>
      <c r="D135" s="123"/>
      <c r="E135" s="33"/>
      <c r="F135" s="21"/>
      <c r="J135" s="21"/>
      <c r="K135" s="21"/>
    </row>
    <row r="136" spans="2:11" ht="15.75" x14ac:dyDescent="0.25">
      <c r="B136" s="9"/>
      <c r="C136" s="9"/>
      <c r="D136" s="123"/>
      <c r="E136" s="33"/>
      <c r="F136" s="21"/>
      <c r="J136" s="21"/>
      <c r="K136" s="21"/>
    </row>
    <row r="137" spans="2:11" ht="15.75" x14ac:dyDescent="0.25">
      <c r="B137" s="9"/>
      <c r="C137" s="9"/>
      <c r="D137" s="123"/>
      <c r="E137" s="33"/>
      <c r="F137" s="21"/>
      <c r="J137" s="21"/>
      <c r="K137" s="21"/>
    </row>
    <row r="138" spans="2:11" ht="18" x14ac:dyDescent="0.25">
      <c r="B138" s="9"/>
      <c r="C138" s="9"/>
      <c r="D138" s="123"/>
      <c r="E138" s="34"/>
      <c r="F138" s="21"/>
      <c r="J138" s="16"/>
      <c r="K138" s="21"/>
    </row>
    <row r="139" spans="2:11" x14ac:dyDescent="0.25">
      <c r="B139" s="9"/>
      <c r="C139" s="9"/>
      <c r="D139" s="123"/>
      <c r="E139" s="21"/>
      <c r="F139" s="21"/>
      <c r="J139" s="21"/>
      <c r="K139" s="21"/>
    </row>
    <row r="140" spans="2:11" x14ac:dyDescent="0.25">
      <c r="B140" s="9"/>
      <c r="C140" s="9"/>
      <c r="D140" s="123"/>
      <c r="E140" s="21"/>
      <c r="F140" s="21"/>
      <c r="J140" s="21"/>
      <c r="K140" s="21"/>
    </row>
    <row r="141" spans="2:11" x14ac:dyDescent="0.25">
      <c r="B141" s="9"/>
      <c r="C141" s="9"/>
      <c r="D141" s="123"/>
      <c r="E141" s="9"/>
      <c r="F141" s="9"/>
      <c r="J141" s="9"/>
      <c r="K141" s="9"/>
    </row>
    <row r="142" spans="2:11" x14ac:dyDescent="0.25">
      <c r="B142" s="9"/>
      <c r="C142" s="9"/>
      <c r="D142" s="123"/>
      <c r="E142" s="9"/>
      <c r="F142" s="9"/>
      <c r="J142" s="9"/>
      <c r="K142" s="9"/>
    </row>
    <row r="143" spans="2:11" x14ac:dyDescent="0.25">
      <c r="B143" s="9"/>
      <c r="C143" s="9"/>
      <c r="D143" s="123"/>
      <c r="E143" s="9"/>
      <c r="F143" s="9"/>
      <c r="J143" s="9"/>
      <c r="K143" s="9"/>
    </row>
  </sheetData>
  <mergeCells count="101">
    <mergeCell ref="O56:P56"/>
    <mergeCell ref="Q56:Q59"/>
    <mergeCell ref="B79:J79"/>
    <mergeCell ref="G8:G9"/>
    <mergeCell ref="H8:H9"/>
    <mergeCell ref="B32:C32"/>
    <mergeCell ref="I8:I9"/>
    <mergeCell ref="J8:J9"/>
    <mergeCell ref="B10:C10"/>
    <mergeCell ref="L8:L9"/>
    <mergeCell ref="K8:K9"/>
    <mergeCell ref="B15:C15"/>
    <mergeCell ref="B16:C16"/>
    <mergeCell ref="B17:C17"/>
    <mergeCell ref="B18:C18"/>
    <mergeCell ref="B19:C19"/>
    <mergeCell ref="B20:C20"/>
    <mergeCell ref="B21:C21"/>
    <mergeCell ref="B56:D56"/>
    <mergeCell ref="B57:D57"/>
    <mergeCell ref="B31:C31"/>
    <mergeCell ref="B11:C11"/>
    <mergeCell ref="B12:C12"/>
    <mergeCell ref="B13:C13"/>
    <mergeCell ref="A8:A9"/>
    <mergeCell ref="B8:C9"/>
    <mergeCell ref="E8:E9"/>
    <mergeCell ref="F8:F9"/>
    <mergeCell ref="C3:E3"/>
    <mergeCell ref="D8:D9"/>
    <mergeCell ref="G6:K6"/>
    <mergeCell ref="G3:I3"/>
    <mergeCell ref="G4:H4"/>
    <mergeCell ref="B14:C14"/>
    <mergeCell ref="B33:C33"/>
    <mergeCell ref="B34:C34"/>
    <mergeCell ref="B35:C35"/>
    <mergeCell ref="B36:C36"/>
    <mergeCell ref="B46:C46"/>
    <mergeCell ref="B45:C45"/>
    <mergeCell ref="B43:C43"/>
    <mergeCell ref="B44:C44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B42:C42"/>
    <mergeCell ref="L55:M55"/>
    <mergeCell ref="B64:D64"/>
    <mergeCell ref="F64:K64"/>
    <mergeCell ref="F57:K57"/>
    <mergeCell ref="F58:K58"/>
    <mergeCell ref="B58:D58"/>
    <mergeCell ref="B54:C54"/>
    <mergeCell ref="B51:C51"/>
    <mergeCell ref="B47:C47"/>
    <mergeCell ref="B48:C48"/>
    <mergeCell ref="B50:C50"/>
    <mergeCell ref="F60:K60"/>
    <mergeCell ref="B49:C49"/>
    <mergeCell ref="B65:D65"/>
    <mergeCell ref="F65:K65"/>
    <mergeCell ref="F59:K59"/>
    <mergeCell ref="F61:K61"/>
    <mergeCell ref="F62:K62"/>
    <mergeCell ref="F63:K63"/>
    <mergeCell ref="B59:D59"/>
    <mergeCell ref="B60:D60"/>
    <mergeCell ref="B61:D61"/>
    <mergeCell ref="B62:D62"/>
    <mergeCell ref="B63:D63"/>
    <mergeCell ref="B66:D66"/>
    <mergeCell ref="F66:K66"/>
    <mergeCell ref="B67:D67"/>
    <mergeCell ref="F67:K67"/>
    <mergeCell ref="B68:D68"/>
    <mergeCell ref="F68:K68"/>
    <mergeCell ref="B69:D69"/>
    <mergeCell ref="F69:K69"/>
    <mergeCell ref="B70:D70"/>
    <mergeCell ref="F70:K70"/>
    <mergeCell ref="B71:D71"/>
    <mergeCell ref="F71:K71"/>
    <mergeCell ref="B75:D75"/>
    <mergeCell ref="F75:K75"/>
    <mergeCell ref="B72:D72"/>
    <mergeCell ref="F72:K72"/>
    <mergeCell ref="B73:D73"/>
    <mergeCell ref="F73:K73"/>
    <mergeCell ref="B74:D74"/>
    <mergeCell ref="F74:K74"/>
  </mergeCells>
  <phoneticPr fontId="0" type="noConversion"/>
  <hyperlinks>
    <hyperlink ref="A75" location="Sommaire!A1" display="Sommaire!A1" xr:uid="{00000000-0004-0000-0800-000000000000}"/>
  </hyperlinks>
  <pageMargins left="0.31496062992125984" right="0.31496062992125984" top="0.31496062992125984" bottom="0.31496062992125984" header="0.27559055118110237" footer="0.27559055118110237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12</vt:i4>
      </vt:variant>
    </vt:vector>
  </HeadingPairs>
  <TitlesOfParts>
    <vt:vector size="35" baseType="lpstr">
      <vt:lpstr>Formulaire</vt:lpstr>
      <vt:lpstr>Sommaire</vt:lpstr>
      <vt:lpstr>Item1</vt:lpstr>
      <vt:lpstr>Item2</vt:lpstr>
      <vt:lpstr>Item3</vt:lpstr>
      <vt:lpstr>Item4</vt:lpstr>
      <vt:lpstr>Item5</vt:lpstr>
      <vt:lpstr>Item6</vt:lpstr>
      <vt:lpstr>Item7</vt:lpstr>
      <vt:lpstr>Item8</vt:lpstr>
      <vt:lpstr>Item9</vt:lpstr>
      <vt:lpstr>Item10</vt:lpstr>
      <vt:lpstr>Item11</vt:lpstr>
      <vt:lpstr>Item12</vt:lpstr>
      <vt:lpstr>Estimation</vt:lpstr>
      <vt:lpstr>Variance</vt:lpstr>
      <vt:lpstr>calcul fardeau</vt:lpstr>
      <vt:lpstr>taux horaire </vt:lpstr>
      <vt:lpstr>CSST CCQ</vt:lpstr>
      <vt:lpstr>Evaluation progressive</vt:lpstr>
      <vt:lpstr>Feuil1</vt:lpstr>
      <vt:lpstr>Feuil2</vt:lpstr>
      <vt:lpstr>Feuil3</vt:lpstr>
      <vt:lpstr>Item1!Zone_d_impression</vt:lpstr>
      <vt:lpstr>Item10!Zone_d_impression</vt:lpstr>
      <vt:lpstr>Item11!Zone_d_impression</vt:lpstr>
      <vt:lpstr>Item12!Zone_d_impression</vt:lpstr>
      <vt:lpstr>Item2!Zone_d_impression</vt:lpstr>
      <vt:lpstr>Item3!Zone_d_impression</vt:lpstr>
      <vt:lpstr>Item4!Zone_d_impression</vt:lpstr>
      <vt:lpstr>Item5!Zone_d_impression</vt:lpstr>
      <vt:lpstr>Item6!Zone_d_impression</vt:lpstr>
      <vt:lpstr>Item7!Zone_d_impression</vt:lpstr>
      <vt:lpstr>Item8!Zone_d_impression</vt:lpstr>
      <vt:lpstr>Item9!Zone_d_impression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Poste</dc:creator>
  <cp:lastModifiedBy>Utilisateur</cp:lastModifiedBy>
  <cp:lastPrinted>2019-07-17T19:29:41Z</cp:lastPrinted>
  <dcterms:created xsi:type="dcterms:W3CDTF">2009-04-06T20:36:29Z</dcterms:created>
  <dcterms:modified xsi:type="dcterms:W3CDTF">2020-11-04T17:42:59Z</dcterms:modified>
</cp:coreProperties>
</file>