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9" i="1" l="1"/>
  <c r="M89" i="1"/>
  <c r="F89" i="1"/>
  <c r="L89" i="1" l="1"/>
  <c r="N89" i="1" s="1"/>
  <c r="H81" i="1"/>
  <c r="E81" i="1"/>
  <c r="E82" i="1" s="1"/>
  <c r="G81" i="1"/>
  <c r="G82" i="1" s="1"/>
  <c r="F81" i="1"/>
  <c r="F82" i="1" s="1"/>
  <c r="H78" i="1"/>
  <c r="G78" i="1"/>
  <c r="F78" i="1"/>
  <c r="E78" i="1"/>
  <c r="D78" i="1"/>
  <c r="Q68" i="1"/>
  <c r="Q69" i="1"/>
  <c r="Q70" i="1"/>
  <c r="O68" i="1"/>
  <c r="O70" i="1"/>
  <c r="O69" i="1"/>
  <c r="M69" i="1"/>
  <c r="M68" i="1"/>
  <c r="M70" i="1"/>
  <c r="R70" i="1"/>
  <c r="R68" i="1"/>
  <c r="R69" i="1"/>
  <c r="L56" i="1"/>
  <c r="T43" i="1"/>
  <c r="T45" i="1" s="1"/>
  <c r="I41" i="1" s="1"/>
  <c r="T44" i="1"/>
  <c r="T46" i="1" s="1"/>
  <c r="I42" i="1" s="1"/>
  <c r="T42" i="1"/>
  <c r="G42" i="1" s="1"/>
  <c r="T41" i="1"/>
  <c r="G41" i="1" s="1"/>
  <c r="F42" i="1"/>
  <c r="D14" i="1"/>
  <c r="G14" i="1" s="1"/>
  <c r="J25" i="1"/>
  <c r="N25" i="1" s="1"/>
  <c r="F25" i="1"/>
  <c r="F41" i="1"/>
  <c r="T37" i="1"/>
  <c r="M34" i="1" s="1"/>
  <c r="T34" i="1"/>
  <c r="M33" i="1" s="1"/>
  <c r="L34" i="1"/>
  <c r="K34" i="1"/>
  <c r="L33" i="1"/>
  <c r="K33" i="1"/>
  <c r="T49" i="1"/>
  <c r="K49" i="1" s="1"/>
  <c r="T21" i="1"/>
  <c r="T20" i="1"/>
  <c r="F20" i="1"/>
  <c r="H25" i="1"/>
  <c r="E14" i="1"/>
  <c r="I62" i="1"/>
  <c r="T38" i="1"/>
  <c r="I20" i="1"/>
  <c r="M61" i="1"/>
  <c r="I61" i="1"/>
  <c r="T35" i="1"/>
  <c r="G20" i="1"/>
  <c r="L61" i="1"/>
  <c r="H63" i="1"/>
  <c r="T33" i="1"/>
  <c r="K14" i="1"/>
  <c r="Q20" i="1"/>
  <c r="H61" i="1"/>
  <c r="K61" i="1"/>
  <c r="H62" i="1"/>
  <c r="T36" i="1"/>
  <c r="I14" i="1"/>
  <c r="K50" i="1"/>
  <c r="J62" i="1"/>
  <c r="J61" i="1"/>
  <c r="T25" i="1"/>
  <c r="P63" i="1"/>
  <c r="N62" i="1"/>
  <c r="I78" i="1" l="1"/>
  <c r="J79" i="1" s="1"/>
  <c r="M42" i="1"/>
  <c r="M41" i="1"/>
  <c r="C27" i="1"/>
  <c r="L25" i="1"/>
  <c r="P25" i="1"/>
  <c r="R34" i="1"/>
  <c r="I49" i="1"/>
  <c r="J49" i="1"/>
  <c r="L49" i="1"/>
  <c r="N20" i="1"/>
  <c r="M20" i="1"/>
  <c r="K20" i="1"/>
  <c r="I50" i="1"/>
  <c r="R33" i="1" l="1"/>
  <c r="N50" i="1"/>
  <c r="P50" i="1"/>
  <c r="T52" i="1" s="1"/>
  <c r="P49" i="1" s="1"/>
  <c r="R50" i="1"/>
  <c r="T53" i="1" s="1"/>
  <c r="R49" i="1" s="1"/>
  <c r="M50" i="1"/>
  <c r="T50" i="1" s="1"/>
  <c r="M49" i="1" s="1"/>
  <c r="H82" i="1"/>
  <c r="D81" i="1"/>
  <c r="D82" i="1" s="1"/>
  <c r="I76" i="1"/>
  <c r="T51" i="1" l="1"/>
  <c r="N49" i="1" s="1"/>
  <c r="I82" i="1"/>
  <c r="J83" i="1" s="1"/>
</calcChain>
</file>

<file path=xl/sharedStrings.xml><?xml version="1.0" encoding="utf-8"?>
<sst xmlns="http://schemas.openxmlformats.org/spreadsheetml/2006/main" count="136" uniqueCount="116">
  <si>
    <t>Branch</t>
  </si>
  <si>
    <t>Jump</t>
  </si>
  <si>
    <t>Multicycle CPI</t>
  </si>
  <si>
    <t>Sum</t>
  </si>
  <si>
    <t>Pipelined CPI</t>
  </si>
  <si>
    <t>Pipelined CC</t>
  </si>
  <si>
    <t>Input</t>
  </si>
  <si>
    <t>Tag</t>
  </si>
  <si>
    <t>Index</t>
  </si>
  <si>
    <t>Offset</t>
  </si>
  <si>
    <t>GHz</t>
  </si>
  <si>
    <t>R-type</t>
  </si>
  <si>
    <t>Loại dấu '.'</t>
  </si>
  <si>
    <t>Độ dài phần thập phân</t>
  </si>
  <si>
    <t>Số không dấu?</t>
  </si>
  <si>
    <t>Số có dấu?</t>
  </si>
  <si>
    <t>Bù 1 tương ứng</t>
  </si>
  <si>
    <t>Số bit của ô nhớ</t>
  </si>
  <si>
    <t>Tràn số? (không dấu)</t>
  </si>
  <si>
    <t>Tràn số?(có dấu)</t>
  </si>
  <si>
    <t>Nhị phân(không dấu)</t>
  </si>
  <si>
    <t>Bù 1(có dấu)</t>
  </si>
  <si>
    <t>Bù 2(có dấu)</t>
  </si>
  <si>
    <t>Trash</t>
  </si>
  <si>
    <t>ĐỔI SỐ TỪ NHỊ PHÂN SANG THẬP PHÂN (ĐỀ KHÔNG NÓI CHUẨN GÌ, CÓ DẤU '.' HOẶC KHÔNG)</t>
  </si>
  <si>
    <t>Bit dấu</t>
  </si>
  <si>
    <t>Bù 1(bit dấu=0)</t>
  </si>
  <si>
    <t>Bù 1(bit dấu=1)</t>
  </si>
  <si>
    <t>Bù 2(bit dấu=0)</t>
  </si>
  <si>
    <t>Bù 2(bit dấu=1)</t>
  </si>
  <si>
    <t>TÍNH SỐ LƯỢNG DÂY ĐỊA CHỈ TỐI THIỂU</t>
  </si>
  <si>
    <t>1001.1101</t>
  </si>
  <si>
    <t>Biểu diễn dấu phẩy động được chuẩn hóa (NHỚ NHẬP VÀO Ô "Số bit của ô nhớ" LÀ 32 TRƯỚC KHI ĐỌC KẾT QUẢ Ở BÊN DƯỚI)</t>
  </si>
  <si>
    <t>SBM/chuẩn bit dấu(có dấu)</t>
  </si>
  <si>
    <t>ĐỔI SỐ NGUYÊN TỪ THẬP PHÂN SANG NHỊ PHÂN</t>
  </si>
  <si>
    <t>SBM/chuẩn bit dấu(bit dấu=0)</t>
  </si>
  <si>
    <t>SBM(bit dấu=1)</t>
  </si>
  <si>
    <t>0000000111101100</t>
  </si>
  <si>
    <t>KẾT QUẢ CỦA PHÉP TOÁN</t>
  </si>
  <si>
    <t>Input 1</t>
  </si>
  <si>
    <t>x 2 ^</t>
  </si>
  <si>
    <t>Input 2</t>
  </si>
  <si>
    <t>Input 1 bằng</t>
  </si>
  <si>
    <t>Input 2 bằng</t>
  </si>
  <si>
    <t>+</t>
  </si>
  <si>
    <t>-</t>
  </si>
  <si>
    <t>*</t>
  </si>
  <si>
    <t>/</t>
  </si>
  <si>
    <t>01000101100000000000001000000000</t>
  </si>
  <si>
    <t>ĐỔI SỐ NGUYÊN TỪ NHỊ PHÂN SANG THẬP PHÂN (ĐỀ NÓI RÕ CHUẨN, KHÔNG CÓ DẤU '.')</t>
  </si>
  <si>
    <t>S</t>
  </si>
  <si>
    <t>Exponent</t>
  </si>
  <si>
    <t>Fraction</t>
  </si>
  <si>
    <t>Output</t>
  </si>
  <si>
    <t>Bias</t>
  </si>
  <si>
    <t>CHUYỂN SỐ THỰC DẤU PHẢY ĐỘNG ĐỘ CHÍNH XÁC ĐƠN/KÉP SANG THẬP PHÂN</t>
  </si>
  <si>
    <t>Đơn</t>
  </si>
  <si>
    <t>Kép</t>
  </si>
  <si>
    <t>0011111101001101000000000000000000000000000000000000000000000000</t>
  </si>
  <si>
    <t>CHUYỂN SỐ THẬP PHÂN SANG SỐ PHẢY ĐỘNG ĐỘ CHÍNH XÁC ĐƠN/KÉP</t>
  </si>
  <si>
    <t>!!!Lưu ý: Ví dụ đề bảo số có dấu 89 thì phải nhập vào Input là -89 chứ không phải 89</t>
  </si>
  <si>
    <t>!!!Chú ý: Chỉ xài cho hai input là số không âm</t>
  </si>
  <si>
    <t>!!!Lưu ý: Ví dụ đề bảo số có dấu 1001.1101 thì vẫn nhập vào Input là 1001.1101 nhưng lấy kết quả dựa theo có dấu hay không</t>
  </si>
  <si>
    <t>Kích thước bộ nhớ (theo GB)</t>
  </si>
  <si>
    <t>Số lượng dây địa chỉ tối thiểu</t>
  </si>
  <si>
    <t>Số đường dây của bus dữ liệu = Kích thước của 1 slot theo bit (correct me if im wrong)</t>
  </si>
  <si>
    <t>XÁC ĐỊNH THANH GHI</t>
  </si>
  <si>
    <t>R-format</t>
  </si>
  <si>
    <t>I-format</t>
  </si>
  <si>
    <t>J-format</t>
  </si>
  <si>
    <t>00000001001011011101101111011000</t>
  </si>
  <si>
    <t>rs</t>
  </si>
  <si>
    <t>rt</t>
  </si>
  <si>
    <t>rd</t>
  </si>
  <si>
    <t>shamt</t>
  </si>
  <si>
    <t>funct</t>
  </si>
  <si>
    <t>address</t>
  </si>
  <si>
    <t>op</t>
  </si>
  <si>
    <t>00000101010110011111100110000000</t>
  </si>
  <si>
    <t>offset</t>
  </si>
  <si>
    <t>Kích thước cache ánh xạ trực tiếp</t>
  </si>
  <si>
    <t>Theo byte</t>
  </si>
  <si>
    <t>Theo KB</t>
  </si>
  <si>
    <t>Theo MB</t>
  </si>
  <si>
    <t>!!!Lưu ý: Nhập đúng vào dòng của đơn vị tương ứng với đề</t>
  </si>
  <si>
    <t>Kích thước slot (theo byte)</t>
  </si>
  <si>
    <t>Thanh ghi địa chỉ (theo bit)</t>
  </si>
  <si>
    <t>Tỉ lệ</t>
  </si>
  <si>
    <t>Tham chiếu</t>
  </si>
  <si>
    <t>XÁC ĐỊNH TỈ LỆ VÀ GIÁ TRỊ CỦA CÁC PHẦN CỦA THANH GHI ĐỊA CHỈ</t>
  </si>
  <si>
    <t>TÍNH CHỈ SỐ TRIỆU LỆNH TRÊN GIÂY/MIPS</t>
  </si>
  <si>
    <t>Tập lệnh</t>
  </si>
  <si>
    <t>Đọc</t>
  </si>
  <si>
    <t>Ghi</t>
  </si>
  <si>
    <t>Triệu lệnh trên giây</t>
  </si>
  <si>
    <t>Đọc có hiện tượng phụ thuộc dữ liệu</t>
  </si>
  <si>
    <t>Tốn cycle</t>
  </si>
  <si>
    <t>Rẽ nhánh dự đoán sai</t>
  </si>
  <si>
    <t>Nhảy không điều kiện</t>
  </si>
  <si>
    <t>lw và sw</t>
  </si>
  <si>
    <t>CPI lý tưởng</t>
  </si>
  <si>
    <t>Tỉ lệ miss của I-cache</t>
  </si>
  <si>
    <t>Tỉ lệ lỗi của D-cache</t>
  </si>
  <si>
    <t>Chi phí mỗi lần miss</t>
  </si>
  <si>
    <t>Số chu kỳ miss/lệnh</t>
  </si>
  <si>
    <t>CPI thực</t>
  </si>
  <si>
    <t>TÍNH CPI THỰC CỦA HỆ THỐNG 1 MỨC CACHE</t>
  </si>
  <si>
    <t>* HƯỚNG DẪN SỬ DỤNG:</t>
  </si>
  <si>
    <r>
      <t xml:space="preserve">- </t>
    </r>
    <r>
      <rPr>
        <sz val="11"/>
        <color rgb="FF00B050"/>
        <rFont val="Calibri"/>
        <family val="2"/>
        <scheme val="minor"/>
      </rPr>
      <t>Số màu xanh</t>
    </r>
    <r>
      <rPr>
        <sz val="11"/>
        <color theme="1"/>
        <rFont val="Calibri"/>
        <family val="2"/>
        <scheme val="minor"/>
      </rPr>
      <t xml:space="preserve"> là dữ liệu đầu vào cần nhập</t>
    </r>
  </si>
  <si>
    <r>
      <t xml:space="preserve">- </t>
    </r>
    <r>
      <rPr>
        <b/>
        <sz val="11"/>
        <color rgb="FFFF0000"/>
        <rFont val="Calibri"/>
        <family val="2"/>
        <scheme val="minor"/>
      </rPr>
      <t>Số màu đỏ</t>
    </r>
    <r>
      <rPr>
        <sz val="11"/>
        <color theme="1"/>
        <rFont val="Calibri"/>
        <family val="2"/>
        <scheme val="minor"/>
      </rPr>
      <t xml:space="preserve"> là kết quả</t>
    </r>
  </si>
  <si>
    <t>- Cấu hình khuyên dùng: Excel 2016, ở bản khác một số công thức có thể không dùng được</t>
  </si>
  <si>
    <t>- Lưu ý: KHÔNG XÓA BẤT KỲ HÀNG/CỘT NÀO</t>
  </si>
  <si>
    <t>- Mọi ý kiến đóng góp xin liên hệ https://www.facebook.com/newluminous</t>
  </si>
  <si>
    <t>CPI khi không có cache</t>
  </si>
  <si>
    <t>Số lần có cache nhanh hơn không có cache</t>
  </si>
  <si>
    <t>- Để lấy kết quả thì chỉ cần Ctrl+C ở ô kết quả và Ctrl+V ở các ô dạng điền là được chứ không cần nhìn theo rồi gõ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</si>
</sst>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9" fontId="0" fillId="0" borderId="0" xfId="0" applyNumberFormat="1"/>
    <xf numFmtId="0" fontId="2" fillId="0" borderId="0" xfId="0" applyFont="1"/>
    <xf numFmtId="0" fontId="2" fillId="0" borderId="0" xfId="0" applyNumberFormat="1" applyFont="1"/>
    <xf numFmtId="9" fontId="2" fillId="0" borderId="0" xfId="0" applyNumberFormat="1" applyFont="1"/>
    <xf numFmtId="0" fontId="2" fillId="0" borderId="0" xfId="0" quotePrefix="1" applyFont="1"/>
    <xf numFmtId="0" fontId="0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49" fontId="0" fillId="0" borderId="0" xfId="0" applyNumberFormat="1"/>
    <xf numFmtId="49" fontId="2" fillId="0" borderId="0" xfId="0" applyNumberFormat="1" applyFont="1"/>
    <xf numFmtId="0" fontId="6" fillId="0" borderId="0" xfId="0" applyNumberFormat="1" applyFont="1"/>
    <xf numFmtId="0" fontId="4" fillId="0" borderId="0" xfId="0" applyNumberFormat="1" applyFont="1"/>
    <xf numFmtId="49" fontId="3" fillId="0" borderId="0" xfId="0" quotePrefix="1" applyNumberFormat="1" applyFont="1"/>
    <xf numFmtId="49" fontId="8" fillId="0" borderId="0" xfId="0" quotePrefix="1" applyNumberFormat="1" applyFont="1"/>
    <xf numFmtId="0" fontId="6" fillId="0" borderId="0" xfId="0" applyFont="1"/>
    <xf numFmtId="0" fontId="8" fillId="0" borderId="0" xfId="0" applyFont="1"/>
    <xf numFmtId="0" fontId="3" fillId="0" borderId="0" xfId="0" quotePrefix="1" applyFont="1"/>
    <xf numFmtId="0" fontId="7" fillId="0" borderId="0" xfId="0" applyFont="1"/>
    <xf numFmtId="0" fontId="5" fillId="0" borderId="0" xfId="0" applyNumberFormat="1" applyFont="1"/>
    <xf numFmtId="49" fontId="6" fillId="0" borderId="0" xfId="0" quotePrefix="1" applyNumberFormat="1" applyFont="1"/>
    <xf numFmtId="0" fontId="6" fillId="0" borderId="0" xfId="0" quotePrefix="1" applyFont="1"/>
    <xf numFmtId="0" fontId="8" fillId="0" borderId="0" xfId="0" quotePrefix="1" applyFont="1"/>
    <xf numFmtId="49" fontId="8" fillId="0" borderId="0" xfId="0" applyNumberFormat="1" applyFont="1"/>
    <xf numFmtId="0" fontId="9" fillId="0" borderId="0" xfId="0" applyFont="1"/>
    <xf numFmtId="0" fontId="10" fillId="0" borderId="0" xfId="0" applyFont="1"/>
    <xf numFmtId="9" fontId="8" fillId="0" borderId="0" xfId="0" applyNumberFormat="1" applyFont="1"/>
    <xf numFmtId="9" fontId="8" fillId="0" borderId="0" xfId="1" applyFont="1"/>
    <xf numFmtId="0" fontId="8" fillId="0" borderId="0" xfId="0" applyNumberFormat="1" applyFont="1"/>
    <xf numFmtId="0" fontId="12" fillId="0" borderId="0" xfId="0" applyFont="1"/>
    <xf numFmtId="0" fontId="13" fillId="0" borderId="0" xfId="0" applyFont="1"/>
    <xf numFmtId="0" fontId="11" fillId="0" borderId="0" xfId="0" applyFont="1"/>
    <xf numFmtId="0" fontId="0" fillId="0" borderId="0" xfId="0" quotePrefix="1"/>
    <xf numFmtId="0" fontId="12" fillId="0" borderId="0" xfId="0" quotePrefix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96"/>
  <sheetViews>
    <sheetView tabSelected="1" workbookViewId="0">
      <selection activeCell="C9" sqref="C9"/>
    </sheetView>
  </sheetViews>
  <sheetFormatPr defaultRowHeight="14.4" x14ac:dyDescent="0.3"/>
  <cols>
    <col min="3" max="3" width="17.33203125" customWidth="1"/>
    <col min="4" max="4" width="10.44140625" customWidth="1"/>
    <col min="5" max="5" width="11.33203125" customWidth="1"/>
    <col min="6" max="6" width="10.109375" customWidth="1"/>
    <col min="7" max="7" width="8.88671875" customWidth="1"/>
    <col min="9" max="9" width="11.6640625" bestFit="1" customWidth="1"/>
    <col min="10" max="10" width="9.5546875" customWidth="1"/>
    <col min="11" max="11" width="13.44140625" customWidth="1"/>
    <col min="12" max="12" width="11.6640625" customWidth="1"/>
    <col min="13" max="13" width="22.88671875" customWidth="1"/>
    <col min="15" max="15" width="10.33203125" customWidth="1"/>
    <col min="16" max="16" width="12" bestFit="1" customWidth="1"/>
    <col min="20" max="20" width="12" bestFit="1" customWidth="1"/>
  </cols>
  <sheetData>
    <row r="3" spans="3:14" x14ac:dyDescent="0.3">
      <c r="C3" t="s">
        <v>107</v>
      </c>
    </row>
    <row r="4" spans="3:14" x14ac:dyDescent="0.3">
      <c r="C4" s="33" t="s">
        <v>110</v>
      </c>
    </row>
    <row r="5" spans="3:14" x14ac:dyDescent="0.3">
      <c r="C5" s="33" t="s">
        <v>108</v>
      </c>
    </row>
    <row r="6" spans="3:14" x14ac:dyDescent="0.3">
      <c r="C6" s="33" t="s">
        <v>109</v>
      </c>
    </row>
    <row r="7" spans="3:14" x14ac:dyDescent="0.3">
      <c r="C7" s="18" t="s">
        <v>111</v>
      </c>
      <c r="D7" s="8"/>
      <c r="E7" s="8"/>
    </row>
    <row r="8" spans="3:14" x14ac:dyDescent="0.3">
      <c r="C8" s="18" t="s">
        <v>115</v>
      </c>
      <c r="D8" s="8"/>
      <c r="E8" s="8"/>
    </row>
    <row r="9" spans="3:14" x14ac:dyDescent="0.3">
      <c r="C9" s="34" t="s">
        <v>112</v>
      </c>
      <c r="D9" s="30"/>
      <c r="E9" s="30"/>
      <c r="F9" s="30"/>
      <c r="G9" s="30"/>
      <c r="H9" s="30"/>
    </row>
    <row r="12" spans="3:14" x14ac:dyDescent="0.3">
      <c r="E12" s="9" t="s">
        <v>24</v>
      </c>
      <c r="F12" s="9"/>
      <c r="G12" s="9"/>
      <c r="H12" s="9"/>
    </row>
    <row r="13" spans="3:14" x14ac:dyDescent="0.3">
      <c r="C13" s="5" t="s">
        <v>6</v>
      </c>
      <c r="D13" s="2" t="s">
        <v>12</v>
      </c>
      <c r="E13" s="2" t="s">
        <v>13</v>
      </c>
      <c r="F13" s="5"/>
      <c r="G13" s="2" t="s">
        <v>16</v>
      </c>
      <c r="I13" s="2" t="s">
        <v>14</v>
      </c>
      <c r="K13" s="2" t="s">
        <v>15</v>
      </c>
    </row>
    <row r="14" spans="3:14" x14ac:dyDescent="0.3">
      <c r="C14" s="15" t="s">
        <v>31</v>
      </c>
      <c r="D14" s="2" t="str">
        <f>SUBSTITUTE(C14,".","")</f>
        <v>10011101</v>
      </c>
      <c r="E14" s="3">
        <f>IF(ISNUMBER(SEARCH(".",C14)),LEN(C14)-FIND(".",C14),0)</f>
        <v>4</v>
      </c>
      <c r="F14" s="6"/>
      <c r="G14" s="12" t="str">
        <f>SUBSTITUTE(SUBSTITUTE(SUBSTITUTE(D14,"0","*"),"1","0"),"*","1")</f>
        <v>01100010</v>
      </c>
      <c r="I14" s="13">
        <f ca="1">SUMPRODUCT(--MID(D14,LEN(D14)+1-ROW(INDIRECT("1:"&amp;LEN(D14))),1),(2^(ROW(INDIRECT("1:"&amp;LEN(D14)))-1)))/(2^E14)</f>
        <v>9.8125</v>
      </c>
      <c r="K14" s="13">
        <f ca="1">-(SUMPRODUCT(--MID(G14,LEN(G14)+1-ROW(INDIRECT("1:"&amp;LEN(G14))),1),(2^(ROW(INDIRECT("1:"&amp;LEN(G14)))-1)))+1)/(2^E14)</f>
        <v>-6.1875</v>
      </c>
      <c r="N14" s="10"/>
    </row>
    <row r="15" spans="3:14" x14ac:dyDescent="0.3">
      <c r="C15" s="14" t="s">
        <v>62</v>
      </c>
      <c r="D15" s="2"/>
      <c r="E15" s="3"/>
      <c r="F15" s="6"/>
      <c r="G15" s="12"/>
      <c r="I15" s="13"/>
      <c r="K15" s="13"/>
      <c r="N15" s="10"/>
    </row>
    <row r="16" spans="3:14" x14ac:dyDescent="0.3">
      <c r="C16" s="15"/>
      <c r="D16" s="2"/>
      <c r="E16" s="3"/>
      <c r="F16" s="6"/>
      <c r="G16" s="12"/>
      <c r="I16" s="13"/>
      <c r="K16" s="13"/>
      <c r="N16" s="10"/>
    </row>
    <row r="17" spans="3:22" x14ac:dyDescent="0.3">
      <c r="C17" s="15"/>
      <c r="D17" s="2"/>
      <c r="E17" s="3"/>
      <c r="F17" s="6"/>
      <c r="G17" s="12"/>
      <c r="I17" s="13"/>
      <c r="K17" s="13"/>
      <c r="N17" s="10"/>
    </row>
    <row r="18" spans="3:22" x14ac:dyDescent="0.3">
      <c r="C18" s="15"/>
      <c r="D18" s="2"/>
      <c r="E18" s="20" t="s">
        <v>49</v>
      </c>
      <c r="F18" s="6"/>
      <c r="G18" s="12"/>
      <c r="I18" s="13"/>
      <c r="K18" s="13"/>
      <c r="N18" s="10"/>
    </row>
    <row r="19" spans="3:22" x14ac:dyDescent="0.3">
      <c r="C19" s="21" t="s">
        <v>6</v>
      </c>
      <c r="D19" s="2"/>
      <c r="E19" s="20"/>
      <c r="F19" s="2" t="s">
        <v>25</v>
      </c>
      <c r="G19" s="12" t="s">
        <v>26</v>
      </c>
      <c r="I19" s="3" t="s">
        <v>27</v>
      </c>
      <c r="K19" s="3" t="s">
        <v>28</v>
      </c>
      <c r="M19" s="2" t="s">
        <v>29</v>
      </c>
      <c r="N19" s="11" t="s">
        <v>35</v>
      </c>
      <c r="Q19" s="2" t="s">
        <v>36</v>
      </c>
      <c r="T19" s="31" t="s">
        <v>23</v>
      </c>
    </row>
    <row r="20" spans="3:22" x14ac:dyDescent="0.3">
      <c r="C20" s="15" t="s">
        <v>37</v>
      </c>
      <c r="D20" s="2"/>
      <c r="E20" s="20"/>
      <c r="F20" s="2" t="str">
        <f>MID(C20,1,1)</f>
        <v>0</v>
      </c>
      <c r="G20" s="13">
        <f ca="1">SUMPRODUCT(--MID(C20,LEN(C20)+1-ROW(INDIRECT("1:"&amp;LEN(C20))),1),(2^(ROW(INDIRECT("1:"&amp;LEN(C20)))-1)))</f>
        <v>492</v>
      </c>
      <c r="I20" s="13">
        <f ca="1">-SUMPRODUCT(--MID(T20,LEN(T20)+1-ROW(INDIRECT("1:"&amp;LEN(T20))),1),(2^(ROW(INDIRECT("1:"&amp;LEN(T20)))-1)))</f>
        <v>-65043</v>
      </c>
      <c r="K20" s="13">
        <f ca="1">G20</f>
        <v>492</v>
      </c>
      <c r="M20" s="7">
        <f ca="1">-(-I20+1)</f>
        <v>-65044</v>
      </c>
      <c r="N20" s="13">
        <f ca="1">G20</f>
        <v>492</v>
      </c>
      <c r="Q20" s="7">
        <f ca="1">-SUMPRODUCT(--MID(T21,LEN(T21)+1-ROW(INDIRECT("1:"&amp;LEN(T21))),1),(2^(ROW(INDIRECT("1:"&amp;LEN(T21)))-1)))</f>
        <v>-492</v>
      </c>
      <c r="T20" s="32" t="str">
        <f>SUBSTITUTE(SUBSTITUTE(SUBSTITUTE(C20,"0","*"),"1","0"),"*","1")</f>
        <v>1111111000010011</v>
      </c>
    </row>
    <row r="21" spans="3:22" x14ac:dyDescent="0.3">
      <c r="C21" s="8"/>
      <c r="D21" s="8"/>
      <c r="E21" s="7"/>
      <c r="F21" s="8"/>
      <c r="G21" s="7"/>
      <c r="I21" s="7"/>
      <c r="K21" s="10"/>
      <c r="T21" s="32" t="str">
        <f>0&amp;MID(C20,2,LEN(C20)-1)</f>
        <v>0000000111101100</v>
      </c>
    </row>
    <row r="22" spans="3:22" x14ac:dyDescent="0.3">
      <c r="T22" s="32"/>
    </row>
    <row r="23" spans="3:22" x14ac:dyDescent="0.3">
      <c r="E23" s="9" t="s">
        <v>34</v>
      </c>
      <c r="F23" s="9"/>
      <c r="G23" s="9"/>
      <c r="H23" s="9"/>
      <c r="T23" s="32"/>
    </row>
    <row r="24" spans="3:22" x14ac:dyDescent="0.3">
      <c r="C24" s="2" t="s">
        <v>6</v>
      </c>
      <c r="D24" s="2" t="s">
        <v>17</v>
      </c>
      <c r="E24" s="2"/>
      <c r="F24" s="2" t="s">
        <v>18</v>
      </c>
      <c r="G24" s="2"/>
      <c r="H24" s="2" t="s">
        <v>19</v>
      </c>
      <c r="I24" s="2"/>
      <c r="J24" s="2" t="s">
        <v>20</v>
      </c>
      <c r="K24" s="2"/>
      <c r="L24" s="2" t="s">
        <v>33</v>
      </c>
      <c r="M24" s="2"/>
      <c r="N24" s="2" t="s">
        <v>21</v>
      </c>
      <c r="O24" s="2"/>
      <c r="P24" s="2" t="s">
        <v>22</v>
      </c>
      <c r="T24" s="31" t="s">
        <v>23</v>
      </c>
    </row>
    <row r="25" spans="3:22" x14ac:dyDescent="0.3">
      <c r="C25" s="17">
        <v>273</v>
      </c>
      <c r="D25" s="17">
        <v>16</v>
      </c>
      <c r="E25" s="7"/>
      <c r="F25" s="7" t="str">
        <f>IF(OR(C25&lt;0,C25&gt;=(2^D25)),"CÓ","KHÔNG")</f>
        <v>KHÔNG</v>
      </c>
      <c r="G25" s="7"/>
      <c r="H25" s="7" t="str">
        <f>IF(OR(C25&lt;(-(2^(D25-1))),C25&gt;=(2^(D25-1))),"CÓ","KHÔNG")</f>
        <v>KHÔNG</v>
      </c>
      <c r="I25" s="7"/>
      <c r="J25" s="7" t="str">
        <f>RIGHT(DEC2BIN(MOD(QUOTIENT(ABS(C25),256^3),256),8)&amp;DEC2BIN(MOD(QUOTIENT(ABS(C25),256^2),256),8)&amp;DEC2BIN(MOD(QUOTIENT(ABS(C25),256^1),256),8)&amp;DEC2BIN(MOD(QUOTIENT(ABS(C25),256^0),256),8),D25)</f>
        <v>0000000100010001</v>
      </c>
      <c r="K25" s="7"/>
      <c r="L25" s="7" t="str">
        <f>REPLACE(J25,1,1,"1")</f>
        <v>1000000100010001</v>
      </c>
      <c r="M25" s="7"/>
      <c r="N25" s="7" t="str">
        <f>SUBSTITUTE(SUBSTITUTE(SUBSTITUTE(J25,"0","*"),"1","0"),"*","1")</f>
        <v>1111111011101110</v>
      </c>
      <c r="P25" s="7" t="str">
        <f ca="1">RIGHT(DEC2BIN(MOD(QUOTIENT(T25,256^3),256),8)&amp;DEC2BIN(MOD(QUOTIENT(T25,256^2),256),8)&amp;DEC2BIN(MOD(QUOTIENT(T25,256^1),256),8)&amp;DEC2BIN(MOD(QUOTIENT(T25,256^0),256),8),D25)</f>
        <v>1111111011101111</v>
      </c>
      <c r="T25" s="31">
        <f ca="1">SUMPRODUCT(--MID(N25,LEN(N25)+1-ROW(INDIRECT("1:"&amp;LEN(N25))),1),(2^(ROW(INDIRECT("1:"&amp;LEN(N25)))-1)))+1</f>
        <v>65263</v>
      </c>
    </row>
    <row r="26" spans="3:22" x14ac:dyDescent="0.3">
      <c r="C26" s="2" t="s">
        <v>32</v>
      </c>
      <c r="D26" s="17"/>
      <c r="E26" s="7"/>
      <c r="F26" s="7"/>
      <c r="G26" s="7"/>
      <c r="H26" s="7"/>
      <c r="I26" s="7"/>
      <c r="J26" s="7"/>
      <c r="K26" s="7"/>
      <c r="L26" s="7"/>
      <c r="M26" s="7"/>
      <c r="N26" s="7"/>
      <c r="P26" s="7"/>
      <c r="T26" s="31"/>
    </row>
    <row r="27" spans="3:22" x14ac:dyDescent="0.3">
      <c r="C27" s="7" t="str">
        <f>IF(C25&lt;0,"-","")&amp;"1."&amp;MID(J25,SEARCH("1",J25)+1,LEN(J25)-SEARCH("1",J25))&amp;" x 2^("&amp;(LEN(J25)-SEARCH("1",J25))&amp;")"</f>
        <v>1.00010001 x 2^(8)</v>
      </c>
      <c r="D27" s="17"/>
      <c r="E27" s="7"/>
      <c r="F27" s="7"/>
      <c r="G27" s="7"/>
      <c r="H27" s="7"/>
      <c r="I27" s="7"/>
      <c r="J27" s="7"/>
      <c r="K27" s="7"/>
      <c r="L27" s="7"/>
      <c r="M27" s="7"/>
      <c r="N27" s="7"/>
      <c r="P27" s="7"/>
      <c r="T27" s="31"/>
    </row>
    <row r="28" spans="3:22" x14ac:dyDescent="0.3">
      <c r="C28" s="8" t="s">
        <v>60</v>
      </c>
      <c r="T28" s="32"/>
    </row>
    <row r="29" spans="3:22" x14ac:dyDescent="0.3">
      <c r="C29" s="18"/>
      <c r="T29" s="32"/>
    </row>
    <row r="30" spans="3:22" x14ac:dyDescent="0.3">
      <c r="C30" s="18"/>
      <c r="T30" s="32"/>
    </row>
    <row r="31" spans="3:22" x14ac:dyDescent="0.3">
      <c r="C31" s="18"/>
      <c r="E31" s="9" t="s">
        <v>55</v>
      </c>
      <c r="T31" s="32"/>
    </row>
    <row r="32" spans="3:22" x14ac:dyDescent="0.3">
      <c r="D32" s="22" t="s">
        <v>6</v>
      </c>
      <c r="F32" s="9"/>
      <c r="K32" s="2" t="s">
        <v>50</v>
      </c>
      <c r="L32" s="2" t="s">
        <v>51</v>
      </c>
      <c r="M32" s="2" t="s">
        <v>52</v>
      </c>
      <c r="Q32" s="2" t="s">
        <v>54</v>
      </c>
      <c r="R32" s="2" t="s">
        <v>53</v>
      </c>
      <c r="T32" s="31" t="s">
        <v>23</v>
      </c>
      <c r="V32" s="19"/>
    </row>
    <row r="33" spans="3:20" x14ac:dyDescent="0.3">
      <c r="C33" s="2" t="s">
        <v>56</v>
      </c>
      <c r="D33" s="15" t="s">
        <v>48</v>
      </c>
      <c r="K33" s="2" t="str">
        <f>MID(D33,1,1)</f>
        <v>0</v>
      </c>
      <c r="L33" s="2" t="str">
        <f>MID(D33,2,8)</f>
        <v>10001011</v>
      </c>
      <c r="M33" s="2" t="str">
        <f>MID(D33,10,T34)</f>
        <v>00000000000001</v>
      </c>
      <c r="Q33" s="2">
        <v>127</v>
      </c>
      <c r="R33" s="7">
        <f ca="1">((-1)^K33)*(1+T35)*(2^(T33-Q33))</f>
        <v>4096.25</v>
      </c>
      <c r="T33" s="32">
        <f ca="1">SUMPRODUCT(--MID(L33,LEN(L33)+1-ROW(INDIRECT("1:"&amp;LEN(L33))),1),(2^(ROW(INDIRECT("1:"&amp;LEN(L33)))-1)))</f>
        <v>139</v>
      </c>
    </row>
    <row r="34" spans="3:20" x14ac:dyDescent="0.3">
      <c r="C34" s="2" t="s">
        <v>57</v>
      </c>
      <c r="D34" s="24" t="s">
        <v>58</v>
      </c>
      <c r="K34" s="2" t="str">
        <f>MID(D34,1,1)</f>
        <v>0</v>
      </c>
      <c r="L34" s="2" t="str">
        <f>MID(D34,2,11)</f>
        <v>01111110100</v>
      </c>
      <c r="M34" s="2" t="str">
        <f>MID(D34,13,T37)</f>
        <v>1101</v>
      </c>
      <c r="N34" s="2"/>
      <c r="O34" s="2"/>
      <c r="P34" s="2"/>
      <c r="Q34" s="2">
        <v>1023</v>
      </c>
      <c r="R34" s="7">
        <f ca="1">((-1)^K34)*(1+T38)*(2^(T36-Q34))</f>
        <v>8.85009765625E-4</v>
      </c>
      <c r="T34" s="32">
        <f>FIND("@",SUBSTITUTE(D33,"1","@",LEN(D33)-LEN(SUBSTITUTE(D33,"1",""))))-9</f>
        <v>14</v>
      </c>
    </row>
    <row r="35" spans="3:20" x14ac:dyDescent="0.3">
      <c r="C35" s="2"/>
      <c r="D35" s="18"/>
      <c r="T35" s="32">
        <f ca="1">SUMPRODUCT(--MID(M33,LEN(M33)+1-ROW(INDIRECT("1:"&amp;LEN(M33))),1),(2^(ROW(INDIRECT("1:"&amp;LEN(M33)))-1)))/(2^LEN(M33))</f>
        <v>6.103515625E-5</v>
      </c>
    </row>
    <row r="36" spans="3:20" x14ac:dyDescent="0.3">
      <c r="C36" s="2"/>
      <c r="D36" s="18"/>
      <c r="T36" s="32">
        <f ca="1">SUMPRODUCT(--MID(L34,LEN(L34)+1-ROW(INDIRECT("1:"&amp;LEN(L34))),1),(2^(ROW(INDIRECT("1:"&amp;LEN(L34)))-1)))</f>
        <v>1012</v>
      </c>
    </row>
    <row r="37" spans="3:20" x14ac:dyDescent="0.3">
      <c r="C37" s="18"/>
      <c r="T37" s="32">
        <f>FIND("@",SUBSTITUTE(D34,"1","@",LEN(D34)-LEN(SUBSTITUTE(D34,"1",""))))-12</f>
        <v>4</v>
      </c>
    </row>
    <row r="38" spans="3:20" x14ac:dyDescent="0.3">
      <c r="C38" s="18"/>
      <c r="T38" s="32">
        <f ca="1">SUMPRODUCT(--MID(M34,LEN(M34)+1-ROW(INDIRECT("1:"&amp;LEN(M34))),1),(2^(ROW(INDIRECT("1:"&amp;LEN(M34)))-1)))/(2^LEN(M34))</f>
        <v>0.8125</v>
      </c>
    </row>
    <row r="39" spans="3:20" x14ac:dyDescent="0.3">
      <c r="C39" s="18"/>
      <c r="E39" s="9" t="s">
        <v>59</v>
      </c>
      <c r="F39" s="9"/>
      <c r="G39" s="9"/>
      <c r="H39" s="9"/>
      <c r="I39" s="9"/>
      <c r="J39" s="9"/>
      <c r="T39" s="32"/>
    </row>
    <row r="40" spans="3:20" x14ac:dyDescent="0.3">
      <c r="C40" s="18"/>
      <c r="D40" s="2" t="s">
        <v>6</v>
      </c>
      <c r="E40" s="9"/>
      <c r="F40" s="2" t="s">
        <v>50</v>
      </c>
      <c r="G40" s="2" t="s">
        <v>51</v>
      </c>
      <c r="I40" s="2" t="s">
        <v>52</v>
      </c>
      <c r="J40" s="2"/>
      <c r="K40" s="2"/>
      <c r="L40" s="2" t="s">
        <v>54</v>
      </c>
      <c r="M40" s="2" t="s">
        <v>53</v>
      </c>
      <c r="T40" s="31" t="s">
        <v>23</v>
      </c>
    </row>
    <row r="41" spans="3:20" x14ac:dyDescent="0.3">
      <c r="C41" s="22" t="s">
        <v>56</v>
      </c>
      <c r="D41" s="17">
        <v>-672</v>
      </c>
      <c r="E41" s="9"/>
      <c r="F41" s="16">
        <f>IF(D41&lt;0,1,0)</f>
        <v>1</v>
      </c>
      <c r="G41" s="16" t="str">
        <f>RIGHT(DEC2BIN(MOD(QUOTIENT(T41,256^3),256),8)&amp;DEC2BIN(MOD(QUOTIENT(T41,256^2),256),8)&amp;DEC2BIN(MOD(QUOTIENT(T41,256^1),256),8)&amp;DEC2BIN(MOD(QUOTIENT(T41,256^0),256),8),8)</f>
        <v>10001000</v>
      </c>
      <c r="I41" s="16" t="str">
        <f>RIGHT(DEC2BIN(MOD(QUOTIENT(T45,256^3),256),8)&amp;DEC2BIN(MOD(QUOTIENT(T45,256^2),256),8)&amp;DEC2BIN(MOD(QUOTIENT(T45,256^1),256),8)&amp;DEC2BIN(MOD(QUOTIENT(T45,256^0),256),8),IF(ISNUMBER(SEARCH(".",T43)),LEN(T43)-FIND(".",T43),0))</f>
        <v>0101</v>
      </c>
      <c r="J41" s="9"/>
      <c r="K41" s="9"/>
      <c r="L41" s="2">
        <v>127</v>
      </c>
      <c r="M41" s="7" t="str">
        <f>F41&amp;G41&amp;I41&amp;REPT("0",23-LEN(I41))</f>
        <v>11000100001010000000000000000000</v>
      </c>
      <c r="N41" s="8"/>
      <c r="O41" s="7"/>
      <c r="P41" s="7"/>
      <c r="Q41" s="7"/>
      <c r="R41" s="8"/>
      <c r="T41" s="32">
        <f>INT(LOG(ABS(D41),2))+L41</f>
        <v>136</v>
      </c>
    </row>
    <row r="42" spans="3:20" x14ac:dyDescent="0.3">
      <c r="C42" s="22" t="s">
        <v>57</v>
      </c>
      <c r="D42" s="17">
        <v>-0.75</v>
      </c>
      <c r="E42" s="9"/>
      <c r="F42" s="2">
        <f>IF(D42&lt;0,1,0)</f>
        <v>1</v>
      </c>
      <c r="G42" s="16" t="str">
        <f>RIGHT(DEC2BIN(MOD(QUOTIENT(T42,256^3),256),8)&amp;DEC2BIN(MOD(QUOTIENT(T42,256^2),256),8)&amp;DEC2BIN(MOD(QUOTIENT(T42,256^1),256),8)&amp;DEC2BIN(MOD(QUOTIENT(T42,256^0),256),8),11)</f>
        <v>01111111110</v>
      </c>
      <c r="I42" s="16" t="str">
        <f>RIGHT(DEC2BIN(MOD(QUOTIENT(T46,256^3),256),8)&amp;DEC2BIN(MOD(QUOTIENT(T46,256^2),256),8)&amp;DEC2BIN(MOD(QUOTIENT(T46,256^1),256),8)&amp;DEC2BIN(MOD(QUOTIENT(T46,256^0),256),8),IF(ISNUMBER(SEARCH(".",T44)),LEN(T44)-FIND(".",T44),0))</f>
        <v>1</v>
      </c>
      <c r="J42" s="9"/>
      <c r="K42" s="9"/>
      <c r="L42" s="2">
        <v>1023</v>
      </c>
      <c r="M42" s="7" t="str">
        <f>F42&amp;G42&amp;I42&amp;REPT("0",52-LEN(I42))</f>
        <v>1011111111101000000000000000000000000000000000000000000000000000</v>
      </c>
      <c r="N42" s="8"/>
      <c r="O42" s="7"/>
      <c r="P42" s="7"/>
      <c r="Q42" s="7"/>
      <c r="R42" s="8"/>
      <c r="T42" s="32">
        <f>INT(LOG(ABS(D42),2))+L42</f>
        <v>1022</v>
      </c>
    </row>
    <row r="43" spans="3:20" x14ac:dyDescent="0.3">
      <c r="C43" s="18"/>
      <c r="E43" s="9"/>
      <c r="F43" s="9"/>
      <c r="G43" s="9"/>
      <c r="H43" s="9"/>
      <c r="I43" s="9"/>
      <c r="J43" s="9"/>
      <c r="T43" s="32">
        <f>ABS(D41)/(2^INT(LOG(ABS(D41),2)))-1</f>
        <v>0.3125</v>
      </c>
    </row>
    <row r="44" spans="3:20" x14ac:dyDescent="0.3">
      <c r="C44" s="18"/>
      <c r="T44" s="32">
        <f>ABS(D42)/(2^INT(LOG(ABS(D42),2)))-1</f>
        <v>0.5</v>
      </c>
    </row>
    <row r="45" spans="3:20" x14ac:dyDescent="0.3">
      <c r="C45" s="18"/>
      <c r="T45" s="32">
        <f>T43*2^IF(ISNUMBER(SEARCH(".",T43)),LEN(T43)-FIND(".",T43),0)</f>
        <v>5</v>
      </c>
    </row>
    <row r="46" spans="3:20" x14ac:dyDescent="0.3">
      <c r="C46" s="18"/>
      <c r="T46" s="32">
        <f>T44*2^IF(ISNUMBER(SEARCH(".",T44)),LEN(T44)-FIND(".",T44),0)</f>
        <v>1</v>
      </c>
    </row>
    <row r="47" spans="3:20" x14ac:dyDescent="0.3">
      <c r="C47" s="18"/>
      <c r="E47" s="9" t="s">
        <v>38</v>
      </c>
      <c r="T47" s="32"/>
    </row>
    <row r="48" spans="3:20" x14ac:dyDescent="0.3">
      <c r="C48" s="22" t="s">
        <v>39</v>
      </c>
      <c r="E48" s="9"/>
      <c r="F48" s="2" t="s">
        <v>41</v>
      </c>
      <c r="I48" s="2" t="s">
        <v>42</v>
      </c>
      <c r="K48" s="2" t="s">
        <v>43</v>
      </c>
      <c r="M48" s="2" t="s">
        <v>44</v>
      </c>
      <c r="N48" s="2" t="s">
        <v>45</v>
      </c>
      <c r="O48" s="2"/>
      <c r="P48" s="2" t="s">
        <v>46</v>
      </c>
      <c r="Q48" s="2"/>
      <c r="R48" s="2" t="s">
        <v>47</v>
      </c>
      <c r="T48" s="31" t="s">
        <v>23</v>
      </c>
    </row>
    <row r="49" spans="3:20" x14ac:dyDescent="0.3">
      <c r="C49" s="23">
        <v>1.010111</v>
      </c>
      <c r="D49" s="2" t="s">
        <v>40</v>
      </c>
      <c r="E49" s="17">
        <v>6</v>
      </c>
      <c r="F49" s="17">
        <v>1.111</v>
      </c>
      <c r="G49" s="2" t="s">
        <v>40</v>
      </c>
      <c r="H49" s="17">
        <v>3</v>
      </c>
      <c r="I49" s="2" t="str">
        <f>SUBSTITUTE(C49,".","")&amp;REPT("0",E49-(LEN(C49)-SEARCH(".",C49))-T49)</f>
        <v>1010111</v>
      </c>
      <c r="J49" s="2" t="str">
        <f>"x2^"&amp;T49</f>
        <v>x2^0</v>
      </c>
      <c r="K49" s="2" t="str">
        <f>SUBSTITUTE(F49,".","")&amp;REPT("0",H49-(LEN(F49)-SEARCH(".",F49))-T49)</f>
        <v>1111</v>
      </c>
      <c r="L49" s="2" t="str">
        <f>"x2^"&amp;T49</f>
        <v>x2^0</v>
      </c>
      <c r="M49" s="7" t="str">
        <f ca="1">"1."&amp;MID(T50,SEARCH("1",T50)+1,LEN(T50)-SEARCH("1",T50))&amp;" x 2^("&amp;(LEN(T50)-SEARCH("1",T50)+T49)&amp;")"</f>
        <v>1.100110 x 2^(6)</v>
      </c>
      <c r="N49" s="7" t="str">
        <f ca="1">(IF(N50&lt;0,"-",""))&amp;"1."&amp;MID(T51,SEARCH("1",T51)+1,LEN(T51)-SEARCH("1",T51))&amp;" x 2^("&amp;(LEN(T51)-SEARCH("1",T51)+T49)&amp;")"</f>
        <v>1.001000 x 2^(6)</v>
      </c>
      <c r="P49" s="7" t="str">
        <f ca="1">"1."&amp;MID(T52,SEARCH("1",T52)+1,LEN(T52)-SEARCH("1",T52))&amp;" x 2^("&amp;(LEN(T52)-SEARCH("1",T52)+T49)&amp;")"</f>
        <v>1.0100011001 x 2^(10)</v>
      </c>
      <c r="R49" s="7" t="str">
        <f ca="1">"1."&amp;MID(T53,SEARCH("1",T53)+1,LEN(T53)-SEARCH("1",T53))&amp;" x 2^("&amp;(LEN(T53)-SEARCH("1",T53)+T49)&amp;")"</f>
        <v>1.01 x 2^(2)</v>
      </c>
      <c r="T49" s="32">
        <f>MIN(E49-(LEN(C49)-SEARCH(".",C49)),H49-(LEN(F49)-SEARCH(".",F49)))</f>
        <v>0</v>
      </c>
    </row>
    <row r="50" spans="3:20" x14ac:dyDescent="0.3">
      <c r="C50" s="18" t="s">
        <v>61</v>
      </c>
      <c r="D50" s="2"/>
      <c r="E50" s="17"/>
      <c r="F50" s="17"/>
      <c r="G50" s="2"/>
      <c r="H50" s="17"/>
      <c r="I50" s="2">
        <f ca="1">SUMPRODUCT(--MID(I49,LEN(I49)+1-ROW(INDIRECT("1:"&amp;LEN(I49))),1),(2^(ROW(INDIRECT("1:"&amp;LEN(I49)))-1)))</f>
        <v>87</v>
      </c>
      <c r="J50" s="2"/>
      <c r="K50" s="2">
        <f ca="1">SUMPRODUCT(--MID(K49,LEN(K49)+1-ROW(INDIRECT("1:"&amp;LEN(K49))),1),(2^(ROW(INDIRECT("1:"&amp;LEN(K49)))-1)))</f>
        <v>15</v>
      </c>
      <c r="L50" s="2"/>
      <c r="M50" s="2">
        <f ca="1">I50+K50</f>
        <v>102</v>
      </c>
      <c r="N50" s="2">
        <f ca="1">I50-K50</f>
        <v>72</v>
      </c>
      <c r="O50" s="2"/>
      <c r="P50" s="2">
        <f ca="1">I50*K50</f>
        <v>1305</v>
      </c>
      <c r="Q50" s="2"/>
      <c r="R50" s="2">
        <f ca="1">QUOTIENT(I50,K50)</f>
        <v>5</v>
      </c>
      <c r="T50" s="32" t="str">
        <f ca="1">RIGHT(DEC2BIN(MOD(QUOTIENT(M50,256^3),256),8)&amp;DEC2BIN(MOD(QUOTIENT(M50,256^2),256),8)&amp;DEC2BIN(MOD(QUOTIENT(M50,256^1),256),8)&amp;DEC2BIN(MOD(QUOTIENT(M50,256^0),256),8),32)</f>
        <v>00000000000000000000000001100110</v>
      </c>
    </row>
    <row r="51" spans="3:20" x14ac:dyDescent="0.3">
      <c r="C51" s="23"/>
      <c r="D51" s="2"/>
      <c r="E51" s="17"/>
      <c r="F51" s="17"/>
      <c r="G51" s="2"/>
      <c r="H51" s="17"/>
      <c r="I51" s="2"/>
      <c r="J51" s="2"/>
      <c r="K51" s="2"/>
      <c r="L51" s="2"/>
      <c r="M51" s="2"/>
      <c r="N51" s="2"/>
      <c r="O51" s="2"/>
      <c r="P51" s="2"/>
      <c r="T51" s="32" t="str">
        <f ca="1">RIGHT(DEC2BIN(MOD(QUOTIENT(ABS(N50),256^3),256),8)&amp;DEC2BIN(MOD(QUOTIENT(ABS(N50),256^2),256),8)&amp;DEC2BIN(MOD(QUOTIENT(ABS(N50),256^1),256),8)&amp;DEC2BIN(MOD(QUOTIENT(ABS(N50),256^0),256),8),32)</f>
        <v>00000000000000000000000001001000</v>
      </c>
    </row>
    <row r="52" spans="3:20" x14ac:dyDescent="0.3">
      <c r="C52" s="18"/>
      <c r="T52" s="32" t="str">
        <f ca="1">RIGHT(DEC2BIN(MOD(QUOTIENT(P50,256^3),256),8)&amp;DEC2BIN(MOD(QUOTIENT(P50,256^2),256),8)&amp;DEC2BIN(MOD(QUOTIENT(P50,256^1),256),8)&amp;DEC2BIN(MOD(QUOTIENT(P50,256^0),256),8),32)</f>
        <v>00000000000000000000010100011001</v>
      </c>
    </row>
    <row r="53" spans="3:20" x14ac:dyDescent="0.3">
      <c r="C53" s="18"/>
      <c r="T53" s="32" t="str">
        <f ca="1">RIGHT(DEC2BIN(MOD(QUOTIENT(R50,256^3),256),8)&amp;DEC2BIN(MOD(QUOTIENT(R50,256^2),256),8)&amp;DEC2BIN(MOD(QUOTIENT(R50,256^1),256),8)&amp;DEC2BIN(MOD(QUOTIENT(R50,256^0),256),8),32)</f>
        <v>00000000000000000000000000000101</v>
      </c>
    </row>
    <row r="54" spans="3:20" x14ac:dyDescent="0.3">
      <c r="C54" s="18"/>
      <c r="E54" s="9" t="s">
        <v>30</v>
      </c>
    </row>
    <row r="55" spans="3:20" x14ac:dyDescent="0.3">
      <c r="C55" s="22" t="s">
        <v>63</v>
      </c>
      <c r="E55" s="16" t="s">
        <v>65</v>
      </c>
      <c r="L55" s="2" t="s">
        <v>64</v>
      </c>
    </row>
    <row r="56" spans="3:20" x14ac:dyDescent="0.3">
      <c r="C56" s="23">
        <v>64</v>
      </c>
      <c r="E56" s="17">
        <v>64</v>
      </c>
      <c r="L56" s="7">
        <f>ROUNDUP(LOG(C56*1024^3*8/E56,2),0)</f>
        <v>33</v>
      </c>
    </row>
    <row r="59" spans="3:20" x14ac:dyDescent="0.3">
      <c r="E59" s="9" t="s">
        <v>66</v>
      </c>
    </row>
    <row r="60" spans="3:20" x14ac:dyDescent="0.3">
      <c r="D60" s="2" t="s">
        <v>6</v>
      </c>
      <c r="E60" s="9"/>
      <c r="H60" s="2" t="s">
        <v>77</v>
      </c>
      <c r="I60" s="2" t="s">
        <v>71</v>
      </c>
      <c r="J60" s="2" t="s">
        <v>72</v>
      </c>
      <c r="K60" s="2" t="s">
        <v>73</v>
      </c>
      <c r="L60" s="2" t="s">
        <v>74</v>
      </c>
      <c r="M60" s="2" t="s">
        <v>75</v>
      </c>
      <c r="N60" s="2" t="s">
        <v>79</v>
      </c>
      <c r="P60" s="2" t="s">
        <v>76</v>
      </c>
    </row>
    <row r="61" spans="3:20" x14ac:dyDescent="0.3">
      <c r="C61" s="2" t="s">
        <v>67</v>
      </c>
      <c r="D61" s="24" t="s">
        <v>70</v>
      </c>
      <c r="E61" s="25"/>
      <c r="F61" s="17"/>
      <c r="G61" s="17"/>
      <c r="H61" s="7">
        <f ca="1">SUMPRODUCT(--MID(MID(D61,1,6),6+1-ROW(INDIRECT("1:"&amp;6)),1),(2^(ROW(INDIRECT("1:"&amp;6))-1)))</f>
        <v>0</v>
      </c>
      <c r="I61" s="7">
        <f ca="1">SUMPRODUCT(--MID(MID(D61,7,5),5+1-ROW(INDIRECT("1:"&amp;5)),1),(2^(ROW(INDIRECT("1:"&amp;5))-1)))</f>
        <v>9</v>
      </c>
      <c r="J61" s="7">
        <f ca="1">SUMPRODUCT(--MID(MID(D61,12,5),5+1-ROW(INDIRECT("1:"&amp;5)),1),(2^(ROW(INDIRECT("1:"&amp;5))-1)))</f>
        <v>13</v>
      </c>
      <c r="K61" s="7">
        <f ca="1">SUMPRODUCT(--MID(MID(D61,17,5),5+1-ROW(INDIRECT("1:"&amp;5)),1),(2^(ROW(INDIRECT("1:"&amp;5))-1)))</f>
        <v>27</v>
      </c>
      <c r="L61" s="7">
        <f ca="1">SUMPRODUCT(--MID(MID(D61,22,5),5+1-ROW(INDIRECT("1:"&amp;5)),1),(2^(ROW(INDIRECT("1:"&amp;5))-1)))</f>
        <v>15</v>
      </c>
      <c r="M61" s="7">
        <f ca="1">SUMPRODUCT(--MID(MID(D61,27,6),6+1-ROW(INDIRECT("1:"&amp;6)),1),(2^(ROW(INDIRECT("1:"&amp;6))-1)))</f>
        <v>24</v>
      </c>
      <c r="N61" s="7"/>
      <c r="O61" s="7"/>
    </row>
    <row r="62" spans="3:20" x14ac:dyDescent="0.3">
      <c r="C62" s="2" t="s">
        <v>68</v>
      </c>
      <c r="D62" s="24" t="s">
        <v>78</v>
      </c>
      <c r="E62" s="25"/>
      <c r="F62" s="17"/>
      <c r="G62" s="17"/>
      <c r="H62" s="7">
        <f ca="1">SUMPRODUCT(--MID(MID(D62,1,6),6+1-ROW(INDIRECT("1:"&amp;6)),1),(2^(ROW(INDIRECT("1:"&amp;6))-1)))</f>
        <v>1</v>
      </c>
      <c r="I62" s="7">
        <f ca="1">SUMPRODUCT(--MID(MID(D62,7,5),5+1-ROW(INDIRECT("1:"&amp;5)),1),(2^(ROW(INDIRECT("1:"&amp;5))-1)))</f>
        <v>10</v>
      </c>
      <c r="J62" s="7">
        <f ca="1">SUMPRODUCT(--MID(MID(D62,12,5),5+1-ROW(INDIRECT("1:"&amp;5)),1),(2^(ROW(INDIRECT("1:"&amp;5))-1)))</f>
        <v>25</v>
      </c>
      <c r="K62" s="7"/>
      <c r="L62" s="7"/>
      <c r="M62" s="7"/>
      <c r="N62" s="7">
        <f ca="1">SUMPRODUCT(--MID(MID(D62,17,16),16+1-ROW(INDIRECT("1:"&amp;16)),1),(2^(ROW(INDIRECT("1:"&amp;16))-1)))</f>
        <v>63872</v>
      </c>
      <c r="O62" s="7"/>
    </row>
    <row r="63" spans="3:20" x14ac:dyDescent="0.3">
      <c r="C63" s="2" t="s">
        <v>69</v>
      </c>
      <c r="D63" s="24" t="s">
        <v>78</v>
      </c>
      <c r="E63" s="25"/>
      <c r="F63" s="17"/>
      <c r="G63" s="17"/>
      <c r="H63" s="7">
        <f ca="1">SUMPRODUCT(--MID(MID(D63,1,6),6+1-ROW(INDIRECT("1:"&amp;6)),1),(2^(ROW(INDIRECT("1:"&amp;6))-1)))</f>
        <v>1</v>
      </c>
      <c r="I63" s="7"/>
      <c r="J63" s="7"/>
      <c r="K63" s="7"/>
      <c r="L63" s="7"/>
      <c r="M63" s="7"/>
      <c r="N63" s="7"/>
      <c r="O63" s="7"/>
      <c r="P63" s="7">
        <f ca="1">SUMPRODUCT(--MID(MID(D63,7,26),26+1-ROW(INDIRECT("1:"&amp;26)),1),(2^(ROW(INDIRECT("1:"&amp;26))-1)))</f>
        <v>22673792</v>
      </c>
    </row>
    <row r="66" spans="3:18" x14ac:dyDescent="0.3">
      <c r="E66" s="26" t="s">
        <v>89</v>
      </c>
      <c r="F66" s="26"/>
      <c r="G66" s="26"/>
      <c r="H66" s="26"/>
      <c r="I66" s="26"/>
    </row>
    <row r="67" spans="3:18" x14ac:dyDescent="0.3">
      <c r="D67" s="2" t="s">
        <v>80</v>
      </c>
      <c r="E67" s="2"/>
      <c r="F67" s="26"/>
      <c r="G67" s="16" t="s">
        <v>85</v>
      </c>
      <c r="H67" s="16"/>
      <c r="I67" s="16"/>
      <c r="J67" s="16" t="s">
        <v>86</v>
      </c>
      <c r="K67" s="16"/>
      <c r="L67" s="2" t="s">
        <v>88</v>
      </c>
      <c r="M67" s="2" t="s">
        <v>7</v>
      </c>
      <c r="O67" s="2" t="s">
        <v>8</v>
      </c>
      <c r="Q67" s="2" t="s">
        <v>9</v>
      </c>
      <c r="R67" s="2" t="s">
        <v>87</v>
      </c>
    </row>
    <row r="68" spans="3:18" x14ac:dyDescent="0.3">
      <c r="C68" s="2" t="s">
        <v>81</v>
      </c>
      <c r="D68" s="17">
        <v>256</v>
      </c>
      <c r="E68" s="25"/>
      <c r="F68" s="25"/>
      <c r="G68" s="17">
        <v>32</v>
      </c>
      <c r="H68" s="25"/>
      <c r="I68" s="25"/>
      <c r="J68" s="17">
        <v>32</v>
      </c>
      <c r="K68" s="17"/>
      <c r="L68" s="17">
        <v>1048</v>
      </c>
      <c r="M68" s="7" t="str">
        <f>_xlfn.BASE(QUOTIENT(QUOTIENT(L68,G68),D68/G68),2,32-LOG(G68,2)-LOG(D68/G68,2))</f>
        <v>000000000000000000000100</v>
      </c>
      <c r="O68" s="7" t="str">
        <f>_xlfn.BASE(MOD(QUOTIENT(L68,G68),D68/G68),2,LOG(D68/G68,2))</f>
        <v>000</v>
      </c>
      <c r="P68" s="7"/>
      <c r="Q68" s="7" t="str">
        <f>_xlfn.BASE(MOD(L68,G68),2,LOG(G68,2))</f>
        <v>11000</v>
      </c>
      <c r="R68" s="7" t="str">
        <f>(J68-LOG(D68/G68,2)-LOG(G68,2))&amp;":"&amp;LOG(D68/G68,2)&amp;":"&amp;LOG(G68,2)</f>
        <v>24:3:5</v>
      </c>
    </row>
    <row r="69" spans="3:18" x14ac:dyDescent="0.3">
      <c r="C69" s="2" t="s">
        <v>82</v>
      </c>
      <c r="D69" s="17">
        <v>512</v>
      </c>
      <c r="E69" s="25"/>
      <c r="F69" s="25"/>
      <c r="G69" s="17">
        <v>16</v>
      </c>
      <c r="H69" s="25"/>
      <c r="I69" s="25"/>
      <c r="J69" s="17">
        <v>32</v>
      </c>
      <c r="K69" s="17"/>
      <c r="L69" s="17">
        <v>5893478</v>
      </c>
      <c r="M69" s="7" t="str">
        <f>_xlfn.BASE(QUOTIENT(QUOTIENT(L69,G69),D69*1024/G69),2,32-LOG(G69,2)-LOG(D69*1024/G69,2))</f>
        <v>0000000001011</v>
      </c>
      <c r="O69" s="7" t="str">
        <f>_xlfn.BASE(MOD(QUOTIENT(L69,G69),D69*1024/G69),2,LOG(D69*1024/G69,2))</f>
        <v>001111011010110</v>
      </c>
      <c r="P69" s="7"/>
      <c r="Q69" s="7" t="str">
        <f>_xlfn.BASE(MOD(L69,G69),2,LOG(G69,2))</f>
        <v>0110</v>
      </c>
      <c r="R69" s="7" t="str">
        <f>(J69-LOG(D69*1024/G69,2)-LOG(G69,2))&amp;":"&amp;LOG(D69*1024/G69,2)&amp;":"&amp;LOG(G69,2)</f>
        <v>13:15:4</v>
      </c>
    </row>
    <row r="70" spans="3:18" x14ac:dyDescent="0.3">
      <c r="C70" s="2" t="s">
        <v>83</v>
      </c>
      <c r="D70" s="17">
        <v>1</v>
      </c>
      <c r="E70" s="25"/>
      <c r="F70" s="25"/>
      <c r="G70" s="17">
        <v>16</v>
      </c>
      <c r="H70" s="25"/>
      <c r="I70" s="25"/>
      <c r="J70" s="17">
        <v>32</v>
      </c>
      <c r="K70" s="17"/>
      <c r="L70" s="17">
        <v>4356</v>
      </c>
      <c r="M70" s="7" t="str">
        <f>_xlfn.BASE(QUOTIENT(QUOTIENT(L70,G70),D70*1024^2/G70),2,32-LOG(G70,2)-LOG(D70*1024^2/G70,2))</f>
        <v>000000000000</v>
      </c>
      <c r="O70" s="7" t="str">
        <f>_xlfn.BASE(MOD(QUOTIENT(L70,G70),D70*1024^2/G70),2,LOG(D70*1024^2/G70,2))</f>
        <v>0000000100010000</v>
      </c>
      <c r="P70" s="7"/>
      <c r="Q70" s="7" t="str">
        <f>_xlfn.BASE(MOD(L70,G70),2,LOG(G70,2))</f>
        <v>0100</v>
      </c>
      <c r="R70" s="7" t="str">
        <f>(J70-LOG(D70*1024^2/G70,2)-LOG(G70,2))&amp;":"&amp;LOG(D70*1024^2/G70,2)&amp;":"&amp;LOG(G70,2)</f>
        <v>12:16:4</v>
      </c>
    </row>
    <row r="71" spans="3:18" x14ac:dyDescent="0.3">
      <c r="C71" s="8" t="s">
        <v>84</v>
      </c>
      <c r="D71" s="8"/>
      <c r="E71" s="7"/>
      <c r="F71" s="7"/>
      <c r="G71" s="26"/>
      <c r="H71" s="26"/>
      <c r="I71" s="26"/>
    </row>
    <row r="74" spans="3:18" x14ac:dyDescent="0.3">
      <c r="E74" s="26" t="s">
        <v>90</v>
      </c>
      <c r="F74" s="26"/>
      <c r="G74" s="26"/>
      <c r="H74" s="26"/>
    </row>
    <row r="75" spans="3:18" x14ac:dyDescent="0.3">
      <c r="C75" s="2" t="s">
        <v>91</v>
      </c>
      <c r="D75" s="2" t="s">
        <v>11</v>
      </c>
      <c r="E75" s="2" t="s">
        <v>92</v>
      </c>
      <c r="F75" s="2" t="s">
        <v>93</v>
      </c>
      <c r="G75" s="2" t="s">
        <v>0</v>
      </c>
      <c r="H75" s="2" t="s">
        <v>1</v>
      </c>
      <c r="I75" s="2" t="s">
        <v>3</v>
      </c>
      <c r="J75" s="2" t="s">
        <v>10</v>
      </c>
      <c r="K75" s="2" t="s">
        <v>95</v>
      </c>
      <c r="N75" s="2" t="s">
        <v>96</v>
      </c>
      <c r="O75" s="2" t="s">
        <v>97</v>
      </c>
      <c r="Q75" s="2" t="s">
        <v>96</v>
      </c>
      <c r="R75" s="2" t="s">
        <v>98</v>
      </c>
    </row>
    <row r="76" spans="3:18" x14ac:dyDescent="0.3">
      <c r="D76" s="27">
        <v>0.43</v>
      </c>
      <c r="E76" s="27">
        <v>0.23</v>
      </c>
      <c r="F76" s="28">
        <v>0.13</v>
      </c>
      <c r="G76" s="28">
        <v>0.19</v>
      </c>
      <c r="H76" s="27">
        <v>0.02</v>
      </c>
      <c r="I76" s="4">
        <f>E76+F76+G76+H76+D76</f>
        <v>1</v>
      </c>
      <c r="J76" s="29">
        <v>1.6</v>
      </c>
      <c r="K76" s="27">
        <v>0.5</v>
      </c>
      <c r="N76" s="29">
        <v>2</v>
      </c>
      <c r="O76" s="27">
        <v>0.25</v>
      </c>
      <c r="Q76" s="29">
        <v>2</v>
      </c>
      <c r="R76" s="29">
        <v>2</v>
      </c>
    </row>
    <row r="78" spans="3:18" x14ac:dyDescent="0.3">
      <c r="C78" s="2" t="s">
        <v>2</v>
      </c>
      <c r="D78" s="2">
        <f>D76*4</f>
        <v>1.72</v>
      </c>
      <c r="E78" s="3">
        <f>E76*5</f>
        <v>1.1500000000000001</v>
      </c>
      <c r="F78" s="2">
        <f>F76*4</f>
        <v>0.52</v>
      </c>
      <c r="G78" s="2">
        <f>G76*3</f>
        <v>0.57000000000000006</v>
      </c>
      <c r="H78" s="2">
        <f>H76*3</f>
        <v>0.06</v>
      </c>
      <c r="I78" s="7">
        <f>E78+F78+G78+H78+D78</f>
        <v>4.0200000000000005</v>
      </c>
      <c r="J78" s="2"/>
    </row>
    <row r="79" spans="3:18" x14ac:dyDescent="0.3">
      <c r="C79" s="2" t="s">
        <v>94</v>
      </c>
      <c r="D79" s="2"/>
      <c r="E79" s="2"/>
      <c r="F79" s="2"/>
      <c r="G79" s="2"/>
      <c r="H79" s="2"/>
      <c r="J79" s="7">
        <f>J76/I78*1000</f>
        <v>398.00995024875618</v>
      </c>
    </row>
    <row r="80" spans="3:18" x14ac:dyDescent="0.3">
      <c r="C80" s="2"/>
      <c r="D80" s="2"/>
      <c r="E80" s="2"/>
      <c r="F80" s="2"/>
      <c r="G80" s="2"/>
      <c r="H80" s="2"/>
      <c r="I80" s="2"/>
    </row>
    <row r="81" spans="3:14" x14ac:dyDescent="0.3">
      <c r="C81" s="2" t="s">
        <v>5</v>
      </c>
      <c r="D81" s="2">
        <f>1</f>
        <v>1</v>
      </c>
      <c r="E81" s="2">
        <f>(1-K76)+N76*K76</f>
        <v>1.5</v>
      </c>
      <c r="F81" s="2">
        <f>1</f>
        <v>1</v>
      </c>
      <c r="G81" s="2">
        <f>(1-O76)+Q76*O76</f>
        <v>1.25</v>
      </c>
      <c r="H81" s="2">
        <f>R76</f>
        <v>2</v>
      </c>
      <c r="I81" s="2"/>
    </row>
    <row r="82" spans="3:14" x14ac:dyDescent="0.3">
      <c r="C82" s="2" t="s">
        <v>4</v>
      </c>
      <c r="D82" s="2">
        <f>D81*D76</f>
        <v>0.43</v>
      </c>
      <c r="E82" s="2">
        <f>E81*E76</f>
        <v>0.34500000000000003</v>
      </c>
      <c r="F82" s="2">
        <f>F81*F76</f>
        <v>0.13</v>
      </c>
      <c r="G82" s="2">
        <f>G81*G76</f>
        <v>0.23749999999999999</v>
      </c>
      <c r="H82" s="2">
        <f>H81*H76</f>
        <v>0.04</v>
      </c>
      <c r="I82" s="7">
        <f>E82+F82+G82+H82+D82</f>
        <v>1.1825000000000001</v>
      </c>
    </row>
    <row r="83" spans="3:14" x14ac:dyDescent="0.3">
      <c r="C83" s="2" t="s">
        <v>94</v>
      </c>
      <c r="D83" s="2"/>
      <c r="E83" s="2"/>
      <c r="F83" s="2"/>
      <c r="G83" s="2"/>
      <c r="H83" s="2"/>
      <c r="J83" s="7">
        <f>J76/I82*1000</f>
        <v>1353.0655391120508</v>
      </c>
    </row>
    <row r="86" spans="3:14" x14ac:dyDescent="0.3">
      <c r="E86" s="26" t="s">
        <v>106</v>
      </c>
      <c r="F86" s="26"/>
      <c r="G86" s="26"/>
      <c r="H86" s="26"/>
    </row>
    <row r="87" spans="3:14" x14ac:dyDescent="0.3">
      <c r="D87" s="2" t="s">
        <v>99</v>
      </c>
      <c r="E87" s="2" t="s">
        <v>100</v>
      </c>
      <c r="F87" s="2" t="s">
        <v>101</v>
      </c>
      <c r="G87" s="2"/>
      <c r="H87" s="2" t="s">
        <v>102</v>
      </c>
      <c r="I87" s="2"/>
      <c r="J87" s="2" t="s">
        <v>103</v>
      </c>
      <c r="K87" s="2"/>
      <c r="L87" s="2" t="s">
        <v>105</v>
      </c>
      <c r="M87" s="2" t="s">
        <v>113</v>
      </c>
      <c r="N87" s="2" t="s">
        <v>114</v>
      </c>
    </row>
    <row r="88" spans="3:14" x14ac:dyDescent="0.3">
      <c r="D88" s="27">
        <v>0.15</v>
      </c>
      <c r="E88" s="17">
        <v>3</v>
      </c>
      <c r="F88" s="27">
        <v>0.03</v>
      </c>
      <c r="G88" s="17"/>
      <c r="H88" s="27">
        <v>0.04</v>
      </c>
      <c r="I88" s="17"/>
      <c r="J88" s="29">
        <v>120</v>
      </c>
    </row>
    <row r="89" spans="3:14" x14ac:dyDescent="0.3">
      <c r="C89" s="2" t="s">
        <v>104</v>
      </c>
      <c r="F89" s="2">
        <f>F88*J88</f>
        <v>3.5999999999999996</v>
      </c>
      <c r="H89" s="2">
        <f>D88*H88*J88</f>
        <v>0.72</v>
      </c>
      <c r="L89" s="7">
        <f>E88+F89+H89</f>
        <v>7.3199999999999994</v>
      </c>
      <c r="M89" s="7">
        <f>E88+J88+D88*J88</f>
        <v>141</v>
      </c>
      <c r="N89" s="7">
        <f>M89/L89</f>
        <v>19.262295081967213</v>
      </c>
    </row>
    <row r="90" spans="3:14" x14ac:dyDescent="0.3">
      <c r="C90" s="2"/>
    </row>
    <row r="93" spans="3:14" x14ac:dyDescent="0.3">
      <c r="C93" s="1"/>
    </row>
    <row r="94" spans="3:14" x14ac:dyDescent="0.3">
      <c r="C94" s="2"/>
      <c r="D94" s="2"/>
      <c r="E94" s="2"/>
      <c r="F94" s="2"/>
      <c r="G94" s="2"/>
      <c r="H94" s="2"/>
      <c r="I94" s="2"/>
      <c r="J94" s="2"/>
      <c r="K94" s="2"/>
    </row>
    <row r="95" spans="3:14" x14ac:dyDescent="0.3">
      <c r="C95" s="2"/>
      <c r="D95" s="2"/>
      <c r="E95" s="2"/>
      <c r="F95" s="2"/>
      <c r="G95" s="2"/>
      <c r="H95" s="2"/>
      <c r="I95" s="2"/>
      <c r="J95" s="2"/>
      <c r="K95" s="2"/>
    </row>
    <row r="96" spans="3:14" x14ac:dyDescent="0.3">
      <c r="C96" s="2"/>
      <c r="D96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2019-11-24T06:52:13Z</dcterms:modified>
</cp:coreProperties>
</file>