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" l="1"/>
  <c r="H82" i="1"/>
  <c r="G82" i="1"/>
  <c r="I84" i="1"/>
  <c r="L84" i="1" s="1"/>
  <c r="I82" i="1"/>
  <c r="L82" i="1" s="1"/>
  <c r="G84" i="1"/>
  <c r="K84" i="1"/>
  <c r="K82" i="1"/>
  <c r="E88" i="1" l="1"/>
  <c r="E87" i="1"/>
  <c r="J152" i="1"/>
  <c r="D152" i="1" s="1"/>
  <c r="J149" i="1"/>
  <c r="D149" i="1" s="1"/>
  <c r="T85" i="1" l="1"/>
  <c r="H87" i="1" s="1"/>
  <c r="T86" i="1"/>
  <c r="H88" i="1" s="1"/>
  <c r="I154" i="1"/>
  <c r="J77" i="1"/>
  <c r="J76" i="1"/>
  <c r="T77" i="1"/>
  <c r="I77" i="1" s="1"/>
  <c r="T76" i="1"/>
  <c r="I76" i="1" s="1"/>
  <c r="H77" i="1"/>
  <c r="H76" i="1"/>
  <c r="T64" i="1"/>
  <c r="M63" i="1" s="1"/>
  <c r="L63" i="1"/>
  <c r="T53" i="1"/>
  <c r="T54" i="1" s="1"/>
  <c r="N52" i="1" s="1"/>
  <c r="T55" i="1" s="1"/>
  <c r="J104" i="1"/>
  <c r="L104" i="1" s="1"/>
  <c r="H99" i="1"/>
  <c r="D31" i="1"/>
  <c r="T56" i="1"/>
  <c r="T63" i="1"/>
  <c r="M76" i="1" l="1"/>
  <c r="M77" i="1"/>
  <c r="P64" i="1"/>
  <c r="T57" i="1"/>
  <c r="O52" i="1" s="1"/>
  <c r="T82" i="1"/>
  <c r="N82" i="1" l="1"/>
  <c r="N84" i="1"/>
  <c r="T71" i="1"/>
  <c r="T73" i="1" s="1"/>
  <c r="T69" i="1"/>
  <c r="G69" i="1" s="1"/>
  <c r="T68" i="1"/>
  <c r="G68" i="1" s="1"/>
  <c r="T70" i="1"/>
  <c r="T72" i="1" s="1"/>
  <c r="F44" i="1"/>
  <c r="F31" i="1"/>
  <c r="E31" i="1"/>
  <c r="H39" i="1"/>
  <c r="G39" i="1"/>
  <c r="T40" i="1" s="1"/>
  <c r="T31" i="1"/>
  <c r="T39" i="1"/>
  <c r="Q82" i="1"/>
  <c r="Q84" i="1"/>
  <c r="E86" i="1" l="1"/>
  <c r="E85" i="1"/>
  <c r="J31" i="1"/>
  <c r="H31" i="1"/>
  <c r="I68" i="1"/>
  <c r="F39" i="1"/>
  <c r="J39" i="1"/>
  <c r="G44" i="1"/>
  <c r="F52" i="1"/>
  <c r="D52" i="1" s="1"/>
  <c r="T52" i="1" s="1"/>
  <c r="T32" i="1"/>
  <c r="K39" i="1"/>
  <c r="L31" i="1" l="1"/>
  <c r="H44" i="1"/>
  <c r="L44" i="1"/>
  <c r="O39" i="1"/>
  <c r="T44" i="1"/>
  <c r="M39" i="1" l="1"/>
  <c r="O44" i="1"/>
  <c r="G52" i="1"/>
  <c r="H137" i="1"/>
  <c r="M136" i="1"/>
  <c r="F137" i="1"/>
  <c r="L136" i="1" l="1"/>
  <c r="H129" i="1"/>
  <c r="E129" i="1"/>
  <c r="E130" i="1" s="1"/>
  <c r="G129" i="1"/>
  <c r="G130" i="1" s="1"/>
  <c r="F129" i="1"/>
  <c r="F130" i="1" s="1"/>
  <c r="H126" i="1"/>
  <c r="G126" i="1"/>
  <c r="F126" i="1"/>
  <c r="E126" i="1"/>
  <c r="D126" i="1"/>
  <c r="Q116" i="1"/>
  <c r="Q117" i="1"/>
  <c r="Q118" i="1"/>
  <c r="O116" i="1"/>
  <c r="O118" i="1"/>
  <c r="O117" i="1"/>
  <c r="M117" i="1"/>
  <c r="M116" i="1"/>
  <c r="M118" i="1"/>
  <c r="R118" i="1"/>
  <c r="R116" i="1"/>
  <c r="R117" i="1"/>
  <c r="L94" i="1"/>
  <c r="I69" i="1"/>
  <c r="F69" i="1"/>
  <c r="F68" i="1"/>
  <c r="M68" i="1" s="1"/>
  <c r="T61" i="1"/>
  <c r="M60" i="1" s="1"/>
  <c r="K63" i="1"/>
  <c r="L60" i="1"/>
  <c r="K60" i="1"/>
  <c r="M109" i="1"/>
  <c r="H109" i="1"/>
  <c r="P111" i="1"/>
  <c r="N110" i="1"/>
  <c r="J110" i="1"/>
  <c r="H110" i="1"/>
  <c r="I110" i="1"/>
  <c r="L109" i="1"/>
  <c r="K109" i="1"/>
  <c r="H111" i="1"/>
  <c r="I109" i="1"/>
  <c r="J109" i="1"/>
  <c r="T65" i="1"/>
  <c r="T62" i="1"/>
  <c r="T60" i="1"/>
  <c r="G140" i="1" l="1"/>
  <c r="G139" i="1"/>
  <c r="P61" i="1"/>
  <c r="Q63" i="1"/>
  <c r="Q60" i="1"/>
  <c r="I126" i="1"/>
  <c r="J127" i="1" s="1"/>
  <c r="M69" i="1"/>
  <c r="O82" i="1"/>
  <c r="R82" i="1" s="1"/>
  <c r="O84" i="1"/>
  <c r="R84" i="1" s="1"/>
  <c r="T83" i="1" l="1"/>
  <c r="H85" i="1" s="1"/>
  <c r="H130" i="1"/>
  <c r="D129" i="1"/>
  <c r="D130" i="1" s="1"/>
  <c r="I124" i="1"/>
  <c r="T84" i="1" l="1"/>
  <c r="H86" i="1" s="1"/>
  <c r="I130" i="1"/>
  <c r="J131" i="1" s="1"/>
</calcChain>
</file>

<file path=xl/sharedStrings.xml><?xml version="1.0" encoding="utf-8"?>
<sst xmlns="http://schemas.openxmlformats.org/spreadsheetml/2006/main" count="220" uniqueCount="155">
  <si>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</si>
  <si>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</si>
  <si>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</si>
  <si>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</si>
  <si>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</si>
  <si>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</si>
  <si>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</si>
  <si>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</si>
  <si>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</si>
  <si>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</si>
  <si>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</si>
  <si>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</si>
  <si>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</si>
  <si>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</si>
  <si>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</si>
  <si>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</si>
  <si>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</si>
  <si>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</si>
  <si>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</si>
  <si>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</si>
  <si>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KẾT QUẢ CỦA PHÉP TOÁN</t>
  </si>
  <si>
    <t>Input 1</t>
  </si>
  <si>
    <t>x 2 ^</t>
  </si>
  <si>
    <t>Input 2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</si>
  <si>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</si>
  <si>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</si>
  <si>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</si>
  <si>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</si>
  <si>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</si>
  <si>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</si>
  <si>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</si>
  <si>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</si>
  <si>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</si>
  <si>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CHUYỂN SỐ THẬP PHÂN SANG SỐ PHẢY ĐỘNG ĐỘ CHÍNH XÁC ĐƠN/KÉP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</si>
  <si>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</si>
  <si>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</si>
  <si>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</si>
  <si>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</si>
  <si>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</si>
  <si>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</si>
  <si>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</si>
  <si>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</si>
  <si>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</si>
  <si>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</si>
  <si>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</si>
  <si>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</si>
  <si>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</si>
  <si>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</si>
  <si>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</si>
  <si>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</si>
  <si>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</si>
  <si>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</si>
  <si>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</si>
  <si>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</si>
  <si>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</si>
  <si>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</si>
  <si>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</si>
  <si>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</si>
  <si>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</si>
  <si>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</si>
  <si>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</si>
  <si>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</si>
  <si>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</si>
  <si>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</si>
  <si>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</si>
  <si>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</si>
  <si>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</si>
  <si>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</si>
  <si>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</si>
  <si>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</si>
  <si>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</si>
  <si>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</si>
  <si>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</si>
  <si>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</si>
  <si>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</si>
  <si>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</si>
  <si>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</si>
  <si>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</si>
  <si>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</si>
  <si>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</si>
  <si>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</si>
  <si>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</si>
  <si>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</si>
  <si>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</si>
  <si>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</si>
  <si>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</si>
  <si>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</si>
  <si>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</si>
  <si>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</si>
  <si>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</si>
  <si>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t>Tràn số?</t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</si>
  <si>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GÌ)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</si>
  <si>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CHUẨN)</t>
    </r>
  </si>
  <si>
    <t>Kết quả</t>
  </si>
  <si>
    <t>- Nếu đề bảo số sử dụng x bit cao chứa phần nguyên thì thêm dấu '.' vào sau bit thứ x của đầu vào từ trái sang</t>
  </si>
  <si>
    <t>- Dữ liệu đầu vào không được có dấu '-' đằng trước</t>
  </si>
  <si>
    <t>!!!Lưu ý:</t>
  </si>
  <si>
    <t>=</t>
  </si>
  <si>
    <t>Input1 + Input2</t>
  </si>
  <si>
    <t>Input1 - Input 2</t>
  </si>
  <si>
    <t>Input1 * Input2</t>
  </si>
  <si>
    <t>Input1 / Input2</t>
  </si>
  <si>
    <t>!!!Lưu ý: Chỉ xài cho hai input là số không âm, nhỡ may có số âm thì linh hoạt đổi dấu vậy =)))))))</t>
  </si>
  <si>
    <t>00000101011010010011101110011000</t>
  </si>
  <si>
    <t>- Còn lại thì nhập như số trong đề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</si>
  <si>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 HOẶC DẤU PHẨY TĨNH</t>
    </r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</si>
  <si>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 TRONG </t>
    </r>
    <r>
      <rPr>
        <b/>
        <sz val="11"/>
        <color rgb="FF7030A0"/>
        <rFont val="Calibri"/>
        <family val="2"/>
        <scheme val="minor"/>
      </rPr>
      <t>Ô NHỚ</t>
    </r>
    <r>
      <rPr>
        <b/>
        <sz val="11"/>
        <color theme="8"/>
        <rFont val="Calibri"/>
        <family val="2"/>
        <scheme val="minor"/>
      </rPr>
      <t xml:space="preserve"> N-BIT</t>
    </r>
  </si>
  <si>
    <t>Dấu phẩy động được chuẩn hóa</t>
  </si>
  <si>
    <t>Dấu phẩy tĩnh</t>
  </si>
  <si>
    <t>=&gt;</t>
  </si>
  <si>
    <t>XÁC ĐỊNH TỐC ĐỘ TRUYỀN DỮ LIỆU CỦA BUS</t>
  </si>
  <si>
    <t>Số lượng dây của BUS dữ liệu</t>
  </si>
  <si>
    <t>Số chu kỳ mỗi thao tác</t>
  </si>
  <si>
    <t>Tần số của BUS (Theo MHz)</t>
  </si>
  <si>
    <t>Số lần truyền/giây</t>
  </si>
  <si>
    <t>Đơn vị kết quả</t>
  </si>
  <si>
    <t>MB/s</t>
  </si>
  <si>
    <t>- Nếu Ctrl+V riêng mấy dãy bit dài dài trực tiếp vào ô trang tính mà bị Excel format thì Ctrl+V vào thanh công thức phía trên</t>
  </si>
  <si>
    <t>Số bit thấp chứa thập phân</t>
  </si>
  <si>
    <t>Số bit cao chứa nguyên</t>
  </si>
  <si>
    <t>!!!Lưu ý: Nếu đề không bảo định dạng dấu phẩy tĩnh bao nhiêu bit thì phần số bit cao chứa phần nguyên phải để trống</t>
  </si>
  <si>
    <t>TÍNH SỐ LƯỢNG DÂY LỰA CHỌN TỐI THIỂU/CHO N, XÁC ĐỊNH GIÁ TRỊ TỐI THIỂU CỦA K</t>
  </si>
  <si>
    <t>Số đầu vào (N)</t>
  </si>
  <si>
    <t>Kết quả (K)</t>
  </si>
  <si>
    <t>1000000000110100</t>
  </si>
  <si>
    <t>0011101011011011010000000000000000000000000000000000000000000000</t>
  </si>
  <si>
    <t>CHUYỂN SỐ NHỊ PHÂN SANG SỐ PHẨY ĐỘNG ĐỘ CHÍNH XÁC ĐƠN/KÉP</t>
  </si>
  <si>
    <t>Số dương?</t>
  </si>
  <si>
    <t>- Đề bảo số có dấu 89 thì phải nhập vào Input là -89 chứ không phải 89, còn bảo số có dấu -89 thì phải nhập vào Input là 89.That's cú lừa</t>
  </si>
  <si>
    <t>!!!Lưu ý: Nếu trong đề không có phương án A, B, C, D giống kết quả tức là sai đề, trừ kết quả đi 3 để được dấu tích xanh :v</t>
  </si>
  <si>
    <t>HỆ THỐNG 1 MỨC CACHE</t>
  </si>
  <si>
    <t>Số lần hệ thống thực chậm hơn trường hợp lý tưởng</t>
  </si>
  <si>
    <t>HỆ THỐNG 2 MỨC CACHE</t>
  </si>
  <si>
    <t>Tần số đồng hồ(Theo GHz)</t>
  </si>
  <si>
    <t>Tỉ lệ miss của cache mức 1</t>
  </si>
  <si>
    <t>Thời gian truy cập RAM</t>
  </si>
  <si>
    <t>Thời gian truy cập cache mức 2</t>
  </si>
  <si>
    <t>Tỉ lệ miss toàn cục</t>
  </si>
  <si>
    <t>Chi phí xử lý</t>
  </si>
  <si>
    <t>Chỉ với cache đầu</t>
  </si>
  <si>
    <t>Effective CPI</t>
  </si>
  <si>
    <t>Thêm L-2 cache</t>
  </si>
  <si>
    <t>Cache đầu miss, L-2 hit</t>
  </si>
  <si>
    <t>CPI toàn cục</t>
  </si>
  <si>
    <t>Số lần tốc độ tăng khi có 2 mức cache so với trường hợp chỉ có cache mức 1 =</t>
  </si>
  <si>
    <t>!!!Lưu ý: Kết quả ra có dạng a.b(ví dụ 3.9) mà đề bảo làm tròn đến 2 số thập phân thì điền vào ô đáp án là a.b(3.9) chứ không phải a.b0(3.90)</t>
  </si>
  <si>
    <t>!!!Lưu ý: Nhiều câu hỏi "số lần có cache nhanh hơn không có cache" phải điền giống "số lần hệ thống thực chậm hơn trường hợp lý tưởng" mới đúng !!!???</t>
  </si>
  <si>
    <t>- Công thức bị ảnh hưởng bởi kí hiệu dấu thập phân '.'. Trước khi xài cần cài đặt</t>
  </si>
  <si>
    <t>- Bỏ tích ô Use system separator</t>
  </si>
  <si>
    <t>- Khung Decimal separator điền dấu '.'</t>
  </si>
  <si>
    <t>- Khung Thousands separator điền dấu ','</t>
  </si>
  <si>
    <t>- Ấn OK là xong</t>
  </si>
  <si>
    <t>1.110111</t>
  </si>
  <si>
    <t>1.0001</t>
  </si>
  <si>
    <t>111011.100011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</si>
</sst>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13" fillId="0" borderId="0" xfId="0" applyFont="1"/>
    <xf numFmtId="0" fontId="12" fillId="0" borderId="0" xfId="0" applyNumberFormat="1" applyFont="1"/>
    <xf numFmtId="0" fontId="12" fillId="0" borderId="0" xfId="0" applyFont="1"/>
    <xf numFmtId="0" fontId="1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8" fillId="0" borderId="0" xfId="0" quotePrefix="1" applyNumberFormat="1" applyFont="1" applyProtection="1"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9" fontId="8" fillId="0" borderId="0" xfId="1" applyFont="1" applyAlignment="1" applyProtection="1">
      <alignment horizontal="center"/>
      <protection locked="0"/>
    </xf>
    <xf numFmtId="0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0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8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8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8" fillId="0" borderId="0" xfId="0" applyFont="1" applyAlignment="1" applyProtection="1">
      <alignment horizontal="left"/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49" fontId="2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0" fontId="10" fillId="0" borderId="0" xfId="0" quotePrefix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Alignment="1"/>
    <xf numFmtId="0" fontId="6" fillId="0" borderId="0" xfId="0" applyNumberFormat="1" applyFont="1" applyAlignment="1">
      <alignment horizontal="center"/>
    </xf>
    <xf numFmtId="49" fontId="3" fillId="0" borderId="0" xfId="0" quotePrefix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7621</xdr:rowOff>
    </xdr:from>
    <xdr:to>
      <xdr:col>3</xdr:col>
      <xdr:colOff>112658</xdr:colOff>
      <xdr:row>13</xdr:row>
      <xdr:rowOff>7621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1104901"/>
          <a:ext cx="1301377" cy="12801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1</xdr:rowOff>
    </xdr:from>
    <xdr:to>
      <xdr:col>6</xdr:col>
      <xdr:colOff>10659</xdr:colOff>
      <xdr:row>17</xdr:row>
      <xdr:rowOff>137161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5260" y="731521"/>
          <a:ext cx="734559" cy="2514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445511</xdr:colOff>
      <xdr:row>18</xdr:row>
      <xdr:rowOff>15240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731520"/>
          <a:ext cx="1245611" cy="25755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1</xdr:rowOff>
    </xdr:from>
    <xdr:to>
      <xdr:col>13</xdr:col>
      <xdr:colOff>350520</xdr:colOff>
      <xdr:row>21</xdr:row>
      <xdr:rowOff>4079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7240" y="731521"/>
          <a:ext cx="2827020" cy="3113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55"/>
  <sheetViews>
    <sheetView tabSelected="1" topLeftCell="A13" workbookViewId="0">
      <selection activeCell="G21" sqref="G21"/>
    </sheetView>
  </sheetViews>
  <sheetFormatPr defaultRowHeight="14.4" x14ac:dyDescent="0.3"/>
  <cols>
    <col min="3" max="3" width="17.33203125" customWidth="1"/>
    <col min="4" max="4" width="10.88671875" customWidth="1"/>
    <col min="5" max="5" width="12.109375" customWidth="1"/>
    <col min="6" max="6" width="10.5546875" customWidth="1"/>
    <col min="7" max="7" width="9.664062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3.2187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23"/>
    </row>
    <row r="2" spans="3:20" x14ac:dyDescent="0.3">
      <c r="T2" s="23"/>
    </row>
    <row r="3" spans="3:20" x14ac:dyDescent="0.3">
      <c r="C3" s="67" t="s">
        <v>76</v>
      </c>
      <c r="D3" s="67"/>
      <c r="T3" s="23"/>
    </row>
    <row r="4" spans="3:20" x14ac:dyDescent="0.3">
      <c r="C4" s="58" t="s">
        <v>147</v>
      </c>
      <c r="D4" s="58"/>
      <c r="E4" s="58"/>
      <c r="F4" s="58"/>
      <c r="G4" s="58"/>
      <c r="H4" s="58"/>
      <c r="T4" s="23"/>
    </row>
    <row r="5" spans="3:20" x14ac:dyDescent="0.3">
      <c r="C5" s="17"/>
      <c r="T5" s="23"/>
    </row>
    <row r="6" spans="3:20" x14ac:dyDescent="0.3">
      <c r="C6" s="17"/>
      <c r="T6" s="23"/>
    </row>
    <row r="7" spans="3:20" x14ac:dyDescent="0.3">
      <c r="C7" s="17"/>
      <c r="T7" s="23"/>
    </row>
    <row r="8" spans="3:20" x14ac:dyDescent="0.3">
      <c r="C8" s="17"/>
      <c r="E8" s="5"/>
      <c r="T8" s="23"/>
    </row>
    <row r="9" spans="3:20" x14ac:dyDescent="0.3">
      <c r="C9" s="17"/>
      <c r="T9" s="23"/>
    </row>
    <row r="10" spans="3:20" x14ac:dyDescent="0.3">
      <c r="C10" s="17"/>
      <c r="E10" s="5" t="s">
        <v>109</v>
      </c>
      <c r="H10" s="5" t="s">
        <v>109</v>
      </c>
      <c r="K10" s="5" t="s">
        <v>109</v>
      </c>
      <c r="T10" s="23"/>
    </row>
    <row r="11" spans="3:20" x14ac:dyDescent="0.3">
      <c r="C11" s="17"/>
      <c r="T11" s="23"/>
    </row>
    <row r="12" spans="3:20" x14ac:dyDescent="0.3">
      <c r="C12" s="17"/>
      <c r="T12" s="23"/>
    </row>
    <row r="13" spans="3:20" x14ac:dyDescent="0.3">
      <c r="C13" s="17"/>
      <c r="T13" s="23"/>
    </row>
    <row r="14" spans="3:20" x14ac:dyDescent="0.3">
      <c r="C14" s="17"/>
      <c r="T14" s="23"/>
    </row>
    <row r="15" spans="3:20" x14ac:dyDescent="0.3">
      <c r="C15" s="17"/>
      <c r="O15" s="68" t="s">
        <v>148</v>
      </c>
      <c r="P15" s="68"/>
      <c r="Q15" s="68"/>
      <c r="T15" s="23"/>
    </row>
    <row r="16" spans="3:20" x14ac:dyDescent="0.3">
      <c r="C16" s="17"/>
      <c r="O16" s="58" t="s">
        <v>149</v>
      </c>
      <c r="P16" s="58"/>
      <c r="Q16" s="58"/>
      <c r="T16" s="23"/>
    </row>
    <row r="17" spans="3:20" x14ac:dyDescent="0.3">
      <c r="C17" s="17"/>
      <c r="O17" s="58" t="s">
        <v>150</v>
      </c>
      <c r="P17" s="58"/>
      <c r="Q17" s="58"/>
      <c r="R17" s="58"/>
      <c r="T17" s="23"/>
    </row>
    <row r="18" spans="3:20" x14ac:dyDescent="0.3">
      <c r="C18" s="17"/>
      <c r="O18" s="58" t="s">
        <v>151</v>
      </c>
      <c r="P18" s="58"/>
      <c r="T18" s="23"/>
    </row>
    <row r="19" spans="3:20" x14ac:dyDescent="0.3">
      <c r="C19" s="17"/>
      <c r="T19" s="23"/>
    </row>
    <row r="20" spans="3:20" x14ac:dyDescent="0.3">
      <c r="C20" s="17"/>
      <c r="T20" s="23"/>
    </row>
    <row r="21" spans="3:20" x14ac:dyDescent="0.3">
      <c r="C21" s="17"/>
      <c r="T21" s="23"/>
    </row>
    <row r="22" spans="3:20" x14ac:dyDescent="0.3">
      <c r="C22" s="62" t="s">
        <v>77</v>
      </c>
      <c r="D22" s="62"/>
      <c r="E22" s="62"/>
      <c r="T22" s="23"/>
    </row>
    <row r="23" spans="3:20" x14ac:dyDescent="0.3">
      <c r="C23" s="62" t="s">
        <v>78</v>
      </c>
      <c r="D23" s="62"/>
      <c r="T23" s="23"/>
    </row>
    <row r="24" spans="3:20" x14ac:dyDescent="0.3">
      <c r="C24" s="63" t="s">
        <v>117</v>
      </c>
      <c r="D24" s="63"/>
      <c r="E24" s="63"/>
      <c r="F24" s="63"/>
      <c r="G24" s="63"/>
      <c r="H24" s="63"/>
      <c r="I24" s="63"/>
      <c r="J24" s="63"/>
      <c r="K24" s="63"/>
      <c r="T24" s="23"/>
    </row>
    <row r="25" spans="3:20" x14ac:dyDescent="0.3">
      <c r="C25" s="63" t="s">
        <v>82</v>
      </c>
      <c r="D25" s="63"/>
      <c r="E25" s="63"/>
      <c r="F25" s="63"/>
      <c r="G25" s="63"/>
      <c r="H25" s="63"/>
      <c r="I25" s="63"/>
      <c r="J25" s="63"/>
      <c r="T25" s="23"/>
    </row>
    <row r="26" spans="3:20" x14ac:dyDescent="0.3">
      <c r="C26" s="63" t="s">
        <v>79</v>
      </c>
      <c r="D26" s="63"/>
      <c r="E26" s="63"/>
      <c r="F26" s="63"/>
      <c r="G26" s="63"/>
      <c r="H26" s="63"/>
      <c r="T26" s="23"/>
    </row>
    <row r="27" spans="3:20" x14ac:dyDescent="0.3">
      <c r="T27" s="23"/>
    </row>
    <row r="28" spans="3:20" x14ac:dyDescent="0.3">
      <c r="T28" s="23"/>
    </row>
    <row r="29" spans="3:20" x14ac:dyDescent="0.3">
      <c r="E29" s="53" t="s">
        <v>91</v>
      </c>
      <c r="F29" s="53"/>
      <c r="G29" s="53"/>
      <c r="H29" s="53"/>
      <c r="I29" s="53"/>
      <c r="J29" s="53"/>
      <c r="T29" s="23"/>
    </row>
    <row r="30" spans="3:20" x14ac:dyDescent="0.3">
      <c r="C30" s="5" t="s">
        <v>6</v>
      </c>
      <c r="D30" s="2" t="s">
        <v>18</v>
      </c>
      <c r="E30" s="2" t="s">
        <v>12</v>
      </c>
      <c r="F30" s="40" t="s">
        <v>13</v>
      </c>
      <c r="G30" s="40"/>
      <c r="H30" s="40" t="s">
        <v>15</v>
      </c>
      <c r="I30" s="40"/>
      <c r="J30" s="40" t="s">
        <v>127</v>
      </c>
      <c r="K30" s="40"/>
      <c r="L30" s="40" t="s">
        <v>14</v>
      </c>
      <c r="M30" s="40"/>
      <c r="T30" s="25" t="s">
        <v>17</v>
      </c>
    </row>
    <row r="31" spans="3:20" x14ac:dyDescent="0.3">
      <c r="C31" s="32" t="s">
        <v>154</v>
      </c>
      <c r="D31" s="2" t="str">
        <f>MID(C31,1,1)</f>
        <v>1</v>
      </c>
      <c r="E31" s="2" t="str">
        <f>SUBSTITUTE(C31,".","")</f>
        <v>111011100011</v>
      </c>
      <c r="F31" s="64">
        <f>IF(ISNUMBER(SEARCH(".",C31)),LEN(C31)-FIND(".",C31),0)</f>
        <v>6</v>
      </c>
      <c r="G31" s="64"/>
      <c r="H31" s="69" t="str">
        <f>SUBSTITUTE(SUBSTITUTE(SUBSTITUTE(E31,"0","*"),"1","0"),"*","1")</f>
        <v>000100011100</v>
      </c>
      <c r="I31" s="69"/>
      <c r="J31" s="57">
        <f ca="1">T31</f>
        <v>59.546875</v>
      </c>
      <c r="K31" s="57"/>
      <c r="L31" s="57">
        <f ca="1">IF(D31="0",T31,T32)</f>
        <v>-4.453125</v>
      </c>
      <c r="M31" s="57"/>
      <c r="N31" s="10"/>
      <c r="T31" s="28">
        <f ca="1">SUMPRODUCT(--MID(E31,LEN(E31)+1-ROW(INDIRECT("1:"&amp;LEN(E31))),1),(2^(ROW(INDIRECT("1:"&amp;LEN(E31)))-1)))/(2^F31)</f>
        <v>59.546875</v>
      </c>
    </row>
    <row r="32" spans="3:20" x14ac:dyDescent="0.3">
      <c r="C32" s="13" t="s">
        <v>96</v>
      </c>
      <c r="D32" s="2"/>
      <c r="E32" s="3"/>
      <c r="F32" s="6"/>
      <c r="G32" s="11"/>
      <c r="I32" s="12"/>
      <c r="K32" s="12"/>
      <c r="N32" s="10"/>
      <c r="T32" s="28">
        <f ca="1">-(SUMPRODUCT(--MID(H31,LEN(H31)+1-ROW(INDIRECT("1:"&amp;LEN(H31))),1),(2^(ROW(INDIRECT("1:"&amp;LEN(H31)))-1)))+1)/(2^F31)</f>
        <v>-4.453125</v>
      </c>
    </row>
    <row r="33" spans="3:20" x14ac:dyDescent="0.3">
      <c r="C33" s="70" t="s">
        <v>95</v>
      </c>
      <c r="D33" s="70"/>
      <c r="E33" s="70"/>
      <c r="F33" s="70"/>
      <c r="G33" s="11"/>
      <c r="I33" s="12"/>
      <c r="K33" s="12"/>
      <c r="N33" s="10"/>
      <c r="T33" s="28"/>
    </row>
    <row r="34" spans="3:20" x14ac:dyDescent="0.3">
      <c r="C34" s="70" t="s">
        <v>94</v>
      </c>
      <c r="D34" s="70"/>
      <c r="E34" s="70"/>
      <c r="F34" s="70"/>
      <c r="G34" s="70"/>
      <c r="H34" s="70"/>
      <c r="I34" s="70"/>
      <c r="J34" s="70"/>
      <c r="K34" s="12"/>
      <c r="N34" s="10"/>
      <c r="T34" s="28"/>
    </row>
    <row r="35" spans="3:20" x14ac:dyDescent="0.3">
      <c r="C35" s="14"/>
      <c r="D35" s="2"/>
      <c r="E35" s="3"/>
      <c r="F35" s="6"/>
      <c r="G35" s="11"/>
      <c r="I35" s="12"/>
      <c r="K35" s="12"/>
      <c r="N35" s="10"/>
      <c r="T35" s="23"/>
    </row>
    <row r="36" spans="3:20" x14ac:dyDescent="0.3">
      <c r="C36" s="14"/>
      <c r="D36" s="2"/>
      <c r="E36" s="3"/>
      <c r="F36" s="6"/>
      <c r="G36" s="11"/>
      <c r="I36" s="12"/>
      <c r="K36" s="12"/>
      <c r="N36" s="10"/>
      <c r="T36" s="23"/>
    </row>
    <row r="37" spans="3:20" x14ac:dyDescent="0.3">
      <c r="C37" s="14"/>
      <c r="D37" s="2"/>
      <c r="E37" s="66" t="s">
        <v>92</v>
      </c>
      <c r="F37" s="66"/>
      <c r="G37" s="66"/>
      <c r="H37" s="66"/>
      <c r="I37" s="66"/>
      <c r="J37" s="66"/>
      <c r="K37" s="12"/>
      <c r="N37" s="10"/>
      <c r="T37" s="23"/>
    </row>
    <row r="38" spans="3:20" x14ac:dyDescent="0.3">
      <c r="C38" s="20" t="s">
        <v>6</v>
      </c>
      <c r="D38" s="2"/>
      <c r="E38" s="19"/>
      <c r="F38" s="2" t="s">
        <v>18</v>
      </c>
      <c r="G38" s="2" t="s">
        <v>12</v>
      </c>
      <c r="H38" s="40" t="s">
        <v>13</v>
      </c>
      <c r="I38" s="40"/>
      <c r="J38" s="2" t="s">
        <v>83</v>
      </c>
      <c r="K38" s="64" t="s">
        <v>84</v>
      </c>
      <c r="L38" s="64"/>
      <c r="M38" s="40" t="s">
        <v>85</v>
      </c>
      <c r="N38" s="40"/>
      <c r="O38" s="61" t="s">
        <v>86</v>
      </c>
      <c r="P38" s="61"/>
      <c r="R38" s="2"/>
      <c r="T38" s="25" t="s">
        <v>17</v>
      </c>
    </row>
    <row r="39" spans="3:20" x14ac:dyDescent="0.3">
      <c r="C39" s="60" t="s">
        <v>124</v>
      </c>
      <c r="D39" s="60"/>
      <c r="E39" s="60"/>
      <c r="F39" s="2" t="str">
        <f>MID(G39,1,1)</f>
        <v>1</v>
      </c>
      <c r="G39" s="2" t="str">
        <f>SUBSTITUTE(C39,".","")</f>
        <v>1000000000110100</v>
      </c>
      <c r="H39" s="50">
        <f>IF(ISNUMBER(SEARCH(".",C39)),LEN(C39)-FIND(".",C39),0)</f>
        <v>0</v>
      </c>
      <c r="I39" s="50"/>
      <c r="J39" s="15" t="str">
        <f>SUBSTITUTE(SUBSTITUTE(SUBSTITUTE(G39,"0","*"),"1","0"),"*","1")</f>
        <v>0111111111001011</v>
      </c>
      <c r="K39" s="65">
        <f ca="1">IF(F39="0",T39,-SUMPRODUCT(--MID(J39,LEN(J39)+1-ROW(INDIRECT("1:"&amp;LEN(J39))),1),(2^(ROW(INDIRECT("1:"&amp;LEN(J39)))-1))))/2^(H39)</f>
        <v>-32715</v>
      </c>
      <c r="L39" s="65"/>
      <c r="M39" s="57">
        <f ca="1">IF(F39="0",T39,-(-K39*2^(H39)+1))/2^(H39)</f>
        <v>-32716</v>
      </c>
      <c r="N39" s="57"/>
      <c r="O39" s="57">
        <f ca="1">IF(F39="0",T39,-SUMPRODUCT(--MID(T40,LEN(T40)+1-ROW(INDIRECT("1:"&amp;LEN(T40))),1),(2^(ROW(INDIRECT("1:"&amp;LEN(T40)))-1))))/2^(H39)</f>
        <v>-52</v>
      </c>
      <c r="P39" s="57"/>
      <c r="T39" s="26">
        <f ca="1">SUMPRODUCT(--MID(G39,LEN(G39)+1-ROW(INDIRECT("1:"&amp;LEN(G39))),1),(2^(ROW(INDIRECT("1:"&amp;LEN(G39)))-1)))</f>
        <v>32820</v>
      </c>
    </row>
    <row r="40" spans="3:20" x14ac:dyDescent="0.3">
      <c r="C40" s="8"/>
      <c r="D40" s="8"/>
      <c r="E40" s="7"/>
      <c r="F40" s="8"/>
      <c r="G40" s="7"/>
      <c r="I40" s="7"/>
      <c r="K40" s="10"/>
      <c r="T40" s="27" t="str">
        <f>0&amp;MID(G39,2,LEN(G39)-1)</f>
        <v>0000000000110100</v>
      </c>
    </row>
    <row r="41" spans="3:20" x14ac:dyDescent="0.3">
      <c r="T41" s="23"/>
    </row>
    <row r="42" spans="3:20" x14ac:dyDescent="0.3">
      <c r="E42" s="53" t="s">
        <v>106</v>
      </c>
      <c r="F42" s="53"/>
      <c r="G42" s="53"/>
      <c r="H42" s="53"/>
      <c r="I42" s="53"/>
      <c r="J42" s="53"/>
      <c r="K42" s="53"/>
      <c r="T42" s="27"/>
    </row>
    <row r="43" spans="3:20" x14ac:dyDescent="0.3">
      <c r="C43" s="2" t="s">
        <v>6</v>
      </c>
      <c r="D43" s="40" t="s">
        <v>16</v>
      </c>
      <c r="E43" s="40"/>
      <c r="F43" s="2" t="s">
        <v>89</v>
      </c>
      <c r="G43" s="2" t="s">
        <v>90</v>
      </c>
      <c r="H43" s="40" t="s">
        <v>86</v>
      </c>
      <c r="I43" s="40"/>
      <c r="J43" s="2"/>
      <c r="L43" s="2" t="s">
        <v>84</v>
      </c>
      <c r="N43" s="2"/>
      <c r="O43" s="2" t="s">
        <v>85</v>
      </c>
      <c r="R43" s="2"/>
      <c r="T43" s="25" t="s">
        <v>17</v>
      </c>
    </row>
    <row r="44" spans="3:20" x14ac:dyDescent="0.3">
      <c r="C44" s="33">
        <v>-52</v>
      </c>
      <c r="D44" s="43">
        <v>8</v>
      </c>
      <c r="E44" s="43"/>
      <c r="F44" s="15" t="str">
        <f>RIGHT(DEC2BIN(MOD(QUOTIENT(ABS(C44),256^3),256),8)&amp;DEC2BIN(MOD(QUOTIENT(ABS(C44),256^2),256),8)&amp;DEC2BIN(MOD(QUOTIENT(ABS(C44),256^1),256),8)&amp;DEC2BIN(MOD(QUOTIENT(ABS(C44),256^0),256),8),D44)</f>
        <v>00110100</v>
      </c>
      <c r="G44" s="7" t="str">
        <f>IF(OR(C44&lt;(-(2^(D44-1))),C44&gt;=(2^(D44-1))),"tràn số","")</f>
        <v/>
      </c>
      <c r="H44" s="57" t="str">
        <f>IF(LEN(G44)&gt;0,"",IF(C44&lt;0,REPLACE(F44,1,1,"1"),F44))</f>
        <v>10110100</v>
      </c>
      <c r="I44" s="57"/>
      <c r="J44" s="7"/>
      <c r="L44" s="49" t="str">
        <f>IF(LEN(G44)&gt;0,"",IF(C44&lt;0,SUBSTITUTE(SUBSTITUTE(SUBSTITUTE(F44,"0","*"),"1","0"),"*","1"),F44))</f>
        <v>11001011</v>
      </c>
      <c r="M44" s="49"/>
      <c r="N44" s="49"/>
      <c r="O44" s="49" t="str">
        <f ca="1">IF(C44&lt;0,IF(LEN(G44)&gt;0,"",RIGHT(DEC2BIN(MOD(QUOTIENT(T44,256^3),256),8)&amp;DEC2BIN(MOD(QUOTIENT(T44,256^2),256),8)&amp;DEC2BIN(MOD(QUOTIENT(T44,256^1),256),8)&amp;DEC2BIN(MOD(QUOTIENT(T44,256^0),256),8),D44)),F44)</f>
        <v>11001100</v>
      </c>
      <c r="P44" s="49"/>
      <c r="Q44" s="49"/>
      <c r="T44" s="25">
        <f ca="1">SUMPRODUCT(--MID(L44,LEN(L44)+1-ROW(INDIRECT("1:"&amp;LEN(L44))),1),(2^(ROW(INDIRECT("1:"&amp;LEN(L44)))-1)))+1</f>
        <v>204</v>
      </c>
    </row>
    <row r="45" spans="3:20" x14ac:dyDescent="0.3">
      <c r="C45" s="8" t="s">
        <v>96</v>
      </c>
      <c r="D45" s="16"/>
      <c r="E45" s="7"/>
      <c r="F45" s="7"/>
      <c r="G45" s="7"/>
      <c r="H45" s="7"/>
      <c r="I45" s="7"/>
      <c r="J45" s="7"/>
      <c r="K45" s="7"/>
      <c r="L45" s="7"/>
      <c r="M45" s="7"/>
      <c r="N45" s="7"/>
      <c r="P45" s="7"/>
      <c r="T45" s="25"/>
    </row>
    <row r="46" spans="3:20" x14ac:dyDescent="0.3">
      <c r="C46" s="58" t="s">
        <v>128</v>
      </c>
      <c r="D46" s="58"/>
      <c r="E46" s="58"/>
      <c r="F46" s="58"/>
      <c r="G46" s="58"/>
      <c r="H46" s="58"/>
      <c r="I46" s="58"/>
      <c r="J46" s="58"/>
      <c r="K46" s="58"/>
      <c r="L46" s="58"/>
      <c r="M46" s="7"/>
      <c r="N46" s="7"/>
      <c r="P46" s="7"/>
      <c r="T46" s="25"/>
    </row>
    <row r="47" spans="3:20" x14ac:dyDescent="0.3">
      <c r="C47" s="58" t="s">
        <v>104</v>
      </c>
      <c r="D47" s="58"/>
      <c r="E47" s="7"/>
      <c r="F47" s="7"/>
      <c r="G47" s="7"/>
      <c r="H47" s="7"/>
      <c r="I47" s="7"/>
      <c r="J47" s="7"/>
      <c r="K47" s="7"/>
      <c r="L47" s="7"/>
      <c r="M47" s="7"/>
      <c r="N47" s="7"/>
      <c r="P47" s="7"/>
      <c r="T47" s="25"/>
    </row>
    <row r="48" spans="3:20" x14ac:dyDescent="0.3">
      <c r="C48" s="16"/>
      <c r="D48" s="16"/>
      <c r="E48" s="7"/>
      <c r="F48" s="7"/>
      <c r="G48" s="7"/>
      <c r="H48" s="7"/>
      <c r="I48" s="7"/>
      <c r="J48" s="7"/>
      <c r="K48" s="7"/>
      <c r="L48" s="7"/>
      <c r="M48" s="7"/>
      <c r="N48" s="7"/>
      <c r="P48" s="7"/>
      <c r="T48" s="25"/>
    </row>
    <row r="49" spans="3:22" x14ac:dyDescent="0.3">
      <c r="C49" s="16"/>
      <c r="D49" s="16"/>
      <c r="E49" s="7"/>
      <c r="F49" s="7"/>
      <c r="G49" s="7"/>
      <c r="H49" s="7"/>
      <c r="I49" s="7"/>
      <c r="J49" s="7"/>
      <c r="K49" s="7"/>
      <c r="L49" s="7"/>
      <c r="M49" s="7"/>
      <c r="N49" s="7"/>
      <c r="P49" s="7"/>
      <c r="T49" s="25"/>
    </row>
    <row r="50" spans="3:22" x14ac:dyDescent="0.3">
      <c r="C50" s="2"/>
      <c r="D50" s="16"/>
      <c r="E50" s="47" t="s">
        <v>105</v>
      </c>
      <c r="F50" s="47"/>
      <c r="G50" s="47"/>
      <c r="H50" s="47"/>
      <c r="I50" s="47"/>
      <c r="J50" s="47"/>
      <c r="K50" s="47"/>
      <c r="L50" s="47"/>
      <c r="M50" s="47"/>
      <c r="N50" s="7"/>
      <c r="P50" s="7"/>
      <c r="T50" s="27"/>
    </row>
    <row r="51" spans="3:22" x14ac:dyDescent="0.3">
      <c r="C51" s="15" t="s">
        <v>6</v>
      </c>
      <c r="D51" s="2" t="s">
        <v>87</v>
      </c>
      <c r="E51" s="16"/>
      <c r="F51" s="7"/>
      <c r="G51" s="50" t="s">
        <v>107</v>
      </c>
      <c r="H51" s="50"/>
      <c r="I51" s="50"/>
      <c r="J51" s="40" t="s">
        <v>119</v>
      </c>
      <c r="K51" s="40"/>
      <c r="L51" s="50" t="s">
        <v>118</v>
      </c>
      <c r="M51" s="50"/>
      <c r="N51" s="15" t="s">
        <v>89</v>
      </c>
      <c r="O51" s="50" t="s">
        <v>108</v>
      </c>
      <c r="P51" s="50"/>
      <c r="T51" s="25" t="s">
        <v>17</v>
      </c>
    </row>
    <row r="52" spans="3:22" x14ac:dyDescent="0.3">
      <c r="C52" s="33">
        <v>-18.87</v>
      </c>
      <c r="D52" s="2">
        <f>C52*(2^F52)</f>
        <v>-75.48</v>
      </c>
      <c r="E52" s="2" t="s">
        <v>88</v>
      </c>
      <c r="F52" s="2">
        <f>IF(ISNUMBER(SEARCH(".",C52)),LEN(C52)-SEARCH(".",C52),0)</f>
        <v>2</v>
      </c>
      <c r="G52" s="57" t="str">
        <f>IF(D52=0,"0 x 2^(0)",IF(D52&lt;0,"-","")&amp;"1."&amp;MID(T52,SEARCH("1",T52)+1,LEN(T52)-SEARCH("1",T52))&amp;" x 2^("&amp;(LEN(T52)-SEARCH("1",T52)-F52)&amp;")")</f>
        <v>-1.001011 x 2^(4)</v>
      </c>
      <c r="H52" s="57"/>
      <c r="I52" s="57"/>
      <c r="J52" s="43">
        <v>12</v>
      </c>
      <c r="K52" s="43"/>
      <c r="L52" s="43">
        <v>4</v>
      </c>
      <c r="M52" s="43"/>
      <c r="N52" s="15" t="str">
        <f>IF(J52="",IF(ISNUMBER(SEARCH("1",MID(T54,1,LEN(T54)-L52))),RIGHT(MID(T54,1,LEN(T54)-L52),LEN(MID(T54,1,LEN(T54)-L52))-SEARCH("1",MID(T54,1,LEN(T54)-L52))+1),"0"),RIGHT(MID(T54,1,LEN(T54)-L52),J52))&amp;"."&amp;RIGHT(T54,L52)</f>
        <v>000000010010.1101</v>
      </c>
      <c r="O52" s="49" t="str">
        <f ca="1">IF(J52="",IF(C52&lt;0,"-","")&amp;N52,IF(C52&lt;0,LEFT(T57,J52)&amp;IF(J52="",".","")&amp;RIGHT(T57,L52),N52))</f>
        <v>1111111011010011</v>
      </c>
      <c r="P52" s="49"/>
      <c r="Q52" s="49"/>
      <c r="R52" s="49"/>
      <c r="T52" s="25" t="str">
        <f>RIGHT(DEC2BIN(MOD(QUOTIENT(ABS(D52),256^3),256),8)&amp;DEC2BIN(MOD(QUOTIENT(ABS(D52),256^2),256),8)&amp;DEC2BIN(MOD(QUOTIENT(ABS(D52),256^1),256),8)&amp;DEC2BIN(MOD(QUOTIENT(ABS(D52),256^0),256),8),64)</f>
        <v>00000000000000000000000001001011</v>
      </c>
    </row>
    <row r="53" spans="3:22" x14ac:dyDescent="0.3">
      <c r="C53" s="42" t="s">
        <v>120</v>
      </c>
      <c r="D53" s="42"/>
      <c r="E53" s="42"/>
      <c r="F53" s="42"/>
      <c r="G53" s="42"/>
      <c r="H53" s="42"/>
      <c r="I53" s="42"/>
      <c r="J53" s="42"/>
      <c r="K53" s="42"/>
      <c r="T53" s="27">
        <f>ROUNDDOWN(C52*2^(L52),0)</f>
        <v>-301</v>
      </c>
    </row>
    <row r="54" spans="3:22" x14ac:dyDescent="0.3">
      <c r="C54" s="17"/>
      <c r="T54" s="27" t="str">
        <f>RIGHT(DEC2BIN(MOD(QUOTIENT(ABS(T53),256^3),256),8)&amp;DEC2BIN(MOD(QUOTIENT(ABS(T53),256^2),256),8)&amp;DEC2BIN(MOD(QUOTIENT(ABS(T53),256^1),256),8)&amp;DEC2BIN(MOD(QUOTIENT(ABS(T53),256^0),256),8),64)</f>
        <v>00000000000000000000000100101101</v>
      </c>
    </row>
    <row r="55" spans="3:22" x14ac:dyDescent="0.3">
      <c r="C55" s="17"/>
      <c r="T55" s="27" t="str">
        <f>SUBSTITUTE(SUBSTITUTE(SUBSTITUTE(SUBSTITUTE(N52,"0","*"),"1","0"),"*","1"),".","")</f>
        <v>1111111011010010</v>
      </c>
    </row>
    <row r="56" spans="3:22" x14ac:dyDescent="0.3">
      <c r="C56" s="17"/>
      <c r="T56" s="27">
        <f ca="1">(SUMPRODUCT(--MID(T55,LEN(T55)+1-ROW(INDIRECT("1:"&amp;LEN(T55))),1),(2^(ROW(INDIRECT("1:"&amp;LEN(T55)))-1)))+1)</f>
        <v>65235</v>
      </c>
    </row>
    <row r="57" spans="3:22" x14ac:dyDescent="0.3">
      <c r="C57" s="17"/>
      <c r="T57" s="27" t="str">
        <f ca="1">RIGHT(DEC2BIN(MOD(QUOTIENT(ABS(T56),256^3),256),8)&amp;DEC2BIN(MOD(QUOTIENT(ABS(T56),256^2),256),8)&amp;DEC2BIN(MOD(QUOTIENT(ABS(T56),256^1),256),8)&amp;DEC2BIN(MOD(QUOTIENT(ABS(T56),256^0),256),8),J52+L52)</f>
        <v>1111111011010011</v>
      </c>
    </row>
    <row r="58" spans="3:22" x14ac:dyDescent="0.3">
      <c r="C58" s="17"/>
      <c r="E58" s="53" t="s">
        <v>30</v>
      </c>
      <c r="F58" s="53"/>
      <c r="G58" s="53"/>
      <c r="H58" s="53"/>
      <c r="I58" s="53"/>
      <c r="J58" s="53"/>
      <c r="K58" s="53"/>
      <c r="T58" s="27"/>
    </row>
    <row r="59" spans="3:22" x14ac:dyDescent="0.3">
      <c r="D59" s="21" t="s">
        <v>6</v>
      </c>
      <c r="F59" s="9"/>
      <c r="K59" s="2" t="s">
        <v>25</v>
      </c>
      <c r="L59" s="2" t="s">
        <v>26</v>
      </c>
      <c r="M59" s="2" t="s">
        <v>27</v>
      </c>
      <c r="P59" s="2" t="s">
        <v>29</v>
      </c>
      <c r="Q59" s="2" t="s">
        <v>28</v>
      </c>
      <c r="T59" s="25" t="s">
        <v>17</v>
      </c>
      <c r="V59" s="18"/>
    </row>
    <row r="60" spans="3:22" x14ac:dyDescent="0.3">
      <c r="C60" s="2" t="s">
        <v>31</v>
      </c>
      <c r="D60" s="60" t="s">
        <v>24</v>
      </c>
      <c r="E60" s="60"/>
      <c r="F60" s="60"/>
      <c r="G60" s="60"/>
      <c r="H60" s="60"/>
      <c r="I60" s="60"/>
      <c r="J60" s="60"/>
      <c r="K60" s="2" t="str">
        <f>MID(D60,1,1)</f>
        <v>0</v>
      </c>
      <c r="L60" s="2" t="str">
        <f>MID(D60,2,8)</f>
        <v>10001011</v>
      </c>
      <c r="M60" s="2" t="str">
        <f>MID(D60,10,T61)</f>
        <v>00000000000001</v>
      </c>
      <c r="P60" s="2">
        <v>127</v>
      </c>
      <c r="Q60" s="49">
        <f ca="1">((-1)^K60)*(1+T62)*(2^(T60-P60))</f>
        <v>4096.25</v>
      </c>
      <c r="R60" s="49"/>
      <c r="S60" s="49"/>
      <c r="T60" s="27">
        <f ca="1">SUMPRODUCT(--MID(L60,LEN(L60)+1-ROW(INDIRECT("1:"&amp;LEN(L60))),1),(2^(ROW(INDIRECT("1:"&amp;LEN(L60)))-1)))</f>
        <v>139</v>
      </c>
    </row>
    <row r="61" spans="3:22" x14ac:dyDescent="0.3">
      <c r="O61" s="5" t="s">
        <v>97</v>
      </c>
      <c r="P61" s="49" t="str">
        <f ca="1">"1."&amp;M60&amp;" x 2^("&amp;(T60-P60)&amp;")"</f>
        <v>1.00000000000001 x 2^(12)</v>
      </c>
      <c r="Q61" s="49"/>
      <c r="R61" s="49"/>
      <c r="T61" s="27">
        <f>FIND("@",SUBSTITUTE(D60,"1","@",LEN(D60)-LEN(SUBSTITUTE(D60,"1",""))))-9</f>
        <v>14</v>
      </c>
    </row>
    <row r="62" spans="3:22" x14ac:dyDescent="0.3">
      <c r="T62" s="27">
        <f ca="1">SUMPRODUCT(--MID(M60,LEN(M60)+1-ROW(INDIRECT("1:"&amp;LEN(M60))),1),(2^(ROW(INDIRECT("1:"&amp;LEN(M60)))-1)))/(2^LEN(M60))</f>
        <v>6.103515625E-5</v>
      </c>
    </row>
    <row r="63" spans="3:22" x14ac:dyDescent="0.3">
      <c r="C63" s="2" t="s">
        <v>32</v>
      </c>
      <c r="D63" s="51" t="s">
        <v>125</v>
      </c>
      <c r="E63" s="51"/>
      <c r="F63" s="51"/>
      <c r="G63" s="51"/>
      <c r="H63" s="51"/>
      <c r="I63" s="51"/>
      <c r="J63" s="51"/>
      <c r="K63" s="2" t="str">
        <f>MID(D63,1,1)</f>
        <v>0</v>
      </c>
      <c r="L63" s="2" t="str">
        <f>MID(D63,2,11)</f>
        <v>01110101101</v>
      </c>
      <c r="M63" s="2" t="str">
        <f>MID(D63,13,T64)</f>
        <v>101101</v>
      </c>
      <c r="N63" s="2"/>
      <c r="O63" s="2"/>
      <c r="P63" s="2">
        <v>1023</v>
      </c>
      <c r="Q63" s="49">
        <f ca="1">((-1)^K63)*(1+T65)*(2^(T63-P63))</f>
        <v>3.5219799518859381E-25</v>
      </c>
      <c r="R63" s="49"/>
      <c r="S63" s="49"/>
      <c r="T63" s="27">
        <f ca="1">SUMPRODUCT(--MID(L63,LEN(L63)+1-ROW(INDIRECT("1:"&amp;LEN(L63))),1),(2^(ROW(INDIRECT("1:"&amp;LEN(L63)))-1)))</f>
        <v>941</v>
      </c>
    </row>
    <row r="64" spans="3:22" x14ac:dyDescent="0.3">
      <c r="C64" s="17"/>
      <c r="O64" s="5" t="s">
        <v>97</v>
      </c>
      <c r="P64" s="49" t="str">
        <f ca="1">"1."&amp;M63&amp;" x 2^("&amp;(T63-P63)&amp;")"</f>
        <v>1.101101 x 2^(-82)</v>
      </c>
      <c r="Q64" s="49"/>
      <c r="R64" s="49"/>
      <c r="T64" s="27">
        <f>FIND("@",SUBSTITUTE(D63,"1","@",LEN(D63)-LEN(SUBSTITUTE(D63,"1",""))))-12</f>
        <v>6</v>
      </c>
    </row>
    <row r="65" spans="3:20" x14ac:dyDescent="0.3">
      <c r="C65" s="17"/>
      <c r="T65" s="27">
        <f ca="1">SUMPRODUCT(--MID(M63,LEN(M63)+1-ROW(INDIRECT("1:"&amp;LEN(M63))),1),(2^(ROW(INDIRECT("1:"&amp;LEN(M63)))-1)))/(2^LEN(M63))</f>
        <v>0.703125</v>
      </c>
    </row>
    <row r="66" spans="3:20" x14ac:dyDescent="0.3">
      <c r="C66" s="17"/>
      <c r="E66" s="53" t="s">
        <v>33</v>
      </c>
      <c r="F66" s="53"/>
      <c r="G66" s="53"/>
      <c r="H66" s="53"/>
      <c r="I66" s="53"/>
      <c r="J66" s="53"/>
      <c r="T66" s="27"/>
    </row>
    <row r="67" spans="3:20" x14ac:dyDescent="0.3">
      <c r="C67" s="17"/>
      <c r="D67" s="2" t="s">
        <v>6</v>
      </c>
      <c r="E67" s="9"/>
      <c r="F67" s="2" t="s">
        <v>25</v>
      </c>
      <c r="G67" s="40" t="s">
        <v>26</v>
      </c>
      <c r="H67" s="40"/>
      <c r="I67" s="2" t="s">
        <v>27</v>
      </c>
      <c r="J67" s="2"/>
      <c r="K67" s="2"/>
      <c r="L67" s="2" t="s">
        <v>29</v>
      </c>
      <c r="M67" s="2" t="s">
        <v>28</v>
      </c>
      <c r="T67" s="25" t="s">
        <v>17</v>
      </c>
    </row>
    <row r="68" spans="3:20" x14ac:dyDescent="0.3">
      <c r="C68" s="21" t="s">
        <v>31</v>
      </c>
      <c r="D68" s="33">
        <v>13.25</v>
      </c>
      <c r="E68" s="9"/>
      <c r="F68" s="15">
        <f>IF(D68&lt;0,1,0)</f>
        <v>0</v>
      </c>
      <c r="G68" s="50" t="str">
        <f>RIGHT(DEC2BIN(MOD(QUOTIENT(T68,256^3),256),8)&amp;DEC2BIN(MOD(QUOTIENT(T68,256^2),256),8)&amp;DEC2BIN(MOD(QUOTIENT(T68,256^1),256),8)&amp;DEC2BIN(MOD(QUOTIENT(T68,256^0),256),8),8)</f>
        <v>10000010</v>
      </c>
      <c r="H68" s="50"/>
      <c r="I68" s="15" t="str">
        <f>RIGHT(DEC2BIN(MOD(QUOTIENT(T72,256^3),256),8)&amp;DEC2BIN(MOD(QUOTIENT(T72,256^2),256),8)&amp;DEC2BIN(MOD(QUOTIENT(T72,256^1),256),8)&amp;DEC2BIN(MOD(QUOTIENT(T72,256^0),256),8),IF(ISNUMBER(SEARCH(".",T70)),LEN(T70)-FIND(".",T70),0))</f>
        <v>10101</v>
      </c>
      <c r="J68" s="9"/>
      <c r="K68" s="9"/>
      <c r="L68" s="2">
        <v>127</v>
      </c>
      <c r="M68" s="49" t="str">
        <f>F68&amp;G68&amp;I68&amp;REPT("0",23-LEN(I68))</f>
        <v>01000001010101000000000000000000</v>
      </c>
      <c r="N68" s="49"/>
      <c r="O68" s="49"/>
      <c r="P68" s="49"/>
      <c r="Q68" s="49"/>
      <c r="R68" s="49"/>
      <c r="T68" s="27">
        <f>INT(IF(D68=0,-L68,LOG(ABS(D68),2)))+L68</f>
        <v>130</v>
      </c>
    </row>
    <row r="69" spans="3:20" x14ac:dyDescent="0.3">
      <c r="C69" s="21" t="s">
        <v>32</v>
      </c>
      <c r="D69" s="33">
        <v>-0.75</v>
      </c>
      <c r="E69" s="9"/>
      <c r="F69" s="2">
        <f>IF(D69&lt;0,1,0)</f>
        <v>1</v>
      </c>
      <c r="G69" s="50" t="str">
        <f>RIGHT(DEC2BIN(MOD(QUOTIENT(T69,256^3),256),8)&amp;DEC2BIN(MOD(QUOTIENT(T69,256^2),256),8)&amp;DEC2BIN(MOD(QUOTIENT(T69,256^1),256),8)&amp;DEC2BIN(MOD(QUOTIENT(T69,256^0),256),8),11)</f>
        <v>01111111110</v>
      </c>
      <c r="H69" s="50"/>
      <c r="I69" s="15" t="str">
        <f>RIGHT(DEC2BIN(MOD(QUOTIENT(T73,256^3),256),8)&amp;DEC2BIN(MOD(QUOTIENT(T73,256^2),256),8)&amp;DEC2BIN(MOD(QUOTIENT(T73,256^1),256),8)&amp;DEC2BIN(MOD(QUOTIENT(T73,256^0),256),8),IF(ISNUMBER(SEARCH(".",T71)),LEN(T71)-FIND(".",T71),0))</f>
        <v>1</v>
      </c>
      <c r="J69" s="9"/>
      <c r="K69" s="9"/>
      <c r="L69" s="2">
        <v>1023</v>
      </c>
      <c r="M69" s="49" t="str">
        <f>F69&amp;G69&amp;I69&amp;REPT("0",52-LEN(I69))</f>
        <v>1011111111101000000000000000000000000000000000000000000000000000</v>
      </c>
      <c r="N69" s="49"/>
      <c r="O69" s="49"/>
      <c r="P69" s="49"/>
      <c r="Q69" s="49"/>
      <c r="R69" s="49"/>
      <c r="T69" s="27">
        <f>INT(IF(D69=0,-L69,LOG(ABS(D69),2)))+L69</f>
        <v>1022</v>
      </c>
    </row>
    <row r="70" spans="3:20" x14ac:dyDescent="0.3">
      <c r="C70" s="17"/>
      <c r="E70" s="9"/>
      <c r="F70" s="9"/>
      <c r="G70" s="9"/>
      <c r="H70" s="9"/>
      <c r="I70" s="9"/>
      <c r="J70" s="9"/>
      <c r="T70" s="27">
        <f>ABS(D68)/(2^INT(IF(D68=0,-L68,LOG(ABS(D68),2))))-1</f>
        <v>0.65625</v>
      </c>
    </row>
    <row r="71" spans="3:20" x14ac:dyDescent="0.3">
      <c r="C71" s="17"/>
      <c r="T71" s="27">
        <f>ABS(D69)/(2^INT(IF(D69=0,-L68,LOG(ABS(D69),2))))-1</f>
        <v>0.5</v>
      </c>
    </row>
    <row r="72" spans="3:20" x14ac:dyDescent="0.3">
      <c r="C72" s="17"/>
      <c r="T72" s="27">
        <f>T70*2^IF(ISNUMBER(SEARCH(".",T70)),LEN(T70)-FIND(".",T70),0)</f>
        <v>21</v>
      </c>
    </row>
    <row r="73" spans="3:20" x14ac:dyDescent="0.3">
      <c r="C73" s="17"/>
      <c r="T73" s="27">
        <f>T71*2^IF(ISNUMBER(SEARCH(".",T71)),LEN(T71)-FIND(".",T71),0)</f>
        <v>1</v>
      </c>
    </row>
    <row r="74" spans="3:20" x14ac:dyDescent="0.3">
      <c r="C74" s="17"/>
      <c r="E74" s="47" t="s">
        <v>126</v>
      </c>
      <c r="F74" s="47"/>
      <c r="G74" s="47"/>
      <c r="H74" s="47"/>
      <c r="I74" s="47"/>
      <c r="J74" s="47"/>
      <c r="T74" s="27"/>
    </row>
    <row r="75" spans="3:20" x14ac:dyDescent="0.3">
      <c r="C75" s="17"/>
      <c r="D75" s="2" t="s">
        <v>6</v>
      </c>
      <c r="H75" s="2" t="s">
        <v>25</v>
      </c>
      <c r="I75" s="2" t="s">
        <v>26</v>
      </c>
      <c r="J75" s="2" t="s">
        <v>27</v>
      </c>
      <c r="L75" s="2" t="s">
        <v>29</v>
      </c>
      <c r="M75" s="2" t="s">
        <v>28</v>
      </c>
      <c r="T75" s="25" t="s">
        <v>17</v>
      </c>
    </row>
    <row r="76" spans="3:20" x14ac:dyDescent="0.3">
      <c r="C76" s="21" t="s">
        <v>31</v>
      </c>
      <c r="D76" s="59">
        <v>1.0001</v>
      </c>
      <c r="E76" s="59"/>
      <c r="F76" s="2" t="s">
        <v>22</v>
      </c>
      <c r="G76" s="33">
        <v>-2</v>
      </c>
      <c r="H76" s="2">
        <f>IF(MID(D76,1,1)="-",1,0)</f>
        <v>0</v>
      </c>
      <c r="I76" s="15" t="str">
        <f>RIGHT(DEC2BIN(MOD(QUOTIENT(T76,256^3),256),8)&amp;DEC2BIN(MOD(QUOTIENT(T76,256^2),256),8)&amp;DEC2BIN(MOD(QUOTIENT(T76,256^1),256),8)&amp;DEC2BIN(MOD(QUOTIENT(T76,256^0),256),8),8)</f>
        <v>01111101</v>
      </c>
      <c r="J76" s="40" t="str">
        <f>IF(ISNUMBER(SEARCH(".",D76)),RIGHT(D76,LEN(D76)-SEARCH(".",D76)),"0")</f>
        <v>0001</v>
      </c>
      <c r="K76" s="40"/>
      <c r="L76" s="2">
        <v>127</v>
      </c>
      <c r="M76" s="49" t="str">
        <f>H76&amp;I76&amp;J76&amp;REPT("0",23-LEN(J76))</f>
        <v>00111110100010000000000000000000</v>
      </c>
      <c r="N76" s="49"/>
      <c r="O76" s="49"/>
      <c r="P76" s="49"/>
      <c r="Q76" s="49"/>
      <c r="R76" s="49"/>
      <c r="T76" s="27">
        <f>G76+L76</f>
        <v>125</v>
      </c>
    </row>
    <row r="77" spans="3:20" x14ac:dyDescent="0.3">
      <c r="C77" s="21" t="s">
        <v>32</v>
      </c>
      <c r="D77" s="59">
        <v>1.0001</v>
      </c>
      <c r="E77" s="59"/>
      <c r="F77" s="2" t="s">
        <v>22</v>
      </c>
      <c r="G77" s="33">
        <v>-103</v>
      </c>
      <c r="H77" s="2">
        <f>IF(MID(D77,1,1)="-",1,0)</f>
        <v>0</v>
      </c>
      <c r="I77" s="2" t="str">
        <f>RIGHT(DEC2BIN(MOD(QUOTIENT(T77,256^3),256),8)&amp;DEC2BIN(MOD(QUOTIENT(T77,256^2),256),8)&amp;DEC2BIN(MOD(QUOTIENT(T77,256^1),256),8)&amp;DEC2BIN(MOD(QUOTIENT(T77,256^0),256),8),11)</f>
        <v>01110011000</v>
      </c>
      <c r="J77" s="40" t="str">
        <f>IF(ISNUMBER(SEARCH(".",D77)),RIGHT(D77,LEN(D77)-SEARCH(".",D77)),"0")</f>
        <v>0001</v>
      </c>
      <c r="K77" s="40"/>
      <c r="L77" s="2">
        <v>1023</v>
      </c>
      <c r="M77" s="49" t="str">
        <f>H77&amp;I77&amp;J77&amp;REPT("0",52-LEN(J77))</f>
        <v>0011100110000001000000000000000000000000000000000000000000000000</v>
      </c>
      <c r="N77" s="49"/>
      <c r="O77" s="49"/>
      <c r="P77" s="49"/>
      <c r="Q77" s="49"/>
      <c r="R77" s="49"/>
      <c r="T77" s="27">
        <f>G77+L77</f>
        <v>920</v>
      </c>
    </row>
    <row r="78" spans="3:20" x14ac:dyDescent="0.3">
      <c r="C78" s="17"/>
    </row>
    <row r="79" spans="3:20" x14ac:dyDescent="0.3">
      <c r="C79" s="17"/>
      <c r="T79" s="23"/>
    </row>
    <row r="80" spans="3:20" x14ac:dyDescent="0.3">
      <c r="C80" s="17"/>
      <c r="E80" s="53" t="s">
        <v>20</v>
      </c>
      <c r="F80" s="53"/>
      <c r="T80" s="23"/>
    </row>
    <row r="81" spans="3:20" x14ac:dyDescent="0.3">
      <c r="C81" s="21" t="s">
        <v>21</v>
      </c>
      <c r="E81" s="9"/>
      <c r="F81" s="2"/>
      <c r="O81" s="2"/>
      <c r="Q81" s="2"/>
      <c r="T81" s="25" t="s">
        <v>17</v>
      </c>
    </row>
    <row r="82" spans="3:20" x14ac:dyDescent="0.3">
      <c r="C82" s="32" t="s">
        <v>152</v>
      </c>
      <c r="D82" s="2" t="s">
        <v>22</v>
      </c>
      <c r="E82" s="33">
        <v>-18</v>
      </c>
      <c r="F82" s="5" t="s">
        <v>97</v>
      </c>
      <c r="G82" s="15" t="str">
        <f>SUBSTITUTE(C82,".","")</f>
        <v>1110111</v>
      </c>
      <c r="H82" s="2" t="str">
        <f>"x 2 ^"</f>
        <v>x 2 ^</v>
      </c>
      <c r="I82" s="2">
        <f>(E82-(LEN(C82)-IF(ISNUMBER(SEARCH(".",C82)),SEARCH(".",C82),LEN(C82))))</f>
        <v>-24</v>
      </c>
      <c r="J82" s="5" t="s">
        <v>97</v>
      </c>
      <c r="K82" s="2">
        <f ca="1">SUMPRODUCT(--MID(G82,LEN(G82)+1-ROW(INDIRECT("1:"&amp;LEN(G82))),1),(2^(ROW(INDIRECT("1:"&amp;LEN(G82)))-1)))</f>
        <v>119</v>
      </c>
      <c r="L82" s="2">
        <f>I82</f>
        <v>-24</v>
      </c>
      <c r="M82" s="5" t="s">
        <v>97</v>
      </c>
      <c r="N82" s="2" t="str">
        <f>SUBSTITUTE(C82,".","")&amp;REPT("0",E82-(IF(ISNUMBER(SEARCH(".",C82)),LEN(C82)-SEARCH(".",C82),0))-T82)</f>
        <v>1110111</v>
      </c>
      <c r="O82" s="2" t="str">
        <f>"x2^"&amp;T82</f>
        <v>x2^-24</v>
      </c>
      <c r="P82" s="21" t="s">
        <v>97</v>
      </c>
      <c r="Q82" s="2">
        <f ca="1">SUMPRODUCT(--MID(N82,LEN(N82)+1-ROW(INDIRECT("1:"&amp;LEN(N82))),1),(2^(ROW(INDIRECT("1:"&amp;LEN(N82)))-1)))</f>
        <v>119</v>
      </c>
      <c r="R82" s="2" t="str">
        <f>O82</f>
        <v>x2^-24</v>
      </c>
      <c r="T82" s="27">
        <f>MIN(E82-(IF(ISNUMBER(SEARCH(".",C82)),LEN(C82)-SEARCH(".",C82),0)),E84-(IF(ISNUMBER(SEARCH(".",C84)),LEN(C84)-SEARCH(".",C84),0)))</f>
        <v>-24</v>
      </c>
    </row>
    <row r="83" spans="3:20" x14ac:dyDescent="0.3">
      <c r="C83" s="2" t="s">
        <v>23</v>
      </c>
      <c r="F83" s="2"/>
      <c r="H83" s="16"/>
      <c r="I83" s="24"/>
      <c r="J83" s="2"/>
      <c r="L83" s="2"/>
      <c r="O83" s="2"/>
      <c r="Q83" s="2"/>
      <c r="T83" s="27" t="str">
        <f ca="1">RIGHT(DEC2BIN(MOD(QUOTIENT(E85,256^3),256),8)&amp;DEC2BIN(MOD(QUOTIENT(E85,256^2),256),8)&amp;DEC2BIN(MOD(QUOTIENT(E85,256^1),256),8)&amp;DEC2BIN(MOD(QUOTIENT(E85,256^0),256),8),32)</f>
        <v>00000000001000100000000001110111</v>
      </c>
    </row>
    <row r="84" spans="3:20" x14ac:dyDescent="0.3">
      <c r="C84" s="34" t="s">
        <v>153</v>
      </c>
      <c r="D84" s="2" t="s">
        <v>22</v>
      </c>
      <c r="E84" s="33">
        <v>-3</v>
      </c>
      <c r="F84" s="5" t="s">
        <v>97</v>
      </c>
      <c r="G84" s="15" t="str">
        <f>SUBSTITUTE(C84,".","")</f>
        <v>10001</v>
      </c>
      <c r="H84" s="2" t="str">
        <f>"x 2 ^"</f>
        <v>x 2 ^</v>
      </c>
      <c r="I84" s="2">
        <f>(E84-(LEN(C84)-IF(ISNUMBER(SEARCH(".",C84)),SEARCH(".",C84),LEN(C84))))</f>
        <v>-7</v>
      </c>
      <c r="J84" s="5" t="s">
        <v>97</v>
      </c>
      <c r="K84" s="2">
        <f ca="1">SUMPRODUCT(--MID(G84,LEN(G84)+1-ROW(INDIRECT("1:"&amp;LEN(G84))),1),(2^(ROW(INDIRECT("1:"&amp;LEN(G84)))-1)))</f>
        <v>17</v>
      </c>
      <c r="L84" s="2">
        <f>I84</f>
        <v>-7</v>
      </c>
      <c r="M84" s="5" t="s">
        <v>97</v>
      </c>
      <c r="N84" s="2" t="str">
        <f>SUBSTITUTE(C84,".","")&amp;REPT("0",E84-(IF(ISNUMBER(SEARCH(".",C84)),LEN(C84)-SEARCH(".",C84),0))-T82)</f>
        <v>1000100000000000000000</v>
      </c>
      <c r="O84" s="2" t="str">
        <f>"x2^"&amp;T82</f>
        <v>x2^-24</v>
      </c>
      <c r="P84" s="21" t="s">
        <v>97</v>
      </c>
      <c r="Q84" s="2">
        <f ca="1">SUMPRODUCT(--MID(N84,LEN(N84)+1-ROW(INDIRECT("1:"&amp;LEN(N84))),1),(2^(ROW(INDIRECT("1:"&amp;LEN(N84)))-1)))</f>
        <v>2228224</v>
      </c>
      <c r="R84" s="2" t="str">
        <f>O84</f>
        <v>x2^-24</v>
      </c>
      <c r="T84" s="27" t="str">
        <f ca="1">RIGHT(DEC2BIN(MOD(QUOTIENT(ABS(E86),256^3),256),8)&amp;DEC2BIN(MOD(QUOTIENT(ABS(E86),256^2),256),8)&amp;DEC2BIN(MOD(QUOTIENT(ABS(E86),256^1),256),8)&amp;DEC2BIN(MOD(QUOTIENT(ABS(E86),256^0),256),8),32)</f>
        <v>00000000001000011111111110001001</v>
      </c>
    </row>
    <row r="85" spans="3:20" x14ac:dyDescent="0.3">
      <c r="C85" s="2" t="s">
        <v>98</v>
      </c>
      <c r="D85" s="21" t="s">
        <v>97</v>
      </c>
      <c r="E85" s="2">
        <f ca="1">Q82+Q84</f>
        <v>2228343</v>
      </c>
      <c r="G85" s="5" t="s">
        <v>97</v>
      </c>
      <c r="H85" s="49" t="str">
        <f ca="1">"1."&amp;MID(T83,SEARCH("1",T83)+1,LEN(T83)-SEARCH("1",T83))&amp;" x 2^("&amp;(LEN(T83)-SEARCH("1",T83)+T82)&amp;")"</f>
        <v>1.000100000000001110111 x 2^(-3)</v>
      </c>
      <c r="I85" s="49"/>
      <c r="J85" s="49"/>
      <c r="K85" s="49"/>
      <c r="L85" s="49"/>
      <c r="T85" s="27" t="str">
        <f ca="1">RIGHT(DEC2BIN(MOD(QUOTIENT(E87,256^3),256),8)&amp;DEC2BIN(MOD(QUOTIENT(E87,256^2),256),8)&amp;DEC2BIN(MOD(QUOTIENT(E87,256^1),256),8)&amp;DEC2BIN(MOD(QUOTIENT(E87,256^0),256),8),32)</f>
        <v>00000000000000000000011111100111</v>
      </c>
    </row>
    <row r="86" spans="3:20" x14ac:dyDescent="0.3">
      <c r="C86" s="2" t="s">
        <v>99</v>
      </c>
      <c r="D86" s="5" t="s">
        <v>97</v>
      </c>
      <c r="E86" s="2">
        <f ca="1">Q82-Q84</f>
        <v>-2228105</v>
      </c>
      <c r="G86" s="5" t="s">
        <v>97</v>
      </c>
      <c r="H86" s="49" t="str">
        <f ca="1">(IF(E86&lt;0,"-",""))&amp;"1."&amp;MID(T84,SEARCH("1",T84)+1,LEN(T84)-SEARCH("1",T84))&amp;" x 2^("&amp;(LEN(T84)-SEARCH("1",T84)+T82)&amp;")"</f>
        <v>-1.000011111111110001001 x 2^(-3)</v>
      </c>
      <c r="I86" s="49"/>
      <c r="J86" s="49"/>
      <c r="K86" s="49"/>
      <c r="L86" s="49"/>
      <c r="T86" s="27" t="str">
        <f ca="1">RIGHT(DEC2BIN(MOD(QUOTIENT(E88,256^3),256),8)&amp;DEC2BIN(MOD(QUOTIENT(E88,256^2),256),8)&amp;DEC2BIN(MOD(QUOTIENT(E88,256^1),256),8)&amp;DEC2BIN(MOD(QUOTIENT(E88,256^0),256),8),32)</f>
        <v>00000000000000000000000000000111</v>
      </c>
    </row>
    <row r="87" spans="3:20" x14ac:dyDescent="0.3">
      <c r="C87" s="2" t="s">
        <v>100</v>
      </c>
      <c r="D87" s="5" t="s">
        <v>97</v>
      </c>
      <c r="E87" s="2">
        <f ca="1">K82*K84</f>
        <v>2023</v>
      </c>
      <c r="G87" s="5" t="s">
        <v>97</v>
      </c>
      <c r="H87" s="49" t="str">
        <f ca="1">IF(E87=0,"0 x 2^(0)","1."&amp;MID(T85,SEARCH("1",T85)+1,LEN(T85)-SEARCH("1",T85))&amp;" x 2^("&amp;(LEN(T85)-SEARCH("1",T85)+I82+I84)&amp;")")</f>
        <v>1.1111100111 x 2^(-21)</v>
      </c>
      <c r="I87" s="49"/>
      <c r="J87" s="49"/>
      <c r="K87" s="49"/>
      <c r="L87" s="49"/>
      <c r="T87" s="23"/>
    </row>
    <row r="88" spans="3:20" x14ac:dyDescent="0.3">
      <c r="C88" s="2" t="s">
        <v>101</v>
      </c>
      <c r="D88" s="5" t="s">
        <v>97</v>
      </c>
      <c r="E88" s="2">
        <f ca="1">K82/K84</f>
        <v>7</v>
      </c>
      <c r="G88" s="5" t="s">
        <v>97</v>
      </c>
      <c r="H88" s="49" t="str">
        <f ca="1">IF(E88=0,"0 x 2^(0)","1."&amp;MID(T86,SEARCH("1",T86)+1,LEN(T86)-SEARCH("1",T86))&amp;" x 2^("&amp;(LEN(T86)-SEARCH("1",T86)+I82-I84)&amp;")")</f>
        <v>1.11 x 2^(-15)</v>
      </c>
      <c r="I88" s="49"/>
      <c r="J88" s="49"/>
      <c r="K88" s="49"/>
      <c r="L88" s="49"/>
      <c r="T88" s="23"/>
    </row>
    <row r="89" spans="3:20" x14ac:dyDescent="0.3">
      <c r="C89" s="58" t="s">
        <v>102</v>
      </c>
      <c r="D89" s="58"/>
      <c r="E89" s="58"/>
      <c r="F89" s="58"/>
      <c r="G89" s="58"/>
      <c r="H89" s="58"/>
      <c r="I89" s="58"/>
      <c r="T89" s="23"/>
    </row>
    <row r="90" spans="3:20" x14ac:dyDescent="0.3">
      <c r="C90" s="17"/>
      <c r="T90" s="23"/>
    </row>
    <row r="91" spans="3:20" x14ac:dyDescent="0.3">
      <c r="C91" s="17"/>
      <c r="T91" s="23"/>
    </row>
    <row r="92" spans="3:20" x14ac:dyDescent="0.3">
      <c r="C92" s="17"/>
      <c r="E92" s="53" t="s">
        <v>19</v>
      </c>
      <c r="F92" s="53"/>
      <c r="G92" s="53"/>
      <c r="H92" s="53"/>
      <c r="T92" s="23"/>
    </row>
    <row r="93" spans="3:20" x14ac:dyDescent="0.3">
      <c r="C93" s="55" t="s">
        <v>34</v>
      </c>
      <c r="D93" s="55"/>
      <c r="E93" s="50" t="s">
        <v>36</v>
      </c>
      <c r="F93" s="50"/>
      <c r="G93" s="50"/>
      <c r="H93" s="50"/>
      <c r="I93" s="50"/>
      <c r="J93" s="50"/>
      <c r="K93" s="50"/>
      <c r="L93" s="40" t="s">
        <v>35</v>
      </c>
      <c r="M93" s="40"/>
      <c r="T93" s="23"/>
    </row>
    <row r="94" spans="3:20" x14ac:dyDescent="0.3">
      <c r="C94" s="56">
        <v>8</v>
      </c>
      <c r="D94" s="56"/>
      <c r="E94" s="43">
        <v>64</v>
      </c>
      <c r="F94" s="43"/>
      <c r="G94" s="43"/>
      <c r="H94" s="43"/>
      <c r="I94" s="43"/>
      <c r="J94" s="43"/>
      <c r="K94" s="43"/>
      <c r="L94" s="57">
        <f>ROUNDUP(LOG(C94*1024^3*8/E94,2),0)</f>
        <v>30</v>
      </c>
      <c r="M94" s="57"/>
      <c r="T94" s="23"/>
    </row>
    <row r="95" spans="3:20" x14ac:dyDescent="0.3">
      <c r="C95" s="54" t="s">
        <v>129</v>
      </c>
      <c r="D95" s="54"/>
      <c r="E95" s="54"/>
      <c r="F95" s="54"/>
      <c r="G95" s="54"/>
      <c r="H95" s="54"/>
      <c r="I95" s="54"/>
      <c r="J95" s="54"/>
      <c r="K95" s="54"/>
      <c r="T95" s="23"/>
    </row>
    <row r="96" spans="3:20" x14ac:dyDescent="0.3">
      <c r="T96" s="23"/>
    </row>
    <row r="97" spans="3:20" x14ac:dyDescent="0.3">
      <c r="T97" s="23"/>
    </row>
    <row r="98" spans="3:20" x14ac:dyDescent="0.3">
      <c r="E98" s="47" t="s">
        <v>121</v>
      </c>
      <c r="F98" s="47"/>
      <c r="G98" s="47"/>
      <c r="H98" s="47"/>
      <c r="I98" s="47"/>
      <c r="J98" s="47"/>
      <c r="K98" s="47"/>
      <c r="T98" s="23"/>
    </row>
    <row r="99" spans="3:20" x14ac:dyDescent="0.3">
      <c r="C99" s="2" t="s">
        <v>122</v>
      </c>
      <c r="D99" s="21" t="s">
        <v>97</v>
      </c>
      <c r="E99" s="35">
        <v>8120</v>
      </c>
      <c r="F99" s="5" t="s">
        <v>109</v>
      </c>
      <c r="G99" s="2" t="s">
        <v>123</v>
      </c>
      <c r="H99" s="29">
        <f>ROUNDUP(LOG(E99,2),0)</f>
        <v>13</v>
      </c>
      <c r="T99" s="23"/>
    </row>
    <row r="100" spans="3:20" x14ac:dyDescent="0.3">
      <c r="T100" s="23"/>
    </row>
    <row r="101" spans="3:20" x14ac:dyDescent="0.3">
      <c r="T101" s="23"/>
    </row>
    <row r="102" spans="3:20" x14ac:dyDescent="0.3">
      <c r="E102" s="47" t="s">
        <v>110</v>
      </c>
      <c r="F102" s="47"/>
      <c r="G102" s="47"/>
      <c r="H102" s="47"/>
      <c r="T102" s="23"/>
    </row>
    <row r="103" spans="3:20" x14ac:dyDescent="0.3">
      <c r="C103" s="40" t="s">
        <v>111</v>
      </c>
      <c r="D103" s="40"/>
      <c r="E103" s="40" t="s">
        <v>112</v>
      </c>
      <c r="F103" s="40"/>
      <c r="G103" s="40" t="s">
        <v>113</v>
      </c>
      <c r="H103" s="40"/>
      <c r="I103" s="40"/>
      <c r="J103" s="40" t="s">
        <v>114</v>
      </c>
      <c r="K103" s="40"/>
      <c r="L103" s="40" t="s">
        <v>93</v>
      </c>
      <c r="M103" s="40"/>
      <c r="N103" s="40" t="s">
        <v>115</v>
      </c>
      <c r="O103" s="40"/>
      <c r="T103" s="23"/>
    </row>
    <row r="104" spans="3:20" x14ac:dyDescent="0.3">
      <c r="C104" s="43">
        <v>64</v>
      </c>
      <c r="D104" s="43"/>
      <c r="E104" s="43">
        <v>2</v>
      </c>
      <c r="F104" s="43"/>
      <c r="G104" s="43">
        <v>600</v>
      </c>
      <c r="H104" s="43"/>
      <c r="I104" s="43"/>
      <c r="J104" s="40">
        <f>G104*1000000/E104</f>
        <v>300000000</v>
      </c>
      <c r="K104" s="40"/>
      <c r="L104" s="57">
        <f>J104/1024/1024*C104/8</f>
        <v>2288.818359375</v>
      </c>
      <c r="M104" s="57"/>
      <c r="N104" s="41" t="s">
        <v>116</v>
      </c>
      <c r="O104" s="41"/>
      <c r="T104" s="23"/>
    </row>
    <row r="105" spans="3:20" x14ac:dyDescent="0.3">
      <c r="T105" s="23"/>
    </row>
    <row r="106" spans="3:20" x14ac:dyDescent="0.3">
      <c r="T106" s="23"/>
    </row>
    <row r="107" spans="3:20" x14ac:dyDescent="0.3">
      <c r="E107" s="53" t="s">
        <v>37</v>
      </c>
      <c r="F107" s="53"/>
      <c r="T107" s="23"/>
    </row>
    <row r="108" spans="3:20" x14ac:dyDescent="0.3">
      <c r="D108" s="2" t="s">
        <v>6</v>
      </c>
      <c r="E108" s="9"/>
      <c r="H108" s="2" t="s">
        <v>47</v>
      </c>
      <c r="I108" s="2" t="s">
        <v>41</v>
      </c>
      <c r="J108" s="2" t="s">
        <v>42</v>
      </c>
      <c r="K108" s="2" t="s">
        <v>43</v>
      </c>
      <c r="L108" s="2" t="s">
        <v>44</v>
      </c>
      <c r="M108" s="2" t="s">
        <v>45</v>
      </c>
      <c r="N108" s="2" t="s">
        <v>49</v>
      </c>
      <c r="P108" s="2" t="s">
        <v>46</v>
      </c>
      <c r="T108" s="23"/>
    </row>
    <row r="109" spans="3:20" x14ac:dyDescent="0.3">
      <c r="C109" s="2" t="s">
        <v>38</v>
      </c>
      <c r="D109" s="51" t="s">
        <v>103</v>
      </c>
      <c r="E109" s="51"/>
      <c r="F109" s="51"/>
      <c r="G109" s="51"/>
      <c r="H109" s="7">
        <f ca="1">SUMPRODUCT(--MID(MID(D109,1,6),6+1-ROW(INDIRECT("1:"&amp;6)),1),(2^(ROW(INDIRECT("1:"&amp;6))-1)))</f>
        <v>1</v>
      </c>
      <c r="I109" s="7">
        <f ca="1">SUMPRODUCT(--MID(MID(D109,7,5),5+1-ROW(INDIRECT("1:"&amp;5)),1),(2^(ROW(INDIRECT("1:"&amp;5))-1)))</f>
        <v>11</v>
      </c>
      <c r="J109" s="7">
        <f ca="1">SUMPRODUCT(--MID(MID(D109,12,5),5+1-ROW(INDIRECT("1:"&amp;5)),1),(2^(ROW(INDIRECT("1:"&amp;5))-1)))</f>
        <v>9</v>
      </c>
      <c r="K109" s="7">
        <f ca="1">SUMPRODUCT(--MID(MID(D109,17,5),5+1-ROW(INDIRECT("1:"&amp;5)),1),(2^(ROW(INDIRECT("1:"&amp;5))-1)))</f>
        <v>7</v>
      </c>
      <c r="L109" s="7">
        <f ca="1">SUMPRODUCT(--MID(MID(D109,22,5),5+1-ROW(INDIRECT("1:"&amp;5)),1),(2^(ROW(INDIRECT("1:"&amp;5))-1)))</f>
        <v>14</v>
      </c>
      <c r="M109" s="7">
        <f ca="1">SUMPRODUCT(--MID(MID(D109,27,6),6+1-ROW(INDIRECT("1:"&amp;6)),1),(2^(ROW(INDIRECT("1:"&amp;6))-1)))</f>
        <v>24</v>
      </c>
      <c r="N109" s="49"/>
      <c r="O109" s="49"/>
      <c r="P109" s="52"/>
      <c r="Q109" s="52"/>
      <c r="R109" s="52"/>
      <c r="T109" s="23"/>
    </row>
    <row r="110" spans="3:20" x14ac:dyDescent="0.3">
      <c r="C110" s="2" t="s">
        <v>39</v>
      </c>
      <c r="D110" s="51" t="s">
        <v>48</v>
      </c>
      <c r="E110" s="51"/>
      <c r="F110" s="51"/>
      <c r="G110" s="51"/>
      <c r="H110" s="7">
        <f ca="1">SUMPRODUCT(--MID(MID(D110,1,6),6+1-ROW(INDIRECT("1:"&amp;6)),1),(2^(ROW(INDIRECT("1:"&amp;6))-1)))</f>
        <v>1</v>
      </c>
      <c r="I110" s="7">
        <f ca="1">SUMPRODUCT(--MID(MID(D110,7,5),5+1-ROW(INDIRECT("1:"&amp;5)),1),(2^(ROW(INDIRECT("1:"&amp;5))-1)))</f>
        <v>10</v>
      </c>
      <c r="J110" s="7">
        <f ca="1">SUMPRODUCT(--MID(MID(D110,12,5),5+1-ROW(INDIRECT("1:"&amp;5)),1),(2^(ROW(INDIRECT("1:"&amp;5))-1)))</f>
        <v>25</v>
      </c>
      <c r="K110" s="7"/>
      <c r="L110" s="7"/>
      <c r="M110" s="7"/>
      <c r="N110" s="49">
        <f ca="1">SUMPRODUCT(--MID(MID(D110,17,16),16+1-ROW(INDIRECT("1:"&amp;16)),1),(2^(ROW(INDIRECT("1:"&amp;16))-1)))</f>
        <v>63872</v>
      </c>
      <c r="O110" s="49"/>
      <c r="P110" s="52"/>
      <c r="Q110" s="52"/>
      <c r="R110" s="52"/>
      <c r="T110" s="23"/>
    </row>
    <row r="111" spans="3:20" x14ac:dyDescent="0.3">
      <c r="C111" s="2" t="s">
        <v>40</v>
      </c>
      <c r="D111" s="51" t="s">
        <v>48</v>
      </c>
      <c r="E111" s="51"/>
      <c r="F111" s="51"/>
      <c r="G111" s="51"/>
      <c r="H111" s="7">
        <f ca="1">SUMPRODUCT(--MID(MID(D111,1,6),6+1-ROW(INDIRECT("1:"&amp;6)),1),(2^(ROW(INDIRECT("1:"&amp;6))-1)))</f>
        <v>1</v>
      </c>
      <c r="I111" s="7"/>
      <c r="J111" s="7"/>
      <c r="K111" s="7"/>
      <c r="L111" s="7"/>
      <c r="M111" s="7"/>
      <c r="N111" s="49"/>
      <c r="O111" s="49"/>
      <c r="P111" s="49">
        <f ca="1">SUMPRODUCT(--MID(MID(D111,7,26),26+1-ROW(INDIRECT("1:"&amp;26)),1),(2^(ROW(INDIRECT("1:"&amp;26))-1)))</f>
        <v>22673792</v>
      </c>
      <c r="Q111" s="49"/>
      <c r="R111" s="49"/>
      <c r="T111" s="23"/>
    </row>
    <row r="112" spans="3:20" x14ac:dyDescent="0.3">
      <c r="T112" s="23"/>
    </row>
    <row r="113" spans="3:20" x14ac:dyDescent="0.3">
      <c r="T113" s="23"/>
    </row>
    <row r="114" spans="3:20" x14ac:dyDescent="0.3">
      <c r="E114" s="47" t="s">
        <v>59</v>
      </c>
      <c r="F114" s="47"/>
      <c r="G114" s="47"/>
      <c r="H114" s="47"/>
      <c r="I114" s="47"/>
      <c r="J114" s="47"/>
      <c r="T114" s="23"/>
    </row>
    <row r="115" spans="3:20" x14ac:dyDescent="0.3">
      <c r="D115" s="40" t="s">
        <v>50</v>
      </c>
      <c r="E115" s="40"/>
      <c r="F115" s="40"/>
      <c r="G115" s="50" t="s">
        <v>55</v>
      </c>
      <c r="H115" s="50"/>
      <c r="I115" s="50"/>
      <c r="J115" s="50" t="s">
        <v>56</v>
      </c>
      <c r="K115" s="50"/>
      <c r="L115" s="2" t="s">
        <v>58</v>
      </c>
      <c r="M115" s="2" t="s">
        <v>7</v>
      </c>
      <c r="O115" s="2" t="s">
        <v>8</v>
      </c>
      <c r="Q115" s="2" t="s">
        <v>9</v>
      </c>
      <c r="R115" s="2" t="s">
        <v>57</v>
      </c>
      <c r="T115" s="23"/>
    </row>
    <row r="116" spans="3:20" x14ac:dyDescent="0.3">
      <c r="C116" s="2" t="s">
        <v>51</v>
      </c>
      <c r="D116" s="43">
        <v>256</v>
      </c>
      <c r="E116" s="43"/>
      <c r="F116" s="43"/>
      <c r="G116" s="43">
        <v>32</v>
      </c>
      <c r="H116" s="43"/>
      <c r="I116" s="43"/>
      <c r="J116" s="43">
        <v>32</v>
      </c>
      <c r="K116" s="43"/>
      <c r="L116" s="33">
        <v>1048</v>
      </c>
      <c r="M116" s="49" t="str">
        <f>_xlfn.BASE(QUOTIENT(QUOTIENT(L116,G116),D116/G116),2,32-LOG(G116,2)-LOG(D116/G116,2))</f>
        <v>000000000000000000000100</v>
      </c>
      <c r="N116" s="49"/>
      <c r="O116" s="49" t="str">
        <f>_xlfn.BASE(MOD(QUOTIENT(L116,G116),D116/G116),2,LOG(D116/G116,2))</f>
        <v>000</v>
      </c>
      <c r="P116" s="49"/>
      <c r="Q116" s="7" t="str">
        <f>_xlfn.BASE(MOD(L116,G116),2,LOG(G116,2))</f>
        <v>11000</v>
      </c>
      <c r="R116" s="7" t="str">
        <f>(J116-LOG(D116/G116,2)-LOG(G116,2))&amp;":"&amp;LOG(D116/G116,2)&amp;":"&amp;LOG(G116,2)</f>
        <v>24:3:5</v>
      </c>
      <c r="T116" s="23"/>
    </row>
    <row r="117" spans="3:20" x14ac:dyDescent="0.3">
      <c r="C117" s="2" t="s">
        <v>52</v>
      </c>
      <c r="D117" s="43">
        <v>512</v>
      </c>
      <c r="E117" s="43"/>
      <c r="F117" s="43"/>
      <c r="G117" s="43">
        <v>16</v>
      </c>
      <c r="H117" s="43"/>
      <c r="I117" s="43"/>
      <c r="J117" s="43">
        <v>32</v>
      </c>
      <c r="K117" s="43"/>
      <c r="L117" s="33">
        <v>5893478</v>
      </c>
      <c r="M117" s="49" t="str">
        <f>_xlfn.BASE(QUOTIENT(QUOTIENT(L117,G117),D117*1024/G117),2,32-LOG(G117,2)-LOG(D117*1024/G117,2))</f>
        <v>0000000001011</v>
      </c>
      <c r="N117" s="49"/>
      <c r="O117" s="49" t="str">
        <f>_xlfn.BASE(MOD(QUOTIENT(L117,G117),D117*1024/G117),2,LOG(D117*1024/G117,2))</f>
        <v>001111011010110</v>
      </c>
      <c r="P117" s="49"/>
      <c r="Q117" s="7" t="str">
        <f>_xlfn.BASE(MOD(L117,G117),2,LOG(G117,2))</f>
        <v>0110</v>
      </c>
      <c r="R117" s="7" t="str">
        <f>(J117-LOG(D117*1024/G117,2)-LOG(G117,2))&amp;":"&amp;LOG(D117*1024/G117,2)&amp;":"&amp;LOG(G117,2)</f>
        <v>13:15:4</v>
      </c>
      <c r="T117" s="23"/>
    </row>
    <row r="118" spans="3:20" x14ac:dyDescent="0.3">
      <c r="C118" s="2" t="s">
        <v>53</v>
      </c>
      <c r="D118" s="43">
        <v>1</v>
      </c>
      <c r="E118" s="43"/>
      <c r="F118" s="43"/>
      <c r="G118" s="43">
        <v>16</v>
      </c>
      <c r="H118" s="43"/>
      <c r="I118" s="43"/>
      <c r="J118" s="43">
        <v>32</v>
      </c>
      <c r="K118" s="43"/>
      <c r="L118" s="33">
        <v>4356</v>
      </c>
      <c r="M118" s="49" t="str">
        <f>_xlfn.BASE(QUOTIENT(QUOTIENT(L118,G118),D118*1024^2/G118),2,32-LOG(G118,2)-LOG(D118*1024^2/G118,2))</f>
        <v>000000000000</v>
      </c>
      <c r="N118" s="49"/>
      <c r="O118" s="49" t="str">
        <f>_xlfn.BASE(MOD(QUOTIENT(L118,G118),D118*1024^2/G118),2,LOG(D118*1024^2/G118,2))</f>
        <v>0000000100010000</v>
      </c>
      <c r="P118" s="49"/>
      <c r="Q118" s="7" t="str">
        <f>_xlfn.BASE(MOD(L118,G118),2,LOG(G118,2))</f>
        <v>0100</v>
      </c>
      <c r="R118" s="7" t="str">
        <f>(J118-LOG(D118*1024^2/G118,2)-LOG(G118,2))&amp;":"&amp;LOG(D118*1024^2/G118,2)&amp;":"&amp;LOG(G118,2)</f>
        <v>12:16:4</v>
      </c>
      <c r="T118" s="23"/>
    </row>
    <row r="119" spans="3:20" x14ac:dyDescent="0.3">
      <c r="C119" s="42" t="s">
        <v>54</v>
      </c>
      <c r="D119" s="42"/>
      <c r="E119" s="42"/>
      <c r="F119" s="42"/>
      <c r="G119" s="22"/>
      <c r="H119" s="22"/>
      <c r="I119" s="22"/>
      <c r="T119" s="23"/>
    </row>
    <row r="120" spans="3:20" x14ac:dyDescent="0.3">
      <c r="T120" s="23"/>
    </row>
    <row r="121" spans="3:20" x14ac:dyDescent="0.3">
      <c r="T121" s="23"/>
    </row>
    <row r="122" spans="3:20" x14ac:dyDescent="0.3">
      <c r="E122" s="47" t="s">
        <v>60</v>
      </c>
      <c r="F122" s="47"/>
      <c r="G122" s="47"/>
      <c r="H122" s="47"/>
      <c r="T122" s="23"/>
    </row>
    <row r="123" spans="3:20" x14ac:dyDescent="0.3">
      <c r="C123" s="2" t="s">
        <v>61</v>
      </c>
      <c r="D123" s="2" t="s">
        <v>11</v>
      </c>
      <c r="E123" s="2" t="s">
        <v>62</v>
      </c>
      <c r="F123" s="2" t="s">
        <v>63</v>
      </c>
      <c r="G123" s="2" t="s">
        <v>0</v>
      </c>
      <c r="H123" s="2" t="s">
        <v>1</v>
      </c>
      <c r="I123" s="2" t="s">
        <v>3</v>
      </c>
      <c r="J123" s="40" t="s">
        <v>10</v>
      </c>
      <c r="K123" s="40"/>
      <c r="L123" s="40" t="s">
        <v>65</v>
      </c>
      <c r="M123" s="40"/>
      <c r="N123" s="2" t="s">
        <v>66</v>
      </c>
      <c r="O123" s="40" t="s">
        <v>67</v>
      </c>
      <c r="P123" s="40"/>
      <c r="Q123" s="2" t="s">
        <v>66</v>
      </c>
      <c r="R123" s="40" t="s">
        <v>68</v>
      </c>
      <c r="S123" s="40"/>
      <c r="T123" s="40"/>
    </row>
    <row r="124" spans="3:20" x14ac:dyDescent="0.3">
      <c r="D124" s="36">
        <v>0.23</v>
      </c>
      <c r="E124" s="36">
        <v>0.22</v>
      </c>
      <c r="F124" s="37">
        <v>0.34</v>
      </c>
      <c r="G124" s="37">
        <v>0.11</v>
      </c>
      <c r="H124" s="36">
        <v>0.1</v>
      </c>
      <c r="I124" s="4">
        <f>E124+F124+G124+H124+D124</f>
        <v>1</v>
      </c>
      <c r="J124" s="46">
        <v>1.6</v>
      </c>
      <c r="K124" s="46"/>
      <c r="L124" s="45">
        <v>0.5</v>
      </c>
      <c r="M124" s="45"/>
      <c r="N124" s="38">
        <v>2</v>
      </c>
      <c r="O124" s="45">
        <v>0.25</v>
      </c>
      <c r="P124" s="45"/>
      <c r="Q124" s="38">
        <v>2</v>
      </c>
      <c r="R124" s="48">
        <v>2</v>
      </c>
      <c r="S124" s="48"/>
      <c r="T124" s="48"/>
    </row>
    <row r="125" spans="3:20" x14ac:dyDescent="0.3">
      <c r="T125" s="23"/>
    </row>
    <row r="126" spans="3:20" x14ac:dyDescent="0.3">
      <c r="C126" s="2" t="s">
        <v>2</v>
      </c>
      <c r="D126" s="2">
        <f>D124*4</f>
        <v>0.92</v>
      </c>
      <c r="E126" s="3">
        <f>E124*5</f>
        <v>1.1000000000000001</v>
      </c>
      <c r="F126" s="2">
        <f>F124*4</f>
        <v>1.36</v>
      </c>
      <c r="G126" s="2">
        <f>G124*3</f>
        <v>0.33</v>
      </c>
      <c r="H126" s="2">
        <f>H124*3</f>
        <v>0.30000000000000004</v>
      </c>
      <c r="I126" s="7">
        <f>E126+F126+G126+H126+D126</f>
        <v>4.01</v>
      </c>
      <c r="J126" s="2"/>
      <c r="T126" s="23"/>
    </row>
    <row r="127" spans="3:20" x14ac:dyDescent="0.3">
      <c r="C127" s="2" t="s">
        <v>64</v>
      </c>
      <c r="D127" s="2"/>
      <c r="E127" s="2"/>
      <c r="F127" s="2"/>
      <c r="G127" s="2"/>
      <c r="H127" s="2"/>
      <c r="J127" s="57">
        <f>J124/I126*1000</f>
        <v>399.00249376558605</v>
      </c>
      <c r="K127" s="57"/>
      <c r="T127" s="23"/>
    </row>
    <row r="128" spans="3:20" x14ac:dyDescent="0.3">
      <c r="C128" s="2"/>
      <c r="D128" s="2"/>
      <c r="E128" s="2"/>
      <c r="F128" s="2"/>
      <c r="G128" s="2"/>
      <c r="H128" s="2"/>
      <c r="I128" s="2"/>
      <c r="T128" s="23"/>
    </row>
    <row r="129" spans="3:20" x14ac:dyDescent="0.3">
      <c r="C129" s="2" t="s">
        <v>5</v>
      </c>
      <c r="D129" s="2">
        <f>1</f>
        <v>1</v>
      </c>
      <c r="E129" s="2">
        <f>(1-L124)+N124*L124</f>
        <v>1.5</v>
      </c>
      <c r="F129" s="2">
        <f>1</f>
        <v>1</v>
      </c>
      <c r="G129" s="2">
        <f>(1-O124)+Q124*O124</f>
        <v>1.25</v>
      </c>
      <c r="H129" s="2">
        <f>R124</f>
        <v>2</v>
      </c>
      <c r="I129" s="2"/>
      <c r="T129" s="23"/>
    </row>
    <row r="130" spans="3:20" x14ac:dyDescent="0.3">
      <c r="C130" s="2" t="s">
        <v>4</v>
      </c>
      <c r="D130" s="2">
        <f>D129*D124</f>
        <v>0.23</v>
      </c>
      <c r="E130" s="2">
        <f>E129*E124</f>
        <v>0.33</v>
      </c>
      <c r="F130" s="2">
        <f>F129*F124</f>
        <v>0.34</v>
      </c>
      <c r="G130" s="2">
        <f>G129*G124</f>
        <v>0.13750000000000001</v>
      </c>
      <c r="H130" s="2">
        <f>H129*H124</f>
        <v>0.2</v>
      </c>
      <c r="I130" s="7">
        <f>E130+F130+G130+H130+D130</f>
        <v>1.2375</v>
      </c>
      <c r="T130" s="23"/>
    </row>
    <row r="131" spans="3:20" x14ac:dyDescent="0.3">
      <c r="C131" s="2" t="s">
        <v>64</v>
      </c>
      <c r="D131" s="2"/>
      <c r="E131" s="2"/>
      <c r="F131" s="2"/>
      <c r="G131" s="2"/>
      <c r="H131" s="2"/>
      <c r="J131" s="57">
        <f>J124/I130*1000</f>
        <v>1292.9292929292931</v>
      </c>
      <c r="K131" s="57"/>
      <c r="T131" s="23"/>
    </row>
    <row r="132" spans="3:20" x14ac:dyDescent="0.3">
      <c r="T132" s="23"/>
    </row>
    <row r="133" spans="3:20" x14ac:dyDescent="0.3">
      <c r="T133" s="23"/>
    </row>
    <row r="134" spans="3:20" x14ac:dyDescent="0.3">
      <c r="E134" s="47" t="s">
        <v>130</v>
      </c>
      <c r="F134" s="47"/>
      <c r="G134" s="22"/>
      <c r="H134" s="22"/>
      <c r="T134" s="23"/>
    </row>
    <row r="135" spans="3:20" x14ac:dyDescent="0.3">
      <c r="D135" s="2" t="s">
        <v>69</v>
      </c>
      <c r="E135" s="2" t="s">
        <v>70</v>
      </c>
      <c r="F135" s="40" t="s">
        <v>71</v>
      </c>
      <c r="G135" s="40"/>
      <c r="H135" s="40" t="s">
        <v>72</v>
      </c>
      <c r="I135" s="40"/>
      <c r="J135" s="40" t="s">
        <v>73</v>
      </c>
      <c r="K135" s="40"/>
      <c r="L135" s="2" t="s">
        <v>75</v>
      </c>
      <c r="M135" s="2" t="s">
        <v>80</v>
      </c>
      <c r="T135" s="23"/>
    </row>
    <row r="136" spans="3:20" x14ac:dyDescent="0.3">
      <c r="D136" s="36">
        <v>0.18</v>
      </c>
      <c r="E136" s="35">
        <v>2</v>
      </c>
      <c r="F136" s="45">
        <v>0.05</v>
      </c>
      <c r="G136" s="45"/>
      <c r="H136" s="45">
        <v>0.04</v>
      </c>
      <c r="I136" s="45"/>
      <c r="J136" s="46">
        <v>130</v>
      </c>
      <c r="K136" s="46"/>
      <c r="L136" s="7">
        <f>E136+F137+H137</f>
        <v>9.4359999999999999</v>
      </c>
      <c r="M136" s="15">
        <f>E136+J136+D136*J136</f>
        <v>155.4</v>
      </c>
      <c r="T136" s="23"/>
    </row>
    <row r="137" spans="3:20" x14ac:dyDescent="0.3">
      <c r="C137" s="2" t="s">
        <v>74</v>
      </c>
      <c r="F137" s="40">
        <f>F136*J136</f>
        <v>6.5</v>
      </c>
      <c r="G137" s="40"/>
      <c r="H137" s="40">
        <f>D136*H136*J136</f>
        <v>0.93599999999999994</v>
      </c>
      <c r="I137" s="40"/>
      <c r="T137" s="23"/>
    </row>
    <row r="139" spans="3:20" x14ac:dyDescent="0.3">
      <c r="C139" s="41" t="s">
        <v>131</v>
      </c>
      <c r="D139" s="41"/>
      <c r="E139" s="41"/>
      <c r="F139" s="41"/>
      <c r="G139" s="57">
        <f>L136/E136</f>
        <v>4.718</v>
      </c>
      <c r="H139" s="57"/>
      <c r="I139" s="57"/>
    </row>
    <row r="140" spans="3:20" x14ac:dyDescent="0.3">
      <c r="C140" s="41" t="s">
        <v>81</v>
      </c>
      <c r="D140" s="41"/>
      <c r="E140" s="41"/>
      <c r="G140" s="57">
        <f>M136/L136</f>
        <v>16.468842729970326</v>
      </c>
      <c r="H140" s="57"/>
      <c r="I140" s="57"/>
    </row>
    <row r="141" spans="3:20" x14ac:dyDescent="0.3">
      <c r="C141" s="42" t="s">
        <v>146</v>
      </c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spans="3:20" x14ac:dyDescent="0.3">
      <c r="C142" s="1"/>
    </row>
    <row r="143" spans="3:20" x14ac:dyDescent="0.3">
      <c r="C143" s="2"/>
      <c r="D143" s="2"/>
      <c r="E143" s="2"/>
      <c r="F143" s="2"/>
      <c r="G143" s="2"/>
      <c r="H143" s="2"/>
      <c r="I143" s="2"/>
      <c r="J143" s="2"/>
      <c r="K143" s="2"/>
    </row>
    <row r="144" spans="3:20" x14ac:dyDescent="0.3">
      <c r="C144" s="2"/>
      <c r="D144" s="2"/>
      <c r="E144" s="47" t="s">
        <v>132</v>
      </c>
      <c r="F144" s="47"/>
      <c r="G144" s="2"/>
      <c r="H144" s="2"/>
      <c r="I144" s="2"/>
      <c r="J144" s="2"/>
      <c r="K144" s="2"/>
    </row>
    <row r="145" spans="3:16" x14ac:dyDescent="0.3">
      <c r="D145" s="2" t="s">
        <v>70</v>
      </c>
      <c r="E145" s="40" t="s">
        <v>133</v>
      </c>
      <c r="F145" s="40"/>
      <c r="G145" s="40" t="s">
        <v>134</v>
      </c>
      <c r="H145" s="40"/>
      <c r="I145" s="40"/>
      <c r="J145" s="40" t="s">
        <v>135</v>
      </c>
      <c r="K145" s="40"/>
      <c r="L145" s="40" t="s">
        <v>136</v>
      </c>
      <c r="M145" s="40"/>
      <c r="N145" s="40" t="s">
        <v>137</v>
      </c>
      <c r="O145" s="40"/>
      <c r="P145" s="2" t="s">
        <v>138</v>
      </c>
    </row>
    <row r="146" spans="3:16" x14ac:dyDescent="0.3">
      <c r="D146" s="39">
        <v>1</v>
      </c>
      <c r="E146" s="43">
        <v>2.8</v>
      </c>
      <c r="F146" s="43"/>
      <c r="G146" s="45">
        <v>0.05</v>
      </c>
      <c r="H146" s="45"/>
      <c r="I146" s="45"/>
      <c r="J146" s="43">
        <v>150</v>
      </c>
      <c r="K146" s="43"/>
      <c r="L146" s="43">
        <v>5</v>
      </c>
      <c r="M146" s="43"/>
      <c r="N146" s="44">
        <v>1.5E-3</v>
      </c>
      <c r="O146" s="44"/>
      <c r="P146" s="35">
        <v>500</v>
      </c>
    </row>
    <row r="148" spans="3:16" x14ac:dyDescent="0.3">
      <c r="D148" s="2" t="s">
        <v>140</v>
      </c>
      <c r="J148" s="40" t="s">
        <v>73</v>
      </c>
      <c r="K148" s="40"/>
    </row>
    <row r="149" spans="3:16" x14ac:dyDescent="0.3">
      <c r="C149" s="2" t="s">
        <v>139</v>
      </c>
      <c r="D149" s="31">
        <f>D146+G146*J149</f>
        <v>22</v>
      </c>
      <c r="J149" s="40">
        <f>J146*E146</f>
        <v>420</v>
      </c>
      <c r="K149" s="40"/>
    </row>
    <row r="151" spans="3:16" x14ac:dyDescent="0.3">
      <c r="D151" s="2" t="s">
        <v>143</v>
      </c>
      <c r="J151" s="40" t="s">
        <v>142</v>
      </c>
      <c r="K151" s="40"/>
    </row>
    <row r="152" spans="3:16" x14ac:dyDescent="0.3">
      <c r="C152" s="2" t="s">
        <v>141</v>
      </c>
      <c r="D152" s="30">
        <f>D146+G146*J152+N146*P146</f>
        <v>2.4500000000000002</v>
      </c>
      <c r="J152" s="40">
        <f>L146*E146</f>
        <v>14</v>
      </c>
      <c r="K152" s="40"/>
    </row>
    <row r="154" spans="3:16" x14ac:dyDescent="0.3">
      <c r="C154" s="41" t="s">
        <v>144</v>
      </c>
      <c r="D154" s="41"/>
      <c r="E154" s="41"/>
      <c r="F154" s="41"/>
      <c r="G154" s="41"/>
      <c r="H154" s="41"/>
      <c r="I154" s="57">
        <f>D149/D152</f>
        <v>8.9795918367346932</v>
      </c>
      <c r="J154" s="57"/>
    </row>
    <row r="155" spans="3:16" x14ac:dyDescent="0.3">
      <c r="C155" s="42" t="s">
        <v>145</v>
      </c>
      <c r="D155" s="42"/>
      <c r="E155" s="42"/>
      <c r="F155" s="42"/>
      <c r="G155" s="42"/>
      <c r="H155" s="42"/>
      <c r="I155" s="42"/>
      <c r="J155" s="42"/>
      <c r="K155" s="42"/>
      <c r="L155" s="42"/>
    </row>
  </sheetData>
  <sheetProtection algorithmName="SHA-512" hashValue="SRyCp9MvnBnsqd9cmWoCn7QlBNFY38E0ABRbMoJZTuzYvMkR6c7tMDX0qHc5n565jq6vDXtdMmIo66C0CQOryA==" saltValue="L0TfybJdYlvSjnPKtHXfJQ==" spinCount="100000" sheet="1" objects="1" scenarios="1"/>
  <mergeCells count="172">
    <mergeCell ref="N103:O103"/>
    <mergeCell ref="N104:O104"/>
    <mergeCell ref="L104:M104"/>
    <mergeCell ref="L103:M103"/>
    <mergeCell ref="L123:M123"/>
    <mergeCell ref="L124:M124"/>
    <mergeCell ref="J123:K123"/>
    <mergeCell ref="J124:K124"/>
    <mergeCell ref="J127:K127"/>
    <mergeCell ref="C3:D3"/>
    <mergeCell ref="C4:H4"/>
    <mergeCell ref="O15:Q15"/>
    <mergeCell ref="O16:Q16"/>
    <mergeCell ref="O17:R17"/>
    <mergeCell ref="O18:P18"/>
    <mergeCell ref="C22:E22"/>
    <mergeCell ref="H30:I30"/>
    <mergeCell ref="H31:I31"/>
    <mergeCell ref="F30:G30"/>
    <mergeCell ref="F31:G31"/>
    <mergeCell ref="J30:K30"/>
    <mergeCell ref="J31:K31"/>
    <mergeCell ref="L30:M30"/>
    <mergeCell ref="L31:M31"/>
    <mergeCell ref="C23:D23"/>
    <mergeCell ref="C24:K24"/>
    <mergeCell ref="C25:J25"/>
    <mergeCell ref="C26:H26"/>
    <mergeCell ref="K38:L38"/>
    <mergeCell ref="K39:L39"/>
    <mergeCell ref="H39:I39"/>
    <mergeCell ref="E29:J29"/>
    <mergeCell ref="E37:J37"/>
    <mergeCell ref="C33:F33"/>
    <mergeCell ref="C34:J34"/>
    <mergeCell ref="C39:E39"/>
    <mergeCell ref="H38:I38"/>
    <mergeCell ref="M39:N39"/>
    <mergeCell ref="M38:N38"/>
    <mergeCell ref="O38:P38"/>
    <mergeCell ref="O39:P39"/>
    <mergeCell ref="D43:E43"/>
    <mergeCell ref="D44:E44"/>
    <mergeCell ref="H43:I43"/>
    <mergeCell ref="H44:I44"/>
    <mergeCell ref="L44:N44"/>
    <mergeCell ref="E42:K42"/>
    <mergeCell ref="O44:Q44"/>
    <mergeCell ref="C46:L46"/>
    <mergeCell ref="C47:D47"/>
    <mergeCell ref="E50:M50"/>
    <mergeCell ref="G51:I51"/>
    <mergeCell ref="G52:I52"/>
    <mergeCell ref="J51:K51"/>
    <mergeCell ref="J52:K52"/>
    <mergeCell ref="L51:M51"/>
    <mergeCell ref="L52:M52"/>
    <mergeCell ref="E66:J66"/>
    <mergeCell ref="G67:H67"/>
    <mergeCell ref="G68:H68"/>
    <mergeCell ref="G69:H69"/>
    <mergeCell ref="M68:R68"/>
    <mergeCell ref="M69:R69"/>
    <mergeCell ref="O51:P51"/>
    <mergeCell ref="O52:R52"/>
    <mergeCell ref="C53:K53"/>
    <mergeCell ref="E58:K58"/>
    <mergeCell ref="P61:R61"/>
    <mergeCell ref="P64:R64"/>
    <mergeCell ref="D63:J63"/>
    <mergeCell ref="D60:J60"/>
    <mergeCell ref="Q60:S60"/>
    <mergeCell ref="Q63:S63"/>
    <mergeCell ref="L93:M93"/>
    <mergeCell ref="L94:M94"/>
    <mergeCell ref="E80:F80"/>
    <mergeCell ref="H85:L85"/>
    <mergeCell ref="H86:L86"/>
    <mergeCell ref="H87:L87"/>
    <mergeCell ref="H88:L88"/>
    <mergeCell ref="C89:I89"/>
    <mergeCell ref="E74:J74"/>
    <mergeCell ref="D76:E76"/>
    <mergeCell ref="D77:E77"/>
    <mergeCell ref="J76:K76"/>
    <mergeCell ref="J77:K77"/>
    <mergeCell ref="M76:R76"/>
    <mergeCell ref="M77:R77"/>
    <mergeCell ref="C95:K95"/>
    <mergeCell ref="E98:K98"/>
    <mergeCell ref="E102:H102"/>
    <mergeCell ref="C103:D103"/>
    <mergeCell ref="E103:F103"/>
    <mergeCell ref="G103:I103"/>
    <mergeCell ref="J103:K103"/>
    <mergeCell ref="E92:H92"/>
    <mergeCell ref="C93:D93"/>
    <mergeCell ref="E93:K93"/>
    <mergeCell ref="E94:K94"/>
    <mergeCell ref="C94:D94"/>
    <mergeCell ref="D110:G110"/>
    <mergeCell ref="D111:G111"/>
    <mergeCell ref="N109:O109"/>
    <mergeCell ref="N110:O110"/>
    <mergeCell ref="N111:O111"/>
    <mergeCell ref="P109:R109"/>
    <mergeCell ref="P110:R110"/>
    <mergeCell ref="P111:R111"/>
    <mergeCell ref="C104:D104"/>
    <mergeCell ref="E104:F104"/>
    <mergeCell ref="G104:I104"/>
    <mergeCell ref="J104:K104"/>
    <mergeCell ref="E107:F107"/>
    <mergeCell ref="D109:G109"/>
    <mergeCell ref="E114:J114"/>
    <mergeCell ref="D115:F115"/>
    <mergeCell ref="D116:F116"/>
    <mergeCell ref="D117:F117"/>
    <mergeCell ref="D118:F118"/>
    <mergeCell ref="G116:I116"/>
    <mergeCell ref="G115:I115"/>
    <mergeCell ref="G117:I117"/>
    <mergeCell ref="G118:I118"/>
    <mergeCell ref="J115:K115"/>
    <mergeCell ref="O123:P123"/>
    <mergeCell ref="O124:P124"/>
    <mergeCell ref="R123:T123"/>
    <mergeCell ref="R124:T124"/>
    <mergeCell ref="E134:F134"/>
    <mergeCell ref="O116:P116"/>
    <mergeCell ref="O117:P117"/>
    <mergeCell ref="O118:P118"/>
    <mergeCell ref="C119:F119"/>
    <mergeCell ref="E122:H122"/>
    <mergeCell ref="J116:K116"/>
    <mergeCell ref="J117:K117"/>
    <mergeCell ref="J118:K118"/>
    <mergeCell ref="M116:N116"/>
    <mergeCell ref="M117:N117"/>
    <mergeCell ref="M118:N118"/>
    <mergeCell ref="J131:K131"/>
    <mergeCell ref="J135:K135"/>
    <mergeCell ref="J136:K136"/>
    <mergeCell ref="C139:F139"/>
    <mergeCell ref="C140:E140"/>
    <mergeCell ref="C141:M141"/>
    <mergeCell ref="E144:F144"/>
    <mergeCell ref="F135:G135"/>
    <mergeCell ref="F136:G136"/>
    <mergeCell ref="F137:G137"/>
    <mergeCell ref="H136:I136"/>
    <mergeCell ref="H135:I135"/>
    <mergeCell ref="H137:I137"/>
    <mergeCell ref="G139:I139"/>
    <mergeCell ref="G140:I140"/>
    <mergeCell ref="J151:K151"/>
    <mergeCell ref="J152:K152"/>
    <mergeCell ref="C154:H154"/>
    <mergeCell ref="C155:L155"/>
    <mergeCell ref="L145:M145"/>
    <mergeCell ref="L146:M146"/>
    <mergeCell ref="N145:O145"/>
    <mergeCell ref="N146:O146"/>
    <mergeCell ref="J148:K148"/>
    <mergeCell ref="J149:K149"/>
    <mergeCell ref="E145:F145"/>
    <mergeCell ref="E146:F146"/>
    <mergeCell ref="G145:I145"/>
    <mergeCell ref="G146:I146"/>
    <mergeCell ref="J145:K145"/>
    <mergeCell ref="J146:K146"/>
    <mergeCell ref="I154:J15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2019-11-29T12:11:09Z</dcterms:modified>
</cp:coreProperties>
</file>