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F31" i="1"/>
  <c r="D31" i="1" s="1"/>
  <c r="T31" i="1" s="1"/>
  <c r="T21" i="1"/>
  <c r="E14" i="1"/>
  <c r="D14" i="1"/>
  <c r="G14" i="1" s="1"/>
  <c r="I14" i="1"/>
  <c r="T20" i="1"/>
  <c r="L25" i="1" l="1"/>
  <c r="H25" i="1"/>
  <c r="G31" i="1"/>
  <c r="G20" i="1"/>
  <c r="T25" i="1"/>
  <c r="O25" i="1" l="1"/>
  <c r="H93" i="1"/>
  <c r="M93" i="1"/>
  <c r="F93" i="1"/>
  <c r="L93" i="1" l="1"/>
  <c r="N93" i="1" s="1"/>
  <c r="H85" i="1"/>
  <c r="E85" i="1"/>
  <c r="E86" i="1" s="1"/>
  <c r="G85" i="1"/>
  <c r="G86" i="1" s="1"/>
  <c r="F85" i="1"/>
  <c r="F86" i="1" s="1"/>
  <c r="H82" i="1"/>
  <c r="G82" i="1"/>
  <c r="F82" i="1"/>
  <c r="E82" i="1"/>
  <c r="D82" i="1"/>
  <c r="Q72" i="1"/>
  <c r="Q73" i="1"/>
  <c r="Q74" i="1"/>
  <c r="O72" i="1"/>
  <c r="O74" i="1"/>
  <c r="O73" i="1"/>
  <c r="M73" i="1"/>
  <c r="M72" i="1"/>
  <c r="M74" i="1"/>
  <c r="R74" i="1"/>
  <c r="R72" i="1"/>
  <c r="R73" i="1"/>
  <c r="L60" i="1"/>
  <c r="T47" i="1"/>
  <c r="T49" i="1" s="1"/>
  <c r="I45" i="1" s="1"/>
  <c r="T48" i="1"/>
  <c r="T50" i="1" s="1"/>
  <c r="I46" i="1" s="1"/>
  <c r="T46" i="1"/>
  <c r="G46" i="1" s="1"/>
  <c r="T45" i="1"/>
  <c r="G45" i="1" s="1"/>
  <c r="F46" i="1"/>
  <c r="F45" i="1"/>
  <c r="T41" i="1"/>
  <c r="M38" i="1" s="1"/>
  <c r="T38" i="1"/>
  <c r="M37" i="1" s="1"/>
  <c r="L38" i="1"/>
  <c r="K38" i="1"/>
  <c r="L37" i="1"/>
  <c r="K37" i="1"/>
  <c r="T53" i="1"/>
  <c r="F20" i="1"/>
  <c r="I20" i="1" s="1"/>
  <c r="M20" i="1"/>
  <c r="T39" i="1"/>
  <c r="I66" i="1"/>
  <c r="T42" i="1"/>
  <c r="K14" i="1"/>
  <c r="M65" i="1"/>
  <c r="K65" i="1"/>
  <c r="H67" i="1"/>
  <c r="N66" i="1"/>
  <c r="J66" i="1"/>
  <c r="L65" i="1"/>
  <c r="T40" i="1"/>
  <c r="P67" i="1"/>
  <c r="T37" i="1"/>
  <c r="H65" i="1"/>
  <c r="H66" i="1"/>
  <c r="J65" i="1"/>
  <c r="I65" i="1"/>
  <c r="K53" i="1" l="1"/>
  <c r="I53" i="1"/>
  <c r="I82" i="1"/>
  <c r="J83" i="1" s="1"/>
  <c r="M46" i="1"/>
  <c r="M45" i="1"/>
  <c r="R38" i="1"/>
  <c r="J53" i="1"/>
  <c r="L53" i="1"/>
  <c r="K54" i="1"/>
  <c r="I54" i="1"/>
  <c r="K20" i="1" l="1"/>
  <c r="R37" i="1"/>
  <c r="N54" i="1"/>
  <c r="P54" i="1"/>
  <c r="T56" i="1" s="1"/>
  <c r="P53" i="1" s="1"/>
  <c r="R54" i="1"/>
  <c r="T57" i="1" s="1"/>
  <c r="R53" i="1" s="1"/>
  <c r="M54" i="1"/>
  <c r="T54" i="1" s="1"/>
  <c r="M53" i="1" s="1"/>
  <c r="H86" i="1"/>
  <c r="D85" i="1"/>
  <c r="D86" i="1" s="1"/>
  <c r="I80" i="1"/>
  <c r="T55" i="1" l="1"/>
  <c r="N53" i="1" s="1"/>
  <c r="I86" i="1"/>
  <c r="J87" i="1" s="1"/>
</calcChain>
</file>

<file path=xl/sharedStrings.xml><?xml version="1.0" encoding="utf-8"?>
<sst xmlns="http://schemas.openxmlformats.org/spreadsheetml/2006/main" count="138" uniqueCount="112">
  <si>
    <t>Branch</t>
  </si>
  <si>
    <t>Jump</t>
  </si>
  <si>
    <t>Multicycle CPI</t>
  </si>
  <si>
    <t>Sum</t>
  </si>
  <si>
    <t>Pipelined CPI</t>
  </si>
  <si>
    <t>Pipelined CC</t>
  </si>
  <si>
    <t>Input</t>
  </si>
  <si>
    <t>Tag</t>
  </si>
  <si>
    <t>Index</t>
  </si>
  <si>
    <t>Offset</t>
  </si>
  <si>
    <t>GHz</t>
  </si>
  <si>
    <t>R-type</t>
  </si>
  <si>
    <t>Loại dấu '.'</t>
  </si>
  <si>
    <t>Độ dài phần thập phân</t>
  </si>
  <si>
    <t>Số không dấu?</t>
  </si>
  <si>
    <t>Số có dấu?</t>
  </si>
  <si>
    <t>Bù 1 tương ứng</t>
  </si>
  <si>
    <t>Số bit của ô nhớ</t>
  </si>
  <si>
    <t>Trash</t>
  </si>
  <si>
    <t>Bit dấu</t>
  </si>
  <si>
    <t>TÍNH SỐ LƯỢNG DÂY ĐỊA CHỈ TỐI THIỂU</t>
  </si>
  <si>
    <t>1001.1101</t>
  </si>
  <si>
    <t>KẾT QUẢ CỦA PHÉP TOÁN</t>
  </si>
  <si>
    <t>Input 1</t>
  </si>
  <si>
    <t>x 2 ^</t>
  </si>
  <si>
    <t>Input 2</t>
  </si>
  <si>
    <t>Input 1 bằng</t>
  </si>
  <si>
    <t>Input 2 bằng</t>
  </si>
  <si>
    <t>+</t>
  </si>
  <si>
    <t>-</t>
  </si>
  <si>
    <t>*</t>
  </si>
  <si>
    <t>/</t>
  </si>
  <si>
    <t>01000101100000000000001000000000</t>
  </si>
  <si>
    <t>S</t>
  </si>
  <si>
    <t>Exponent</t>
  </si>
  <si>
    <t>Fraction</t>
  </si>
  <si>
    <t>Output</t>
  </si>
  <si>
    <t>Bias</t>
  </si>
  <si>
    <t>CHUYỂN SỐ THỰC DẤU PHẢY ĐỘNG ĐỘ CHÍNH XÁC ĐƠN/KÉP SANG THẬP PHÂN</t>
  </si>
  <si>
    <t>Đơn</t>
  </si>
  <si>
    <t>Kép</t>
  </si>
  <si>
    <t>0011111101001101000000000000000000000000000000000000000000000000</t>
  </si>
  <si>
    <t>CHUYỂN SỐ THẬP PHÂN SANG SỐ PHẢY ĐỘNG ĐỘ CHÍNH XÁC ĐƠN/KÉP</t>
  </si>
  <si>
    <t>!!!Lưu ý: Ví dụ đề bảo số có dấu 89 thì phải nhập vào Input là -89 chứ không phải 89</t>
  </si>
  <si>
    <t>!!!Chú ý: Chỉ xài cho hai input là số không âm</t>
  </si>
  <si>
    <t>!!!Lưu ý: Ví dụ đề bảo số có dấu 1001.1101 thì vẫn nhập vào Input là 1001.1101 nhưng lấy kết quả dựa theo có dấu hay không</t>
  </si>
  <si>
    <t>Kích thước bộ nhớ (theo GB)</t>
  </si>
  <si>
    <t>Số lượng dây địa chỉ tối thiểu</t>
  </si>
  <si>
    <t>Số đường dây của bus dữ liệu = Kích thước của 1 slot theo bit (correct me if im wrong)</t>
  </si>
  <si>
    <t>XÁC ĐỊNH THANH GHI</t>
  </si>
  <si>
    <t>R-format</t>
  </si>
  <si>
    <t>I-format</t>
  </si>
  <si>
    <t>J-format</t>
  </si>
  <si>
    <t>00000001001011011101101111011000</t>
  </si>
  <si>
    <t>rs</t>
  </si>
  <si>
    <t>rt</t>
  </si>
  <si>
    <t>rd</t>
  </si>
  <si>
    <t>shamt</t>
  </si>
  <si>
    <t>funct</t>
  </si>
  <si>
    <t>address</t>
  </si>
  <si>
    <t>op</t>
  </si>
  <si>
    <t>00000101010110011111100110000000</t>
  </si>
  <si>
    <t>offset</t>
  </si>
  <si>
    <t>Kích thước cache ánh xạ trực tiếp</t>
  </si>
  <si>
    <t>Theo byte</t>
  </si>
  <si>
    <t>Theo KB</t>
  </si>
  <si>
    <t>Theo MB</t>
  </si>
  <si>
    <t>!!!Lưu ý: Nhập đúng vào dòng của đơn vị tương ứng với đề</t>
  </si>
  <si>
    <t>Kích thước slot (theo byte)</t>
  </si>
  <si>
    <t>Thanh ghi địa chỉ (theo bit)</t>
  </si>
  <si>
    <t>Tỉ lệ</t>
  </si>
  <si>
    <t>Tham chiếu</t>
  </si>
  <si>
    <t>XÁC ĐỊNH TỈ LỆ VÀ GIÁ TRỊ CỦA CÁC PHẦN CỦA THANH GHI ĐỊA CHỈ</t>
  </si>
  <si>
    <t>TÍNH CHỈ SỐ TRIỆU LỆNH TRÊN GIÂY/MIPS</t>
  </si>
  <si>
    <t>Tập lệnh</t>
  </si>
  <si>
    <t>Đọc</t>
  </si>
  <si>
    <t>Ghi</t>
  </si>
  <si>
    <t>Triệu lệnh trên giây</t>
  </si>
  <si>
    <t>Đọc có hiện tượng phụ thuộc dữ liệu</t>
  </si>
  <si>
    <t>Tốn cycle</t>
  </si>
  <si>
    <t>Rẽ nhánh dự đoán sai</t>
  </si>
  <si>
    <t>Nhảy không điều kiện</t>
  </si>
  <si>
    <t>lw và sw</t>
  </si>
  <si>
    <t>CPI lý tưởng</t>
  </si>
  <si>
    <t>Tỉ lệ miss của I-cache</t>
  </si>
  <si>
    <t>Tỉ lệ lỗi của D-cache</t>
  </si>
  <si>
    <t>Chi phí mỗi lần miss</t>
  </si>
  <si>
    <t>Số chu kỳ miss/lệnh</t>
  </si>
  <si>
    <t>CPI thực</t>
  </si>
  <si>
    <t>TÍNH CPI THỰC CỦA HỆ THỐNG 1 MỨC CACHE</t>
  </si>
  <si>
    <t>* HƯỚNG DẪN SỬ DỤNG:</t>
  </si>
  <si>
    <r>
      <t xml:space="preserve">- </t>
    </r>
    <r>
      <rPr>
        <sz val="11"/>
        <color rgb="FF00B050"/>
        <rFont val="Calibri"/>
        <family val="2"/>
        <scheme val="minor"/>
      </rPr>
      <t>Số màu xanh</t>
    </r>
    <r>
      <rPr>
        <sz val="11"/>
        <color theme="1"/>
        <rFont val="Calibri"/>
        <family val="2"/>
        <scheme val="minor"/>
      </rPr>
      <t xml:space="preserve"> là dữ liệu đầu vào cần nhập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</si>
  <si>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Số màu đỏ</t>
    </r>
    <r>
      <rPr>
        <sz val="11"/>
        <color theme="1"/>
        <rFont val="Calibri"/>
        <family val="2"/>
        <scheme val="minor"/>
      </rPr>
      <t xml:space="preserve"> là kết quả</t>
    </r>
  </si>
  <si>
    <t>- Cấu hình khuyên dùng: Excel 2016, ở bản khác một số công thức có thể không dùng được</t>
  </si>
  <si>
    <t>- Lưu ý: KHÔNG XÓA BẤT KỲ HÀNG/CỘT NÀO</t>
  </si>
  <si>
    <t>- Mọi ý kiến đóng góp xin liên hệ https://www.facebook.com/newluminous</t>
  </si>
  <si>
    <t>CPI khi không có cache</t>
  </si>
  <si>
    <t>Số lần có cache nhanh hơn không có cache</t>
  </si>
  <si>
    <t>- Để lấy kết quả thì chỉ cần Ctrl+C ở ô kết quả và Ctrl+V ở các ô dạng điền là được chứ không cần nhìn theo rồi gõ</t>
  </si>
  <si>
    <t>!Input</t>
  </si>
  <si>
    <t>Bù 1</t>
  </si>
  <si>
    <t>Bù 2</t>
  </si>
  <si>
    <t>SBM/chuẩn bit dấu</t>
  </si>
  <si>
    <t>Bằng</t>
  </si>
  <si>
    <t>/2^</t>
  </si>
  <si>
    <t>Abs(Input)</t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</si>
  <si>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KHÔNG NÓI CHUẨN GÌ, CÓ DẤU '.' HOẶC KHÔNG)</t>
    </r>
  </si>
  <si>
    <r>
      <t xml:space="preserve">CHUYỂN SỐ </t>
    </r>
    <r>
      <rPr>
        <b/>
        <sz val="11"/>
        <color rgb="FF7030A0"/>
        <rFont val="Calibri"/>
        <family val="2"/>
        <scheme val="minor"/>
      </rPr>
      <t>NGUYÊN</t>
    </r>
    <r>
      <rPr>
        <b/>
        <sz val="11"/>
        <color theme="8"/>
        <rFont val="Calibri"/>
        <family val="2"/>
        <scheme val="minor"/>
      </rPr>
      <t xml:space="preserve">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theme="8"/>
        <rFont val="Calibri"/>
        <family val="2"/>
        <scheme val="minor"/>
      </rPr>
      <t xml:space="preserve"> SANG HỆ NHỊ PHÂN</t>
    </r>
  </si>
  <si>
    <t>Tràn số?</t>
  </si>
  <si>
    <r>
      <t xml:space="preserve">CHUYỂN SỐ </t>
    </r>
    <r>
      <rPr>
        <b/>
        <sz val="11"/>
        <color rgb="FF7030A0"/>
        <rFont val="Calibri"/>
        <family val="2"/>
        <scheme val="minor"/>
      </rPr>
      <t>NGUYÊN</t>
    </r>
    <r>
      <rPr>
        <b/>
        <sz val="11"/>
        <color theme="8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NÓI RÕ CHUẨN, KHÔNG CÓ DẤU '.')</t>
    </r>
  </si>
  <si>
    <t>00000000000000000000000001010011</t>
  </si>
  <si>
    <r>
      <t xml:space="preserve">BIỂU DIỄN SỐ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rgb="FF0070C0"/>
        <rFont val="Calibri"/>
        <family val="2"/>
        <scheme val="minor"/>
      </rPr>
      <t xml:space="preserve"> SANG HỆ NHỊ PHÂN BẰNG </t>
    </r>
    <r>
      <rPr>
        <b/>
        <sz val="11"/>
        <color rgb="FF7030A0"/>
        <rFont val="Calibri"/>
        <family val="2"/>
        <scheme val="minor"/>
      </rPr>
      <t>DẤU PHẨY ĐỘNG ĐƯỢC CHUẨN HÓA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</si>
</sst>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NumberFormat="1" applyFont="1"/>
    <xf numFmtId="9" fontId="2" fillId="0" borderId="0" xfId="0" applyNumberFormat="1" applyFont="1"/>
    <xf numFmtId="0" fontId="2" fillId="0" borderId="0" xfId="0" quotePrefix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0" fontId="6" fillId="0" borderId="0" xfId="0" applyNumberFormat="1" applyFont="1"/>
    <xf numFmtId="0" fontId="4" fillId="0" borderId="0" xfId="0" applyNumberFormat="1" applyFont="1"/>
    <xf numFmtId="49" fontId="3" fillId="0" borderId="0" xfId="0" quotePrefix="1" applyNumberFormat="1" applyFont="1"/>
    <xf numFmtId="49" fontId="8" fillId="0" borderId="0" xfId="0" quotePrefix="1" applyNumberFormat="1" applyFont="1"/>
    <xf numFmtId="0" fontId="6" fillId="0" borderId="0" xfId="0" applyFont="1"/>
    <xf numFmtId="0" fontId="8" fillId="0" borderId="0" xfId="0" applyFont="1"/>
    <xf numFmtId="0" fontId="3" fillId="0" borderId="0" xfId="0" quotePrefix="1" applyFont="1"/>
    <xf numFmtId="0" fontId="7" fillId="0" borderId="0" xfId="0" applyFont="1"/>
    <xf numFmtId="0" fontId="5" fillId="0" borderId="0" xfId="0" applyNumberFormat="1" applyFont="1"/>
    <xf numFmtId="49" fontId="6" fillId="0" borderId="0" xfId="0" quotePrefix="1" applyNumberFormat="1" applyFont="1"/>
    <xf numFmtId="0" fontId="6" fillId="0" borderId="0" xfId="0" quotePrefix="1" applyFont="1"/>
    <xf numFmtId="0" fontId="8" fillId="0" borderId="0" xfId="0" quotePrefix="1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9" fontId="8" fillId="0" borderId="0" xfId="0" applyNumberFormat="1" applyFont="1"/>
    <xf numFmtId="9" fontId="8" fillId="0" borderId="0" xfId="1" applyFont="1"/>
    <xf numFmtId="0" fontId="8" fillId="0" borderId="0" xfId="0" applyNumberFormat="1" applyFont="1"/>
    <xf numFmtId="0" fontId="11" fillId="0" borderId="0" xfId="0" applyFont="1"/>
    <xf numFmtId="0" fontId="0" fillId="0" borderId="0" xfId="0" quotePrefix="1"/>
    <xf numFmtId="0" fontId="11" fillId="0" borderId="0" xfId="0" quotePrefix="1" applyFont="1"/>
    <xf numFmtId="0" fontId="14" fillId="0" borderId="0" xfId="0" applyFont="1"/>
    <xf numFmtId="0" fontId="13" fillId="0" borderId="0" xfId="0" applyNumberFormat="1" applyFont="1"/>
    <xf numFmtId="0" fontId="1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00"/>
  <sheetViews>
    <sheetView tabSelected="1" topLeftCell="E4" workbookViewId="0">
      <selection activeCell="M15" sqref="M15"/>
    </sheetView>
  </sheetViews>
  <sheetFormatPr defaultRowHeight="14.4" x14ac:dyDescent="0.3"/>
  <cols>
    <col min="3" max="3" width="17.33203125" customWidth="1"/>
    <col min="4" max="4" width="10.44140625" customWidth="1"/>
    <col min="5" max="5" width="11.33203125" customWidth="1"/>
    <col min="6" max="6" width="10.109375" customWidth="1"/>
    <col min="7" max="7" width="8.88671875" customWidth="1"/>
    <col min="8" max="8" width="9.44140625" customWidth="1"/>
    <col min="9" max="9" width="11.6640625" bestFit="1" customWidth="1"/>
    <col min="10" max="10" width="9.5546875" customWidth="1"/>
    <col min="11" max="11" width="13.44140625" customWidth="1"/>
    <col min="12" max="12" width="11.6640625" customWidth="1"/>
    <col min="13" max="13" width="22.88671875" customWidth="1"/>
    <col min="15" max="15" width="10.33203125" customWidth="1"/>
    <col min="16" max="16" width="12" bestFit="1" customWidth="1"/>
    <col min="20" max="20" width="12" bestFit="1" customWidth="1"/>
  </cols>
  <sheetData>
    <row r="1" spans="3:20" x14ac:dyDescent="0.3">
      <c r="T1" s="30"/>
    </row>
    <row r="2" spans="3:20" x14ac:dyDescent="0.3">
      <c r="T2" s="30"/>
    </row>
    <row r="3" spans="3:20" x14ac:dyDescent="0.3">
      <c r="C3" t="s">
        <v>90</v>
      </c>
      <c r="T3" s="30"/>
    </row>
    <row r="4" spans="3:20" x14ac:dyDescent="0.3">
      <c r="C4" s="31" t="s">
        <v>93</v>
      </c>
      <c r="T4" s="30"/>
    </row>
    <row r="5" spans="3:20" x14ac:dyDescent="0.3">
      <c r="C5" s="31" t="s">
        <v>91</v>
      </c>
      <c r="T5" s="30"/>
    </row>
    <row r="6" spans="3:20" x14ac:dyDescent="0.3">
      <c r="C6" s="31" t="s">
        <v>92</v>
      </c>
      <c r="T6" s="30"/>
    </row>
    <row r="7" spans="3:20" x14ac:dyDescent="0.3">
      <c r="C7" s="18" t="s">
        <v>94</v>
      </c>
      <c r="D7" s="8"/>
      <c r="E7" s="8"/>
      <c r="T7" s="30"/>
    </row>
    <row r="8" spans="3:20" x14ac:dyDescent="0.3">
      <c r="C8" s="18" t="s">
        <v>98</v>
      </c>
      <c r="D8" s="8"/>
      <c r="E8" s="8"/>
      <c r="T8" s="30"/>
    </row>
    <row r="9" spans="3:20" x14ac:dyDescent="0.3">
      <c r="C9" s="32" t="s">
        <v>95</v>
      </c>
      <c r="D9" s="30"/>
      <c r="E9" s="30"/>
      <c r="F9" s="30"/>
      <c r="G9" s="30"/>
      <c r="H9" s="30"/>
      <c r="T9" s="30"/>
    </row>
    <row r="10" spans="3:20" x14ac:dyDescent="0.3">
      <c r="T10" s="30"/>
    </row>
    <row r="11" spans="3:20" x14ac:dyDescent="0.3">
      <c r="T11" s="30"/>
    </row>
    <row r="12" spans="3:20" x14ac:dyDescent="0.3">
      <c r="E12" s="9" t="s">
        <v>106</v>
      </c>
      <c r="F12" s="9"/>
      <c r="G12" s="9"/>
      <c r="H12" s="9"/>
      <c r="T12" s="30"/>
    </row>
    <row r="13" spans="3:20" x14ac:dyDescent="0.3">
      <c r="C13" s="5" t="s">
        <v>6</v>
      </c>
      <c r="D13" s="2" t="s">
        <v>12</v>
      </c>
      <c r="E13" s="2" t="s">
        <v>13</v>
      </c>
      <c r="F13" s="5"/>
      <c r="G13" s="2" t="s">
        <v>16</v>
      </c>
      <c r="I13" s="2" t="s">
        <v>14</v>
      </c>
      <c r="K13" s="2" t="s">
        <v>15</v>
      </c>
      <c r="T13" s="30"/>
    </row>
    <row r="14" spans="3:20" x14ac:dyDescent="0.3">
      <c r="C14" s="15" t="s">
        <v>21</v>
      </c>
      <c r="D14" s="2" t="str">
        <f>SUBSTITUTE(C14,".","")</f>
        <v>10011101</v>
      </c>
      <c r="E14" s="3">
        <f>IF(ISNUMBER(SEARCH(".",C14)),LEN(C14)-FIND(".",C14),0)</f>
        <v>4</v>
      </c>
      <c r="F14" s="6"/>
      <c r="G14" s="12" t="str">
        <f>SUBSTITUTE(SUBSTITUTE(SUBSTITUTE(D14,"0","*"),"1","0"),"*","1")</f>
        <v>01100010</v>
      </c>
      <c r="I14" s="13">
        <f ca="1">SUMPRODUCT(--MID(D14,LEN(D14)+1-ROW(INDIRECT("1:"&amp;LEN(D14))),1),(2^(ROW(INDIRECT("1:"&amp;LEN(D14)))-1)))/(2^E14)</f>
        <v>9.8125</v>
      </c>
      <c r="K14" s="13">
        <f ca="1">-(SUMPRODUCT(--MID(G14,LEN(G14)+1-ROW(INDIRECT("1:"&amp;LEN(G14))),1),(2^(ROW(INDIRECT("1:"&amp;LEN(G14)))-1)))+1)/(2^E14)</f>
        <v>-6.1875</v>
      </c>
      <c r="N14" s="10"/>
      <c r="T14" s="30"/>
    </row>
    <row r="15" spans="3:20" x14ac:dyDescent="0.3">
      <c r="C15" s="14" t="s">
        <v>45</v>
      </c>
      <c r="D15" s="2"/>
      <c r="E15" s="3"/>
      <c r="F15" s="6"/>
      <c r="G15" s="12"/>
      <c r="I15" s="13"/>
      <c r="K15" s="13"/>
      <c r="N15" s="10"/>
      <c r="T15" s="30"/>
    </row>
    <row r="16" spans="3:20" x14ac:dyDescent="0.3">
      <c r="C16" s="15"/>
      <c r="D16" s="2"/>
      <c r="E16" s="3"/>
      <c r="F16" s="6"/>
      <c r="G16" s="12"/>
      <c r="I16" s="13"/>
      <c r="K16" s="13"/>
      <c r="N16" s="10"/>
      <c r="T16" s="30"/>
    </row>
    <row r="17" spans="3:20" x14ac:dyDescent="0.3">
      <c r="C17" s="15"/>
      <c r="D17" s="2"/>
      <c r="E17" s="3"/>
      <c r="F17" s="6"/>
      <c r="G17" s="12"/>
      <c r="I17" s="13"/>
      <c r="K17" s="13"/>
      <c r="N17" s="10"/>
      <c r="T17" s="30"/>
    </row>
    <row r="18" spans="3:20" x14ac:dyDescent="0.3">
      <c r="C18" s="15"/>
      <c r="D18" s="2"/>
      <c r="E18" s="20" t="s">
        <v>109</v>
      </c>
      <c r="F18" s="6"/>
      <c r="G18" s="12"/>
      <c r="I18" s="13"/>
      <c r="K18" s="13"/>
      <c r="N18" s="10"/>
      <c r="T18" s="30"/>
    </row>
    <row r="19" spans="3:20" x14ac:dyDescent="0.3">
      <c r="C19" s="21" t="s">
        <v>6</v>
      </c>
      <c r="D19" s="2"/>
      <c r="E19" s="20"/>
      <c r="F19" s="2" t="s">
        <v>19</v>
      </c>
      <c r="G19" s="2" t="s">
        <v>99</v>
      </c>
      <c r="I19" s="3" t="s">
        <v>100</v>
      </c>
      <c r="K19" s="2" t="s">
        <v>101</v>
      </c>
      <c r="M19" s="11" t="s">
        <v>102</v>
      </c>
      <c r="R19" s="2"/>
      <c r="T19" s="33" t="s">
        <v>18</v>
      </c>
    </row>
    <row r="20" spans="3:20" x14ac:dyDescent="0.3">
      <c r="C20" s="15" t="s">
        <v>110</v>
      </c>
      <c r="D20" s="2"/>
      <c r="E20" s="20"/>
      <c r="F20" s="2" t="str">
        <f>MID(C20,1,1)</f>
        <v>0</v>
      </c>
      <c r="G20" s="16" t="str">
        <f>SUBSTITUTE(SUBSTITUTE(SUBSTITUTE(C20,"0","*"),"1","0"),"*","1")</f>
        <v>11111111111111111111111110101100</v>
      </c>
      <c r="I20" s="13">
        <f ca="1">IF(F20="0",T20,-SUMPRODUCT(--MID(G20,LEN(G20)+1-ROW(INDIRECT("1:"&amp;LEN(G20))),1),(2^(ROW(INDIRECT("1:"&amp;LEN(G20)))-1))))</f>
        <v>83</v>
      </c>
      <c r="K20" s="7">
        <f ca="1">IF(F20="0",T20,-(-I20+1))</f>
        <v>83</v>
      </c>
      <c r="M20" s="7">
        <f ca="1">IF(F20="0",T20,-SUMPRODUCT(--MID(T21,LEN(T21)+1-ROW(INDIRECT("1:"&amp;LEN(T21))),1),(2^(ROW(INDIRECT("1:"&amp;LEN(T21)))-1))))</f>
        <v>83</v>
      </c>
      <c r="T20" s="34">
        <f ca="1">SUMPRODUCT(--MID(C20,LEN(C20)+1-ROW(INDIRECT("1:"&amp;LEN(C20))),1),(2^(ROW(INDIRECT("1:"&amp;LEN(C20)))-1)))</f>
        <v>83</v>
      </c>
    </row>
    <row r="21" spans="3:20" x14ac:dyDescent="0.3">
      <c r="C21" s="8"/>
      <c r="D21" s="8"/>
      <c r="E21" s="7"/>
      <c r="F21" s="8"/>
      <c r="G21" s="7"/>
      <c r="I21" s="7"/>
      <c r="K21" s="10"/>
      <c r="T21" s="35" t="str">
        <f>0&amp;MID(C20,2,LEN(C20)-1)</f>
        <v>00000000000000000000000001010011</v>
      </c>
    </row>
    <row r="22" spans="3:20" x14ac:dyDescent="0.3">
      <c r="T22" s="35"/>
    </row>
    <row r="23" spans="3:20" x14ac:dyDescent="0.3">
      <c r="E23" s="9" t="s">
        <v>107</v>
      </c>
      <c r="F23" s="9"/>
      <c r="G23" s="9"/>
      <c r="H23" s="9"/>
      <c r="T23" s="35"/>
    </row>
    <row r="24" spans="3:20" x14ac:dyDescent="0.3">
      <c r="C24" s="2" t="s">
        <v>6</v>
      </c>
      <c r="D24" s="2" t="s">
        <v>17</v>
      </c>
      <c r="E24" s="2"/>
      <c r="F24" s="2" t="s">
        <v>105</v>
      </c>
      <c r="G24" s="2" t="s">
        <v>108</v>
      </c>
      <c r="H24" s="2" t="s">
        <v>102</v>
      </c>
      <c r="I24" s="2"/>
      <c r="J24" s="2"/>
      <c r="L24" s="2" t="s">
        <v>100</v>
      </c>
      <c r="N24" s="2"/>
      <c r="O24" s="2" t="s">
        <v>101</v>
      </c>
      <c r="R24" s="2"/>
      <c r="T24" s="33" t="s">
        <v>18</v>
      </c>
    </row>
    <row r="25" spans="3:20" x14ac:dyDescent="0.3">
      <c r="C25" s="17">
        <v>-89</v>
      </c>
      <c r="D25" s="17">
        <v>8</v>
      </c>
      <c r="E25" s="7"/>
      <c r="F25" s="16" t="str">
        <f>RIGHT(DEC2BIN(MOD(QUOTIENT(ABS(C25),256^3),256),8)&amp;DEC2BIN(MOD(QUOTIENT(ABS(C25),256^2),256),8)&amp;DEC2BIN(MOD(QUOTIENT(ABS(C25),256^1),256),8)&amp;DEC2BIN(MOD(QUOTIENT(ABS(C25),256^0),256),8),D25)</f>
        <v>01011001</v>
      </c>
      <c r="G25" s="7" t="str">
        <f>IF(OR(C25&lt;(-(2^(D25-1))),C25&gt;=(2^(D25-1))),"tràn số","")</f>
        <v/>
      </c>
      <c r="H25" s="7" t="str">
        <f>IF(LEN(G25)&gt;0,"",IF(C25&lt;0,REPLACE(F25,1,1,"1"),F25))</f>
        <v>11011001</v>
      </c>
      <c r="I25" s="7"/>
      <c r="J25" s="7"/>
      <c r="L25" s="7" t="str">
        <f>IF(LEN(G25)&gt;0,"",IF(C25&lt;0,SUBSTITUTE(SUBSTITUTE(SUBSTITUTE(F25,"0","*"),"1","0"),"*","1"),F25))</f>
        <v>10100110</v>
      </c>
      <c r="O25" s="7" t="str">
        <f ca="1">IF(LEN(G25)&gt;0,"",RIGHT(DEC2BIN(MOD(QUOTIENT(T25,256^3),256),8)&amp;DEC2BIN(MOD(QUOTIENT(T25,256^2),256),8)&amp;DEC2BIN(MOD(QUOTIENT(T25,256^1),256),8)&amp;DEC2BIN(MOD(QUOTIENT(T25,256^0),256),8),D25))</f>
        <v>10100111</v>
      </c>
      <c r="T25" s="33">
        <f ca="1">SUMPRODUCT(--MID(L25,LEN(L25)+1-ROW(INDIRECT("1:"&amp;LEN(L25))),1),(2^(ROW(INDIRECT("1:"&amp;LEN(L25)))-1)))+1</f>
        <v>167</v>
      </c>
    </row>
    <row r="26" spans="3:20" x14ac:dyDescent="0.3">
      <c r="C26" s="8" t="s">
        <v>43</v>
      </c>
      <c r="D26" s="17"/>
      <c r="E26" s="7"/>
      <c r="F26" s="7"/>
      <c r="G26" s="7"/>
      <c r="H26" s="7"/>
      <c r="I26" s="7"/>
      <c r="J26" s="7"/>
      <c r="K26" s="7"/>
      <c r="L26" s="7"/>
      <c r="M26" s="7"/>
      <c r="N26" s="7"/>
      <c r="P26" s="7"/>
      <c r="T26" s="33"/>
    </row>
    <row r="27" spans="3:20" x14ac:dyDescent="0.3">
      <c r="C27" s="17"/>
      <c r="D27" s="17"/>
      <c r="E27" s="7"/>
      <c r="F27" s="7"/>
      <c r="G27" s="7"/>
      <c r="H27" s="7"/>
      <c r="I27" s="7"/>
      <c r="J27" s="7"/>
      <c r="K27" s="7"/>
      <c r="L27" s="7"/>
      <c r="M27" s="7"/>
      <c r="N27" s="7"/>
      <c r="P27" s="7"/>
      <c r="T27" s="33"/>
    </row>
    <row r="28" spans="3:20" x14ac:dyDescent="0.3">
      <c r="C28" s="17"/>
      <c r="D28" s="17"/>
      <c r="E28" s="7"/>
      <c r="F28" s="7"/>
      <c r="G28" s="7"/>
      <c r="H28" s="7"/>
      <c r="I28" s="7"/>
      <c r="J28" s="7"/>
      <c r="K28" s="7"/>
      <c r="L28" s="7"/>
      <c r="M28" s="7"/>
      <c r="N28" s="7"/>
      <c r="P28" s="7"/>
      <c r="T28" s="33"/>
    </row>
    <row r="29" spans="3:20" x14ac:dyDescent="0.3">
      <c r="C29" s="2"/>
      <c r="D29" s="17"/>
      <c r="E29" s="26" t="s">
        <v>111</v>
      </c>
      <c r="F29" s="7"/>
      <c r="G29" s="7"/>
      <c r="H29" s="7"/>
      <c r="I29" s="7"/>
      <c r="J29" s="7"/>
      <c r="K29" s="7"/>
      <c r="L29" s="7"/>
      <c r="M29" s="7"/>
      <c r="N29" s="7"/>
      <c r="P29" s="7"/>
      <c r="T29" s="35"/>
    </row>
    <row r="30" spans="3:20" x14ac:dyDescent="0.3">
      <c r="C30" s="16" t="s">
        <v>6</v>
      </c>
      <c r="D30" s="2" t="s">
        <v>103</v>
      </c>
      <c r="E30" s="17"/>
      <c r="F30" s="7"/>
      <c r="G30" s="16" t="s">
        <v>36</v>
      </c>
      <c r="H30" s="7"/>
      <c r="I30" s="7"/>
      <c r="J30" s="7"/>
      <c r="K30" s="7"/>
      <c r="L30" s="7"/>
      <c r="M30" s="7"/>
      <c r="N30" s="7"/>
      <c r="P30" s="7"/>
      <c r="T30" s="33" t="s">
        <v>18</v>
      </c>
    </row>
    <row r="31" spans="3:20" x14ac:dyDescent="0.3">
      <c r="C31" s="17">
        <v>-0.7109375</v>
      </c>
      <c r="D31" s="2">
        <f>C31*(2^F31)</f>
        <v>-91</v>
      </c>
      <c r="E31" s="2" t="s">
        <v>104</v>
      </c>
      <c r="F31" s="2">
        <f>IF(ISNUMBER(SEARCH(".",C31)),LEN(C31)-SEARCH(".",C31),0)</f>
        <v>7</v>
      </c>
      <c r="G31" s="7" t="str">
        <f>IF(D31&lt;0,"-","")&amp;"1."&amp;MID(T31,SEARCH("1",T31)+1,LEN(T31)-SEARCH("1",T31))&amp;" x 2^("&amp;(LEN(T31)-SEARCH("1",T31)-F31)&amp;")"</f>
        <v>-1.011011 x 2^(-1)</v>
      </c>
      <c r="T31" s="33" t="str">
        <f>RIGHT(DEC2BIN(MOD(QUOTIENT(ABS(D31),256^3),256),8)&amp;DEC2BIN(MOD(QUOTIENT(ABS(D31),256^2),256),8)&amp;DEC2BIN(MOD(QUOTIENT(ABS(D31),256^1),256),8)&amp;DEC2BIN(MOD(QUOTIENT(ABS(D31),256^0),256),8),64)</f>
        <v>00000000000000000000000001011011</v>
      </c>
    </row>
    <row r="32" spans="3:20" x14ac:dyDescent="0.3">
      <c r="D32" s="8"/>
      <c r="T32" s="35"/>
    </row>
    <row r="33" spans="3:22" x14ac:dyDescent="0.3">
      <c r="C33" s="18"/>
      <c r="T33" s="35"/>
    </row>
    <row r="34" spans="3:22" x14ac:dyDescent="0.3">
      <c r="C34" s="18"/>
      <c r="T34" s="35"/>
    </row>
    <row r="35" spans="3:22" x14ac:dyDescent="0.3">
      <c r="C35" s="18"/>
      <c r="E35" s="9" t="s">
        <v>38</v>
      </c>
      <c r="T35" s="35"/>
    </row>
    <row r="36" spans="3:22" x14ac:dyDescent="0.3">
      <c r="D36" s="22" t="s">
        <v>6</v>
      </c>
      <c r="F36" s="9"/>
      <c r="K36" s="2" t="s">
        <v>33</v>
      </c>
      <c r="L36" s="2" t="s">
        <v>34</v>
      </c>
      <c r="M36" s="2" t="s">
        <v>35</v>
      </c>
      <c r="Q36" s="2" t="s">
        <v>37</v>
      </c>
      <c r="R36" s="2" t="s">
        <v>36</v>
      </c>
      <c r="T36" s="33" t="s">
        <v>18</v>
      </c>
      <c r="V36" s="19"/>
    </row>
    <row r="37" spans="3:22" x14ac:dyDescent="0.3">
      <c r="C37" s="2" t="s">
        <v>39</v>
      </c>
      <c r="D37" s="15" t="s">
        <v>32</v>
      </c>
      <c r="K37" s="2" t="str">
        <f>MID(D37,1,1)</f>
        <v>0</v>
      </c>
      <c r="L37" s="2" t="str">
        <f>MID(D37,2,8)</f>
        <v>10001011</v>
      </c>
      <c r="M37" s="2" t="str">
        <f>MID(D37,10,T38)</f>
        <v>00000000000001</v>
      </c>
      <c r="Q37" s="2">
        <v>127</v>
      </c>
      <c r="R37" s="7">
        <f ca="1">((-1)^K37)*(1+T39)*(2^(T37-Q37))</f>
        <v>4096.25</v>
      </c>
      <c r="T37" s="35">
        <f ca="1">SUMPRODUCT(--MID(L37,LEN(L37)+1-ROW(INDIRECT("1:"&amp;LEN(L37))),1),(2^(ROW(INDIRECT("1:"&amp;LEN(L37)))-1)))</f>
        <v>139</v>
      </c>
    </row>
    <row r="38" spans="3:22" x14ac:dyDescent="0.3">
      <c r="C38" s="2" t="s">
        <v>40</v>
      </c>
      <c r="D38" s="24" t="s">
        <v>41</v>
      </c>
      <c r="K38" s="2" t="str">
        <f>MID(D38,1,1)</f>
        <v>0</v>
      </c>
      <c r="L38" s="2" t="str">
        <f>MID(D38,2,11)</f>
        <v>01111110100</v>
      </c>
      <c r="M38" s="2" t="str">
        <f>MID(D38,13,T41)</f>
        <v>1101</v>
      </c>
      <c r="N38" s="2"/>
      <c r="O38" s="2"/>
      <c r="P38" s="2"/>
      <c r="Q38" s="2">
        <v>1023</v>
      </c>
      <c r="R38" s="7">
        <f ca="1">((-1)^K38)*(1+T42)*(2^(T40-Q38))</f>
        <v>8.85009765625E-4</v>
      </c>
      <c r="T38" s="35">
        <f>FIND("@",SUBSTITUTE(D37,"1","@",LEN(D37)-LEN(SUBSTITUTE(D37,"1",""))))-9</f>
        <v>14</v>
      </c>
    </row>
    <row r="39" spans="3:22" x14ac:dyDescent="0.3">
      <c r="C39" s="2"/>
      <c r="D39" s="18"/>
      <c r="T39" s="35">
        <f ca="1">SUMPRODUCT(--MID(M37,LEN(M37)+1-ROW(INDIRECT("1:"&amp;LEN(M37))),1),(2^(ROW(INDIRECT("1:"&amp;LEN(M37)))-1)))/(2^LEN(M37))</f>
        <v>6.103515625E-5</v>
      </c>
    </row>
    <row r="40" spans="3:22" x14ac:dyDescent="0.3">
      <c r="C40" s="2"/>
      <c r="D40" s="18"/>
      <c r="T40" s="35">
        <f ca="1">SUMPRODUCT(--MID(L38,LEN(L38)+1-ROW(INDIRECT("1:"&amp;LEN(L38))),1),(2^(ROW(INDIRECT("1:"&amp;LEN(L38)))-1)))</f>
        <v>1012</v>
      </c>
    </row>
    <row r="41" spans="3:22" x14ac:dyDescent="0.3">
      <c r="C41" s="18"/>
      <c r="T41" s="35">
        <f>FIND("@",SUBSTITUTE(D38,"1","@",LEN(D38)-LEN(SUBSTITUTE(D38,"1",""))))-12</f>
        <v>4</v>
      </c>
    </row>
    <row r="42" spans="3:22" x14ac:dyDescent="0.3">
      <c r="C42" s="18"/>
      <c r="T42" s="35">
        <f ca="1">SUMPRODUCT(--MID(M38,LEN(M38)+1-ROW(INDIRECT("1:"&amp;LEN(M38))),1),(2^(ROW(INDIRECT("1:"&amp;LEN(M38)))-1)))/(2^LEN(M38))</f>
        <v>0.8125</v>
      </c>
    </row>
    <row r="43" spans="3:22" x14ac:dyDescent="0.3">
      <c r="C43" s="18"/>
      <c r="E43" s="9" t="s">
        <v>42</v>
      </c>
      <c r="F43" s="9"/>
      <c r="G43" s="9"/>
      <c r="H43" s="9"/>
      <c r="I43" s="9"/>
      <c r="J43" s="9"/>
      <c r="T43" s="35"/>
    </row>
    <row r="44" spans="3:22" x14ac:dyDescent="0.3">
      <c r="C44" s="18"/>
      <c r="D44" s="2" t="s">
        <v>6</v>
      </c>
      <c r="E44" s="9"/>
      <c r="F44" s="2" t="s">
        <v>33</v>
      </c>
      <c r="G44" s="2" t="s">
        <v>34</v>
      </c>
      <c r="I44" s="2" t="s">
        <v>35</v>
      </c>
      <c r="J44" s="2"/>
      <c r="K44" s="2"/>
      <c r="L44" s="2" t="s">
        <v>37</v>
      </c>
      <c r="M44" s="2" t="s">
        <v>36</v>
      </c>
      <c r="T44" s="33" t="s">
        <v>18</v>
      </c>
    </row>
    <row r="45" spans="3:22" x14ac:dyDescent="0.3">
      <c r="C45" s="22" t="s">
        <v>39</v>
      </c>
      <c r="D45" s="17">
        <v>-672</v>
      </c>
      <c r="E45" s="9"/>
      <c r="F45" s="16">
        <f>IF(D45&lt;0,1,0)</f>
        <v>1</v>
      </c>
      <c r="G45" s="16" t="str">
        <f>RIGHT(DEC2BIN(MOD(QUOTIENT(T45,256^3),256),8)&amp;DEC2BIN(MOD(QUOTIENT(T45,256^2),256),8)&amp;DEC2BIN(MOD(QUOTIENT(T45,256^1),256),8)&amp;DEC2BIN(MOD(QUOTIENT(T45,256^0),256),8),8)</f>
        <v>10001000</v>
      </c>
      <c r="I45" s="16" t="str">
        <f>RIGHT(DEC2BIN(MOD(QUOTIENT(T49,256^3),256),8)&amp;DEC2BIN(MOD(QUOTIENT(T49,256^2),256),8)&amp;DEC2BIN(MOD(QUOTIENT(T49,256^1),256),8)&amp;DEC2BIN(MOD(QUOTIENT(T49,256^0),256),8),IF(ISNUMBER(SEARCH(".",T47)),LEN(T47)-FIND(".",T47),0))</f>
        <v>0101</v>
      </c>
      <c r="J45" s="9"/>
      <c r="K45" s="9"/>
      <c r="L45" s="2">
        <v>127</v>
      </c>
      <c r="M45" s="7" t="str">
        <f>F45&amp;G45&amp;I45&amp;REPT("0",23-LEN(I45))</f>
        <v>11000100001010000000000000000000</v>
      </c>
      <c r="N45" s="8"/>
      <c r="O45" s="7"/>
      <c r="P45" s="7"/>
      <c r="Q45" s="7"/>
      <c r="R45" s="8"/>
      <c r="T45" s="35">
        <f>INT(LOG(ABS(D45),2))+L45</f>
        <v>136</v>
      </c>
    </row>
    <row r="46" spans="3:22" x14ac:dyDescent="0.3">
      <c r="C46" s="22" t="s">
        <v>40</v>
      </c>
      <c r="D46" s="17">
        <v>-0.75</v>
      </c>
      <c r="E46" s="9"/>
      <c r="F46" s="2">
        <f>IF(D46&lt;0,1,0)</f>
        <v>1</v>
      </c>
      <c r="G46" s="16" t="str">
        <f>RIGHT(DEC2BIN(MOD(QUOTIENT(T46,256^3),256),8)&amp;DEC2BIN(MOD(QUOTIENT(T46,256^2),256),8)&amp;DEC2BIN(MOD(QUOTIENT(T46,256^1),256),8)&amp;DEC2BIN(MOD(QUOTIENT(T46,256^0),256),8),11)</f>
        <v>01111111110</v>
      </c>
      <c r="I46" s="16" t="str">
        <f>RIGHT(DEC2BIN(MOD(QUOTIENT(T50,256^3),256),8)&amp;DEC2BIN(MOD(QUOTIENT(T50,256^2),256),8)&amp;DEC2BIN(MOD(QUOTIENT(T50,256^1),256),8)&amp;DEC2BIN(MOD(QUOTIENT(T50,256^0),256),8),IF(ISNUMBER(SEARCH(".",T48)),LEN(T48)-FIND(".",T48),0))</f>
        <v>1</v>
      </c>
      <c r="J46" s="9"/>
      <c r="K46" s="9"/>
      <c r="L46" s="2">
        <v>1023</v>
      </c>
      <c r="M46" s="7" t="str">
        <f>F46&amp;G46&amp;I46&amp;REPT("0",52-LEN(I46))</f>
        <v>1011111111101000000000000000000000000000000000000000000000000000</v>
      </c>
      <c r="N46" s="8"/>
      <c r="O46" s="7"/>
      <c r="P46" s="7"/>
      <c r="Q46" s="7"/>
      <c r="R46" s="8"/>
      <c r="T46" s="35">
        <f>INT(LOG(ABS(D46),2))+L46</f>
        <v>1022</v>
      </c>
    </row>
    <row r="47" spans="3:22" x14ac:dyDescent="0.3">
      <c r="C47" s="18"/>
      <c r="E47" s="9"/>
      <c r="F47" s="9"/>
      <c r="G47" s="9"/>
      <c r="H47" s="9"/>
      <c r="I47" s="9"/>
      <c r="J47" s="9"/>
      <c r="T47" s="35">
        <f>ABS(D45)/(2^INT(LOG(ABS(D45),2)))-1</f>
        <v>0.3125</v>
      </c>
    </row>
    <row r="48" spans="3:22" x14ac:dyDescent="0.3">
      <c r="C48" s="18"/>
      <c r="T48" s="35">
        <f>ABS(D46)/(2^INT(LOG(ABS(D46),2)))-1</f>
        <v>0.5</v>
      </c>
    </row>
    <row r="49" spans="3:20" x14ac:dyDescent="0.3">
      <c r="C49" s="18"/>
      <c r="T49" s="35">
        <f>T47*2^IF(ISNUMBER(SEARCH(".",T47)),LEN(T47)-FIND(".",T47),0)</f>
        <v>5</v>
      </c>
    </row>
    <row r="50" spans="3:20" x14ac:dyDescent="0.3">
      <c r="C50" s="18"/>
      <c r="T50" s="35">
        <f>T48*2^IF(ISNUMBER(SEARCH(".",T48)),LEN(T48)-FIND(".",T48),0)</f>
        <v>1</v>
      </c>
    </row>
    <row r="51" spans="3:20" x14ac:dyDescent="0.3">
      <c r="C51" s="18"/>
      <c r="E51" s="9" t="s">
        <v>22</v>
      </c>
      <c r="T51" s="35"/>
    </row>
    <row r="52" spans="3:20" x14ac:dyDescent="0.3">
      <c r="C52" s="22" t="s">
        <v>23</v>
      </c>
      <c r="E52" s="9"/>
      <c r="F52" s="2" t="s">
        <v>25</v>
      </c>
      <c r="I52" s="2" t="s">
        <v>26</v>
      </c>
      <c r="K52" s="2" t="s">
        <v>27</v>
      </c>
      <c r="M52" s="2" t="s">
        <v>28</v>
      </c>
      <c r="N52" s="2" t="s">
        <v>29</v>
      </c>
      <c r="O52" s="2"/>
      <c r="P52" s="2" t="s">
        <v>30</v>
      </c>
      <c r="Q52" s="2"/>
      <c r="R52" s="2" t="s">
        <v>31</v>
      </c>
      <c r="T52" s="33" t="s">
        <v>18</v>
      </c>
    </row>
    <row r="53" spans="3:20" x14ac:dyDescent="0.3">
      <c r="C53" s="23">
        <v>1.010111</v>
      </c>
      <c r="D53" s="2" t="s">
        <v>24</v>
      </c>
      <c r="E53" s="17">
        <v>6</v>
      </c>
      <c r="F53" s="17">
        <v>1.111</v>
      </c>
      <c r="G53" s="2" t="s">
        <v>24</v>
      </c>
      <c r="H53" s="17">
        <v>3</v>
      </c>
      <c r="I53" s="2" t="str">
        <f>SUBSTITUTE(C53,".","")&amp;REPT("0",E53-(LEN(C53)-SEARCH(".",C53))-T53)</f>
        <v>1010111</v>
      </c>
      <c r="J53" s="2" t="str">
        <f>"x2^"&amp;T53</f>
        <v>x2^0</v>
      </c>
      <c r="K53" s="2" t="str">
        <f>SUBSTITUTE(F53,".","")&amp;REPT("0",H53-(LEN(F53)-SEARCH(".",F53))-T53)</f>
        <v>1111</v>
      </c>
      <c r="L53" s="2" t="str">
        <f>"x2^"&amp;T53</f>
        <v>x2^0</v>
      </c>
      <c r="M53" s="7" t="str">
        <f ca="1">"1."&amp;MID(T54,SEARCH("1",T54)+1,LEN(T54)-SEARCH("1",T54))&amp;" x 2^("&amp;(LEN(T54)-SEARCH("1",T54)+T53)&amp;")"</f>
        <v>1.100110 x 2^(6)</v>
      </c>
      <c r="N53" s="7" t="str">
        <f ca="1">(IF(N54&lt;0,"-",""))&amp;"1."&amp;MID(T55,SEARCH("1",T55)+1,LEN(T55)-SEARCH("1",T55))&amp;" x 2^("&amp;(LEN(T55)-SEARCH("1",T55)+T53)&amp;")"</f>
        <v>1.001000 x 2^(6)</v>
      </c>
      <c r="P53" s="7" t="str">
        <f ca="1">"1."&amp;MID(T56,SEARCH("1",T56)+1,LEN(T56)-SEARCH("1",T56))&amp;" x 2^("&amp;(LEN(T56)-SEARCH("1",T56)+T53)&amp;")"</f>
        <v>1.0100011001 x 2^(10)</v>
      </c>
      <c r="R53" s="7" t="str">
        <f ca="1">"1."&amp;MID(T57,SEARCH("1",T57)+1,LEN(T57)-SEARCH("1",T57))&amp;" x 2^("&amp;(LEN(T57)-SEARCH("1",T57)+T53)&amp;")"</f>
        <v>1.01 x 2^(2)</v>
      </c>
      <c r="T53" s="35">
        <f>MIN(E53-(LEN(C53)-SEARCH(".",C53)),H53-(LEN(F53)-SEARCH(".",F53)))</f>
        <v>0</v>
      </c>
    </row>
    <row r="54" spans="3:20" x14ac:dyDescent="0.3">
      <c r="C54" s="18" t="s">
        <v>44</v>
      </c>
      <c r="D54" s="2"/>
      <c r="E54" s="17"/>
      <c r="F54" s="17"/>
      <c r="G54" s="2"/>
      <c r="H54" s="17"/>
      <c r="I54" s="2">
        <f ca="1">SUMPRODUCT(--MID(I53,LEN(I53)+1-ROW(INDIRECT("1:"&amp;LEN(I53))),1),(2^(ROW(INDIRECT("1:"&amp;LEN(I53)))-1)))</f>
        <v>87</v>
      </c>
      <c r="J54" s="2"/>
      <c r="K54" s="2">
        <f ca="1">SUMPRODUCT(--MID(K53,LEN(K53)+1-ROW(INDIRECT("1:"&amp;LEN(K53))),1),(2^(ROW(INDIRECT("1:"&amp;LEN(K53)))-1)))</f>
        <v>15</v>
      </c>
      <c r="L54" s="2"/>
      <c r="M54" s="2">
        <f ca="1">I54+K54</f>
        <v>102</v>
      </c>
      <c r="N54" s="2">
        <f ca="1">I54-K54</f>
        <v>72</v>
      </c>
      <c r="O54" s="2"/>
      <c r="P54" s="2">
        <f ca="1">I54*K54</f>
        <v>1305</v>
      </c>
      <c r="Q54" s="2"/>
      <c r="R54" s="2">
        <f ca="1">QUOTIENT(I54,K54)</f>
        <v>5</v>
      </c>
      <c r="T54" s="35" t="str">
        <f ca="1">RIGHT(DEC2BIN(MOD(QUOTIENT(M54,256^3),256),8)&amp;DEC2BIN(MOD(QUOTIENT(M54,256^2),256),8)&amp;DEC2BIN(MOD(QUOTIENT(M54,256^1),256),8)&amp;DEC2BIN(MOD(QUOTIENT(M54,256^0),256),8),32)</f>
        <v>00000000000000000000000001100110</v>
      </c>
    </row>
    <row r="55" spans="3:20" x14ac:dyDescent="0.3">
      <c r="C55" s="23"/>
      <c r="D55" s="2"/>
      <c r="E55" s="17"/>
      <c r="F55" s="17"/>
      <c r="G55" s="2"/>
      <c r="H55" s="17"/>
      <c r="I55" s="2"/>
      <c r="J55" s="2"/>
      <c r="K55" s="2"/>
      <c r="L55" s="2"/>
      <c r="M55" s="2"/>
      <c r="N55" s="2"/>
      <c r="O55" s="2"/>
      <c r="P55" s="2"/>
      <c r="T55" s="35" t="str">
        <f ca="1">RIGHT(DEC2BIN(MOD(QUOTIENT(ABS(N54),256^3),256),8)&amp;DEC2BIN(MOD(QUOTIENT(ABS(N54),256^2),256),8)&amp;DEC2BIN(MOD(QUOTIENT(ABS(N54),256^1),256),8)&amp;DEC2BIN(MOD(QUOTIENT(ABS(N54),256^0),256),8),32)</f>
        <v>00000000000000000000000001001000</v>
      </c>
    </row>
    <row r="56" spans="3:20" x14ac:dyDescent="0.3">
      <c r="C56" s="18"/>
      <c r="T56" s="35" t="str">
        <f ca="1">RIGHT(DEC2BIN(MOD(QUOTIENT(P54,256^3),256),8)&amp;DEC2BIN(MOD(QUOTIENT(P54,256^2),256),8)&amp;DEC2BIN(MOD(QUOTIENT(P54,256^1),256),8)&amp;DEC2BIN(MOD(QUOTIENT(P54,256^0),256),8),32)</f>
        <v>00000000000000000000010100011001</v>
      </c>
    </row>
    <row r="57" spans="3:20" x14ac:dyDescent="0.3">
      <c r="C57" s="18"/>
      <c r="T57" s="35" t="str">
        <f ca="1">RIGHT(DEC2BIN(MOD(QUOTIENT(R54,256^3),256),8)&amp;DEC2BIN(MOD(QUOTIENT(R54,256^2),256),8)&amp;DEC2BIN(MOD(QUOTIENT(R54,256^1),256),8)&amp;DEC2BIN(MOD(QUOTIENT(R54,256^0),256),8),32)</f>
        <v>00000000000000000000000000000101</v>
      </c>
    </row>
    <row r="58" spans="3:20" x14ac:dyDescent="0.3">
      <c r="C58" s="18"/>
      <c r="E58" s="9" t="s">
        <v>20</v>
      </c>
      <c r="T58" s="30"/>
    </row>
    <row r="59" spans="3:20" x14ac:dyDescent="0.3">
      <c r="C59" s="22" t="s">
        <v>46</v>
      </c>
      <c r="E59" s="16" t="s">
        <v>48</v>
      </c>
      <c r="L59" s="2" t="s">
        <v>47</v>
      </c>
      <c r="T59" s="30"/>
    </row>
    <row r="60" spans="3:20" x14ac:dyDescent="0.3">
      <c r="C60" s="23">
        <v>64</v>
      </c>
      <c r="E60" s="17">
        <v>64</v>
      </c>
      <c r="L60" s="7">
        <f>ROUNDUP(LOG(C60*1024^3*8/E60,2),0)</f>
        <v>33</v>
      </c>
      <c r="T60" s="30"/>
    </row>
    <row r="61" spans="3:20" x14ac:dyDescent="0.3">
      <c r="T61" s="30"/>
    </row>
    <row r="62" spans="3:20" x14ac:dyDescent="0.3">
      <c r="T62" s="30"/>
    </row>
    <row r="63" spans="3:20" x14ac:dyDescent="0.3">
      <c r="E63" s="9" t="s">
        <v>49</v>
      </c>
      <c r="T63" s="30"/>
    </row>
    <row r="64" spans="3:20" x14ac:dyDescent="0.3">
      <c r="D64" s="2" t="s">
        <v>6</v>
      </c>
      <c r="E64" s="9"/>
      <c r="H64" s="2" t="s">
        <v>60</v>
      </c>
      <c r="I64" s="2" t="s">
        <v>54</v>
      </c>
      <c r="J64" s="2" t="s">
        <v>55</v>
      </c>
      <c r="K64" s="2" t="s">
        <v>56</v>
      </c>
      <c r="L64" s="2" t="s">
        <v>57</v>
      </c>
      <c r="M64" s="2" t="s">
        <v>58</v>
      </c>
      <c r="N64" s="2" t="s">
        <v>62</v>
      </c>
      <c r="P64" s="2" t="s">
        <v>59</v>
      </c>
      <c r="T64" s="30"/>
    </row>
    <row r="65" spans="3:20" x14ac:dyDescent="0.3">
      <c r="C65" s="2" t="s">
        <v>50</v>
      </c>
      <c r="D65" s="24" t="s">
        <v>53</v>
      </c>
      <c r="E65" s="25"/>
      <c r="F65" s="17"/>
      <c r="G65" s="17"/>
      <c r="H65" s="7">
        <f ca="1">SUMPRODUCT(--MID(MID(D65,1,6),6+1-ROW(INDIRECT("1:"&amp;6)),1),(2^(ROW(INDIRECT("1:"&amp;6))-1)))</f>
        <v>0</v>
      </c>
      <c r="I65" s="7">
        <f ca="1">SUMPRODUCT(--MID(MID(D65,7,5),5+1-ROW(INDIRECT("1:"&amp;5)),1),(2^(ROW(INDIRECT("1:"&amp;5))-1)))</f>
        <v>9</v>
      </c>
      <c r="J65" s="7">
        <f ca="1">SUMPRODUCT(--MID(MID(D65,12,5),5+1-ROW(INDIRECT("1:"&amp;5)),1),(2^(ROW(INDIRECT("1:"&amp;5))-1)))</f>
        <v>13</v>
      </c>
      <c r="K65" s="7">
        <f ca="1">SUMPRODUCT(--MID(MID(D65,17,5),5+1-ROW(INDIRECT("1:"&amp;5)),1),(2^(ROW(INDIRECT("1:"&amp;5))-1)))</f>
        <v>27</v>
      </c>
      <c r="L65" s="7">
        <f ca="1">SUMPRODUCT(--MID(MID(D65,22,5),5+1-ROW(INDIRECT("1:"&amp;5)),1),(2^(ROW(INDIRECT("1:"&amp;5))-1)))</f>
        <v>15</v>
      </c>
      <c r="M65" s="7">
        <f ca="1">SUMPRODUCT(--MID(MID(D65,27,6),6+1-ROW(INDIRECT("1:"&amp;6)),1),(2^(ROW(INDIRECT("1:"&amp;6))-1)))</f>
        <v>24</v>
      </c>
      <c r="N65" s="7"/>
      <c r="O65" s="7"/>
      <c r="T65" s="30"/>
    </row>
    <row r="66" spans="3:20" x14ac:dyDescent="0.3">
      <c r="C66" s="2" t="s">
        <v>51</v>
      </c>
      <c r="D66" s="24" t="s">
        <v>61</v>
      </c>
      <c r="E66" s="25"/>
      <c r="F66" s="17"/>
      <c r="G66" s="17"/>
      <c r="H66" s="7">
        <f ca="1">SUMPRODUCT(--MID(MID(D66,1,6),6+1-ROW(INDIRECT("1:"&amp;6)),1),(2^(ROW(INDIRECT("1:"&amp;6))-1)))</f>
        <v>1</v>
      </c>
      <c r="I66" s="7">
        <f ca="1">SUMPRODUCT(--MID(MID(D66,7,5),5+1-ROW(INDIRECT("1:"&amp;5)),1),(2^(ROW(INDIRECT("1:"&amp;5))-1)))</f>
        <v>10</v>
      </c>
      <c r="J66" s="7">
        <f ca="1">SUMPRODUCT(--MID(MID(D66,12,5),5+1-ROW(INDIRECT("1:"&amp;5)),1),(2^(ROW(INDIRECT("1:"&amp;5))-1)))</f>
        <v>25</v>
      </c>
      <c r="K66" s="7"/>
      <c r="L66" s="7"/>
      <c r="M66" s="7"/>
      <c r="N66" s="7">
        <f ca="1">SUMPRODUCT(--MID(MID(D66,17,16),16+1-ROW(INDIRECT("1:"&amp;16)),1),(2^(ROW(INDIRECT("1:"&amp;16))-1)))</f>
        <v>63872</v>
      </c>
      <c r="O66" s="7"/>
      <c r="T66" s="30"/>
    </row>
    <row r="67" spans="3:20" x14ac:dyDescent="0.3">
      <c r="C67" s="2" t="s">
        <v>52</v>
      </c>
      <c r="D67" s="24" t="s">
        <v>61</v>
      </c>
      <c r="E67" s="25"/>
      <c r="F67" s="17"/>
      <c r="G67" s="17"/>
      <c r="H67" s="7">
        <f ca="1">SUMPRODUCT(--MID(MID(D67,1,6),6+1-ROW(INDIRECT("1:"&amp;6)),1),(2^(ROW(INDIRECT("1:"&amp;6))-1)))</f>
        <v>1</v>
      </c>
      <c r="I67" s="7"/>
      <c r="J67" s="7"/>
      <c r="K67" s="7"/>
      <c r="L67" s="7"/>
      <c r="M67" s="7"/>
      <c r="N67" s="7"/>
      <c r="O67" s="7"/>
      <c r="P67" s="7">
        <f ca="1">SUMPRODUCT(--MID(MID(D67,7,26),26+1-ROW(INDIRECT("1:"&amp;26)),1),(2^(ROW(INDIRECT("1:"&amp;26))-1)))</f>
        <v>22673792</v>
      </c>
      <c r="T67" s="30"/>
    </row>
    <row r="68" spans="3:20" x14ac:dyDescent="0.3">
      <c r="T68" s="30"/>
    </row>
    <row r="69" spans="3:20" x14ac:dyDescent="0.3">
      <c r="T69" s="30"/>
    </row>
    <row r="70" spans="3:20" x14ac:dyDescent="0.3">
      <c r="E70" s="26" t="s">
        <v>72</v>
      </c>
      <c r="F70" s="26"/>
      <c r="G70" s="26"/>
      <c r="H70" s="26"/>
      <c r="I70" s="26"/>
      <c r="T70" s="30"/>
    </row>
    <row r="71" spans="3:20" x14ac:dyDescent="0.3">
      <c r="D71" s="2" t="s">
        <v>63</v>
      </c>
      <c r="E71" s="2"/>
      <c r="F71" s="26"/>
      <c r="G71" s="16" t="s">
        <v>68</v>
      </c>
      <c r="H71" s="16"/>
      <c r="I71" s="16"/>
      <c r="J71" s="16" t="s">
        <v>69</v>
      </c>
      <c r="K71" s="16"/>
      <c r="L71" s="2" t="s">
        <v>71</v>
      </c>
      <c r="M71" s="2" t="s">
        <v>7</v>
      </c>
      <c r="O71" s="2" t="s">
        <v>8</v>
      </c>
      <c r="Q71" s="2" t="s">
        <v>9</v>
      </c>
      <c r="R71" s="2" t="s">
        <v>70</v>
      </c>
      <c r="T71" s="30"/>
    </row>
    <row r="72" spans="3:20" x14ac:dyDescent="0.3">
      <c r="C72" s="2" t="s">
        <v>64</v>
      </c>
      <c r="D72" s="17">
        <v>256</v>
      </c>
      <c r="E72" s="25"/>
      <c r="F72" s="25"/>
      <c r="G72" s="17">
        <v>32</v>
      </c>
      <c r="H72" s="25"/>
      <c r="I72" s="25"/>
      <c r="J72" s="17">
        <v>32</v>
      </c>
      <c r="K72" s="17"/>
      <c r="L72" s="17">
        <v>1048</v>
      </c>
      <c r="M72" s="7" t="str">
        <f>_xlfn.BASE(QUOTIENT(QUOTIENT(L72,G72),D72/G72),2,32-LOG(G72,2)-LOG(D72/G72,2))</f>
        <v>000000000000000000000100</v>
      </c>
      <c r="O72" s="7" t="str">
        <f>_xlfn.BASE(MOD(QUOTIENT(L72,G72),D72/G72),2,LOG(D72/G72,2))</f>
        <v>000</v>
      </c>
      <c r="P72" s="7"/>
      <c r="Q72" s="7" t="str">
        <f>_xlfn.BASE(MOD(L72,G72),2,LOG(G72,2))</f>
        <v>11000</v>
      </c>
      <c r="R72" s="7" t="str">
        <f>(J72-LOG(D72/G72,2)-LOG(G72,2))&amp;":"&amp;LOG(D72/G72,2)&amp;":"&amp;LOG(G72,2)</f>
        <v>24:3:5</v>
      </c>
      <c r="T72" s="30"/>
    </row>
    <row r="73" spans="3:20" x14ac:dyDescent="0.3">
      <c r="C73" s="2" t="s">
        <v>65</v>
      </c>
      <c r="D73" s="17">
        <v>512</v>
      </c>
      <c r="E73" s="25"/>
      <c r="F73" s="25"/>
      <c r="G73" s="17">
        <v>16</v>
      </c>
      <c r="H73" s="25"/>
      <c r="I73" s="25"/>
      <c r="J73" s="17">
        <v>32</v>
      </c>
      <c r="K73" s="17"/>
      <c r="L73" s="17">
        <v>5893478</v>
      </c>
      <c r="M73" s="7" t="str">
        <f>_xlfn.BASE(QUOTIENT(QUOTIENT(L73,G73),D73*1024/G73),2,32-LOG(G73,2)-LOG(D73*1024/G73,2))</f>
        <v>0000000001011</v>
      </c>
      <c r="O73" s="7" t="str">
        <f>_xlfn.BASE(MOD(QUOTIENT(L73,G73),D73*1024/G73),2,LOG(D73*1024/G73,2))</f>
        <v>001111011010110</v>
      </c>
      <c r="P73" s="7"/>
      <c r="Q73" s="7" t="str">
        <f>_xlfn.BASE(MOD(L73,G73),2,LOG(G73,2))</f>
        <v>0110</v>
      </c>
      <c r="R73" s="7" t="str">
        <f>(J73-LOG(D73*1024/G73,2)-LOG(G73,2))&amp;":"&amp;LOG(D73*1024/G73,2)&amp;":"&amp;LOG(G73,2)</f>
        <v>13:15:4</v>
      </c>
      <c r="T73" s="30"/>
    </row>
    <row r="74" spans="3:20" x14ac:dyDescent="0.3">
      <c r="C74" s="2" t="s">
        <v>66</v>
      </c>
      <c r="D74" s="17">
        <v>1</v>
      </c>
      <c r="E74" s="25"/>
      <c r="F74" s="25"/>
      <c r="G74" s="17">
        <v>16</v>
      </c>
      <c r="H74" s="25"/>
      <c r="I74" s="25"/>
      <c r="J74" s="17">
        <v>32</v>
      </c>
      <c r="K74" s="17"/>
      <c r="L74" s="17">
        <v>4356</v>
      </c>
      <c r="M74" s="7" t="str">
        <f>_xlfn.BASE(QUOTIENT(QUOTIENT(L74,G74),D74*1024^2/G74),2,32-LOG(G74,2)-LOG(D74*1024^2/G74,2))</f>
        <v>000000000000</v>
      </c>
      <c r="O74" s="7" t="str">
        <f>_xlfn.BASE(MOD(QUOTIENT(L74,G74),D74*1024^2/G74),2,LOG(D74*1024^2/G74,2))</f>
        <v>0000000100010000</v>
      </c>
      <c r="P74" s="7"/>
      <c r="Q74" s="7" t="str">
        <f>_xlfn.BASE(MOD(L74,G74),2,LOG(G74,2))</f>
        <v>0100</v>
      </c>
      <c r="R74" s="7" t="str">
        <f>(J74-LOG(D74*1024^2/G74,2)-LOG(G74,2))&amp;":"&amp;LOG(D74*1024^2/G74,2)&amp;":"&amp;LOG(G74,2)</f>
        <v>12:16:4</v>
      </c>
      <c r="T74" s="30"/>
    </row>
    <row r="75" spans="3:20" x14ac:dyDescent="0.3">
      <c r="C75" s="8" t="s">
        <v>67</v>
      </c>
      <c r="D75" s="8"/>
      <c r="E75" s="7"/>
      <c r="F75" s="7"/>
      <c r="G75" s="26"/>
      <c r="H75" s="26"/>
      <c r="I75" s="26"/>
      <c r="T75" s="30"/>
    </row>
    <row r="76" spans="3:20" x14ac:dyDescent="0.3">
      <c r="T76" s="30"/>
    </row>
    <row r="77" spans="3:20" x14ac:dyDescent="0.3">
      <c r="T77" s="30"/>
    </row>
    <row r="78" spans="3:20" x14ac:dyDescent="0.3">
      <c r="E78" s="26" t="s">
        <v>73</v>
      </c>
      <c r="F78" s="26"/>
      <c r="G78" s="26"/>
      <c r="H78" s="26"/>
      <c r="T78" s="30"/>
    </row>
    <row r="79" spans="3:20" x14ac:dyDescent="0.3">
      <c r="C79" s="2" t="s">
        <v>74</v>
      </c>
      <c r="D79" s="2" t="s">
        <v>11</v>
      </c>
      <c r="E79" s="2" t="s">
        <v>75</v>
      </c>
      <c r="F79" s="2" t="s">
        <v>76</v>
      </c>
      <c r="G79" s="2" t="s">
        <v>0</v>
      </c>
      <c r="H79" s="2" t="s">
        <v>1</v>
      </c>
      <c r="I79" s="2" t="s">
        <v>3</v>
      </c>
      <c r="J79" s="2" t="s">
        <v>10</v>
      </c>
      <c r="K79" s="2" t="s">
        <v>78</v>
      </c>
      <c r="N79" s="2" t="s">
        <v>79</v>
      </c>
      <c r="O79" s="2" t="s">
        <v>80</v>
      </c>
      <c r="Q79" s="2" t="s">
        <v>79</v>
      </c>
      <c r="R79" s="2" t="s">
        <v>81</v>
      </c>
      <c r="T79" s="30"/>
    </row>
    <row r="80" spans="3:20" x14ac:dyDescent="0.3">
      <c r="D80" s="27">
        <v>0.43</v>
      </c>
      <c r="E80" s="27">
        <v>0.23</v>
      </c>
      <c r="F80" s="28">
        <v>0.13</v>
      </c>
      <c r="G80" s="28">
        <v>0.19</v>
      </c>
      <c r="H80" s="27">
        <v>0.02</v>
      </c>
      <c r="I80" s="4">
        <f>E80+F80+G80+H80+D80</f>
        <v>1</v>
      </c>
      <c r="J80" s="29">
        <v>1.6</v>
      </c>
      <c r="K80" s="27">
        <v>0.5</v>
      </c>
      <c r="N80" s="29">
        <v>2</v>
      </c>
      <c r="O80" s="27">
        <v>0.25</v>
      </c>
      <c r="Q80" s="29">
        <v>2</v>
      </c>
      <c r="R80" s="29">
        <v>2</v>
      </c>
      <c r="T80" s="30"/>
    </row>
    <row r="81" spans="3:20" x14ac:dyDescent="0.3">
      <c r="T81" s="30"/>
    </row>
    <row r="82" spans="3:20" x14ac:dyDescent="0.3">
      <c r="C82" s="2" t="s">
        <v>2</v>
      </c>
      <c r="D82" s="2">
        <f>D80*4</f>
        <v>1.72</v>
      </c>
      <c r="E82" s="3">
        <f>E80*5</f>
        <v>1.1500000000000001</v>
      </c>
      <c r="F82" s="2">
        <f>F80*4</f>
        <v>0.52</v>
      </c>
      <c r="G82" s="2">
        <f>G80*3</f>
        <v>0.57000000000000006</v>
      </c>
      <c r="H82" s="2">
        <f>H80*3</f>
        <v>0.06</v>
      </c>
      <c r="I82" s="7">
        <f>E82+F82+G82+H82+D82</f>
        <v>4.0200000000000005</v>
      </c>
      <c r="J82" s="2"/>
      <c r="T82" s="30"/>
    </row>
    <row r="83" spans="3:20" x14ac:dyDescent="0.3">
      <c r="C83" s="2" t="s">
        <v>77</v>
      </c>
      <c r="D83" s="2"/>
      <c r="E83" s="2"/>
      <c r="F83" s="2"/>
      <c r="G83" s="2"/>
      <c r="H83" s="2"/>
      <c r="J83" s="7">
        <f>J80/I82*1000</f>
        <v>398.00995024875618</v>
      </c>
      <c r="T83" s="30"/>
    </row>
    <row r="84" spans="3:20" x14ac:dyDescent="0.3">
      <c r="C84" s="2"/>
      <c r="D84" s="2"/>
      <c r="E84" s="2"/>
      <c r="F84" s="2"/>
      <c r="G84" s="2"/>
      <c r="H84" s="2"/>
      <c r="I84" s="2"/>
      <c r="T84" s="30"/>
    </row>
    <row r="85" spans="3:20" x14ac:dyDescent="0.3">
      <c r="C85" s="2" t="s">
        <v>5</v>
      </c>
      <c r="D85" s="2">
        <f>1</f>
        <v>1</v>
      </c>
      <c r="E85" s="2">
        <f>(1-K80)+N80*K80</f>
        <v>1.5</v>
      </c>
      <c r="F85" s="2">
        <f>1</f>
        <v>1</v>
      </c>
      <c r="G85" s="2">
        <f>(1-O80)+Q80*O80</f>
        <v>1.25</v>
      </c>
      <c r="H85" s="2">
        <f>R80</f>
        <v>2</v>
      </c>
      <c r="I85" s="2"/>
      <c r="T85" s="30"/>
    </row>
    <row r="86" spans="3:20" x14ac:dyDescent="0.3">
      <c r="C86" s="2" t="s">
        <v>4</v>
      </c>
      <c r="D86" s="2">
        <f>D85*D80</f>
        <v>0.43</v>
      </c>
      <c r="E86" s="2">
        <f>E85*E80</f>
        <v>0.34500000000000003</v>
      </c>
      <c r="F86" s="2">
        <f>F85*F80</f>
        <v>0.13</v>
      </c>
      <c r="G86" s="2">
        <f>G85*G80</f>
        <v>0.23749999999999999</v>
      </c>
      <c r="H86" s="2">
        <f>H85*H80</f>
        <v>0.04</v>
      </c>
      <c r="I86" s="7">
        <f>E86+F86+G86+H86+D86</f>
        <v>1.1825000000000001</v>
      </c>
      <c r="T86" s="30"/>
    </row>
    <row r="87" spans="3:20" x14ac:dyDescent="0.3">
      <c r="C87" s="2" t="s">
        <v>77</v>
      </c>
      <c r="D87" s="2"/>
      <c r="E87" s="2"/>
      <c r="F87" s="2"/>
      <c r="G87" s="2"/>
      <c r="H87" s="2"/>
      <c r="J87" s="7">
        <f>J80/I86*1000</f>
        <v>1353.0655391120508</v>
      </c>
      <c r="T87" s="30"/>
    </row>
    <row r="88" spans="3:20" x14ac:dyDescent="0.3">
      <c r="T88" s="30"/>
    </row>
    <row r="89" spans="3:20" x14ac:dyDescent="0.3">
      <c r="T89" s="30"/>
    </row>
    <row r="90" spans="3:20" x14ac:dyDescent="0.3">
      <c r="E90" s="26" t="s">
        <v>89</v>
      </c>
      <c r="F90" s="26"/>
      <c r="G90" s="26"/>
      <c r="H90" s="26"/>
      <c r="T90" s="30"/>
    </row>
    <row r="91" spans="3:20" x14ac:dyDescent="0.3">
      <c r="D91" s="2" t="s">
        <v>82</v>
      </c>
      <c r="E91" s="2" t="s">
        <v>83</v>
      </c>
      <c r="F91" s="2" t="s">
        <v>84</v>
      </c>
      <c r="G91" s="2"/>
      <c r="H91" s="2" t="s">
        <v>85</v>
      </c>
      <c r="I91" s="2"/>
      <c r="J91" s="2" t="s">
        <v>86</v>
      </c>
      <c r="K91" s="2"/>
      <c r="L91" s="2" t="s">
        <v>88</v>
      </c>
      <c r="M91" s="2" t="s">
        <v>96</v>
      </c>
      <c r="N91" s="2" t="s">
        <v>97</v>
      </c>
      <c r="T91" s="30"/>
    </row>
    <row r="92" spans="3:20" x14ac:dyDescent="0.3">
      <c r="D92" s="27">
        <v>0.15</v>
      </c>
      <c r="E92" s="17">
        <v>3</v>
      </c>
      <c r="F92" s="27">
        <v>0.03</v>
      </c>
      <c r="G92" s="17"/>
      <c r="H92" s="27">
        <v>0.04</v>
      </c>
      <c r="I92" s="17"/>
      <c r="J92" s="29">
        <v>120</v>
      </c>
      <c r="T92" s="30"/>
    </row>
    <row r="93" spans="3:20" x14ac:dyDescent="0.3">
      <c r="C93" s="2" t="s">
        <v>87</v>
      </c>
      <c r="F93" s="2">
        <f>F92*J92</f>
        <v>3.5999999999999996</v>
      </c>
      <c r="H93" s="2">
        <f>D92*H92*J92</f>
        <v>0.72</v>
      </c>
      <c r="L93" s="7">
        <f>E92+F93+H93</f>
        <v>7.3199999999999994</v>
      </c>
      <c r="M93" s="7">
        <f>E92+J92+D92*J92</f>
        <v>141</v>
      </c>
      <c r="N93" s="7">
        <f>M93/L93</f>
        <v>19.262295081967213</v>
      </c>
      <c r="T93" s="30"/>
    </row>
    <row r="94" spans="3:20" x14ac:dyDescent="0.3">
      <c r="C94" s="2"/>
    </row>
    <row r="97" spans="3:11" x14ac:dyDescent="0.3">
      <c r="C97" s="1"/>
    </row>
    <row r="98" spans="3:11" x14ac:dyDescent="0.3">
      <c r="C98" s="2"/>
      <c r="D98" s="2"/>
      <c r="E98" s="2"/>
      <c r="F98" s="2"/>
      <c r="G98" s="2"/>
      <c r="H98" s="2"/>
      <c r="I98" s="2"/>
      <c r="J98" s="2"/>
      <c r="K98" s="2"/>
    </row>
    <row r="99" spans="3:11" x14ac:dyDescent="0.3">
      <c r="C99" s="2"/>
      <c r="D99" s="2"/>
      <c r="E99" s="2"/>
      <c r="F99" s="2"/>
      <c r="G99" s="2"/>
      <c r="H99" s="2"/>
      <c r="I99" s="2"/>
      <c r="J99" s="2"/>
      <c r="K99" s="2"/>
    </row>
    <row r="100" spans="3:11" x14ac:dyDescent="0.3">
      <c r="C100" s="2"/>
      <c r="D100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2019-11-26T14:18:49Z</dcterms:modified>
</cp:coreProperties>
</file>