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5" i="1" l="1"/>
  <c r="D135" i="1" s="1"/>
  <c r="J132" i="1"/>
  <c r="D132" i="1" s="1"/>
  <c r="I137" i="1" l="1"/>
  <c r="J60" i="1"/>
  <c r="J59" i="1"/>
  <c r="T60" i="1"/>
  <c r="I60" i="1" s="1"/>
  <c r="T59" i="1"/>
  <c r="I59" i="1" s="1"/>
  <c r="H60" i="1"/>
  <c r="H59" i="1"/>
  <c r="T47" i="1"/>
  <c r="M46" i="1" s="1"/>
  <c r="L46" i="1"/>
  <c r="T36" i="1"/>
  <c r="T37" i="1" s="1"/>
  <c r="N35" i="1" s="1"/>
  <c r="T38" i="1" s="1"/>
  <c r="J87" i="1"/>
  <c r="L87" i="1" s="1"/>
  <c r="H82" i="1"/>
  <c r="D14" i="1"/>
  <c r="T46" i="1"/>
  <c r="T39" i="1"/>
  <c r="M59" i="1" l="1"/>
  <c r="M60" i="1"/>
  <c r="P47" i="1"/>
  <c r="T40" i="1"/>
  <c r="O35" i="1" s="1"/>
  <c r="T65" i="1"/>
  <c r="F65" i="1" s="1"/>
  <c r="F67" i="1" l="1"/>
  <c r="T54" i="1"/>
  <c r="T56" i="1" s="1"/>
  <c r="T52" i="1"/>
  <c r="G52" i="1" s="1"/>
  <c r="T51" i="1"/>
  <c r="G51" i="1" s="1"/>
  <c r="T53" i="1"/>
  <c r="T55" i="1" s="1"/>
  <c r="F27" i="1"/>
  <c r="F14" i="1"/>
  <c r="E14" i="1"/>
  <c r="H22" i="1"/>
  <c r="G22" i="1"/>
  <c r="T23" i="1" s="1"/>
  <c r="I65" i="1"/>
  <c r="T22" i="1"/>
  <c r="T14" i="1"/>
  <c r="J14" i="1" l="1"/>
  <c r="H14" i="1"/>
  <c r="I51" i="1"/>
  <c r="F22" i="1"/>
  <c r="J22" i="1"/>
  <c r="G27" i="1"/>
  <c r="F35" i="1"/>
  <c r="D35" i="1" s="1"/>
  <c r="T35" i="1" s="1"/>
  <c r="T15" i="1"/>
  <c r="K22" i="1"/>
  <c r="K14" i="1" l="1"/>
  <c r="H27" i="1"/>
  <c r="L27" i="1"/>
  <c r="O22" i="1"/>
  <c r="T27" i="1"/>
  <c r="M22" i="1" l="1"/>
  <c r="O27" i="1"/>
  <c r="G35" i="1"/>
  <c r="H120" i="1"/>
  <c r="M119" i="1"/>
  <c r="F120" i="1"/>
  <c r="L119" i="1" l="1"/>
  <c r="H112" i="1"/>
  <c r="E112" i="1"/>
  <c r="E113" i="1" s="1"/>
  <c r="G112" i="1"/>
  <c r="G113" i="1" s="1"/>
  <c r="F112" i="1"/>
  <c r="F113" i="1" s="1"/>
  <c r="H109" i="1"/>
  <c r="G109" i="1"/>
  <c r="F109" i="1"/>
  <c r="E109" i="1"/>
  <c r="D109" i="1"/>
  <c r="Q99" i="1"/>
  <c r="Q100" i="1"/>
  <c r="Q101" i="1"/>
  <c r="O99" i="1"/>
  <c r="O101" i="1"/>
  <c r="O100" i="1"/>
  <c r="M100" i="1"/>
  <c r="M99" i="1"/>
  <c r="M101" i="1"/>
  <c r="R101" i="1"/>
  <c r="R99" i="1"/>
  <c r="R100" i="1"/>
  <c r="L77" i="1"/>
  <c r="I52" i="1"/>
  <c r="F52" i="1"/>
  <c r="F51" i="1"/>
  <c r="M51" i="1" s="1"/>
  <c r="T44" i="1"/>
  <c r="M43" i="1" s="1"/>
  <c r="K46" i="1"/>
  <c r="L43" i="1"/>
  <c r="K43" i="1"/>
  <c r="T45" i="1"/>
  <c r="J92" i="1"/>
  <c r="H92" i="1"/>
  <c r="T48" i="1"/>
  <c r="K92" i="1"/>
  <c r="J93" i="1"/>
  <c r="M92" i="1"/>
  <c r="I92" i="1"/>
  <c r="P94" i="1"/>
  <c r="T43" i="1"/>
  <c r="L92" i="1"/>
  <c r="H93" i="1"/>
  <c r="N93" i="1"/>
  <c r="H94" i="1"/>
  <c r="I93" i="1"/>
  <c r="G123" i="1" l="1"/>
  <c r="G122" i="1"/>
  <c r="P44" i="1"/>
  <c r="Q46" i="1"/>
  <c r="Q43" i="1"/>
  <c r="I109" i="1"/>
  <c r="J110" i="1" s="1"/>
  <c r="M52" i="1"/>
  <c r="G65" i="1"/>
  <c r="J65" i="1" s="1"/>
  <c r="G67" i="1"/>
  <c r="J67" i="1" s="1"/>
  <c r="I67" i="1"/>
  <c r="E68" i="1" l="1"/>
  <c r="T66" i="1" s="1"/>
  <c r="H68" i="1" s="1"/>
  <c r="E69" i="1"/>
  <c r="E70" i="1"/>
  <c r="T68" i="1" s="1"/>
  <c r="H70" i="1" s="1"/>
  <c r="E71" i="1"/>
  <c r="H113" i="1"/>
  <c r="D112" i="1"/>
  <c r="D113" i="1" s="1"/>
  <c r="I107" i="1"/>
  <c r="T69" i="1" l="1"/>
  <c r="H71" i="1" s="1"/>
  <c r="T67" i="1"/>
  <c r="H69" i="1" s="1"/>
  <c r="I113" i="1"/>
  <c r="J114" i="1" s="1"/>
</calcChain>
</file>

<file path=xl/sharedStrings.xml><?xml version="1.0" encoding="utf-8"?>
<sst xmlns="http://schemas.openxmlformats.org/spreadsheetml/2006/main" count="209" uniqueCount="153">
  <si>
    <t>Branch</t>
  </si>
  <si>
    <t>Jump</t>
  </si>
  <si>
    <t>Multicycle CPI</t>
  </si>
  <si>
    <t>Sum</t>
  </si>
  <si>
    <t>Pipelined CPI</t>
  </si>
  <si>
    <t>Pipelined CC</t>
  </si>
  <si>
    <t>Input</t>
  </si>
  <si>
    <t>Tag</t>
  </si>
  <si>
    <t>Index</t>
  </si>
  <si>
    <t>Offset</t>
  </si>
  <si>
    <t>GHz</t>
  </si>
  <si>
    <t>R-type</t>
  </si>
  <si>
    <t>Loại dấu '.'</t>
  </si>
  <si>
    <t>Độ dài phần thập phân</t>
  </si>
  <si>
    <t>Số có dấu?</t>
  </si>
  <si>
    <t>Bù 1 tương ứng</t>
  </si>
  <si>
    <t>Số bit của ô nhớ</t>
  </si>
  <si>
    <t>Trash</t>
  </si>
  <si>
    <t>Bit dấu</t>
  </si>
  <si>
    <t>TÍNH SỐ LƯỢNG DÂY ĐỊA CHỈ TỐI THIỂU</t>
  </si>
  <si>
    <t>KẾT QUẢ CỦA PHÉP TOÁN</t>
  </si>
  <si>
    <t>Input 1</t>
  </si>
  <si>
    <t>x 2 ^</t>
  </si>
  <si>
    <t>Input 2</t>
  </si>
  <si>
    <t>Input 1 bằng</t>
  </si>
  <si>
    <t>Input 2 bằng</t>
  </si>
  <si>
    <t>01000101100000000000001000000000</t>
  </si>
  <si>
    <t>S</t>
  </si>
  <si>
    <t>Exponent</t>
  </si>
  <si>
    <t>Fraction</t>
  </si>
  <si>
    <t>Output</t>
  </si>
  <si>
    <t>Bias</t>
  </si>
  <si>
    <t>CHUYỂN SỐ THỰC DẤU PHẢY ĐỘNG ĐỘ CHÍNH XÁC ĐƠN/KÉP SANG THẬP PHÂN</t>
  </si>
  <si>
    <t>Đơn</t>
  </si>
  <si>
    <t>Kép</t>
  </si>
  <si>
    <t>CHUYỂN SỐ THẬP PHÂN SANG SỐ PHẢY ĐỘNG ĐỘ CHÍNH XÁC ĐƠN/KÉP</t>
  </si>
  <si>
    <t>Kích thước bộ nhớ (theo GB)</t>
  </si>
  <si>
    <t>Số lượng dây địa chỉ tối thiểu</t>
  </si>
  <si>
    <t>Số đường dây của bus dữ liệu = Kích thước của 1 slot theo bit (correct me if im wrong)</t>
  </si>
  <si>
    <t>XÁC ĐỊNH THANH GHI</t>
  </si>
  <si>
    <t>R-format</t>
  </si>
  <si>
    <t>I-format</t>
  </si>
  <si>
    <t>J-format</t>
  </si>
  <si>
    <t>rs</t>
  </si>
  <si>
    <t>rt</t>
  </si>
  <si>
    <t>rd</t>
  </si>
  <si>
    <t>shamt</t>
  </si>
  <si>
    <t>funct</t>
  </si>
  <si>
    <t>address</t>
  </si>
  <si>
    <t>op</t>
  </si>
  <si>
    <t>00000101010110011111100110000000</t>
  </si>
  <si>
    <t>offset</t>
  </si>
  <si>
    <t>Kích thước cache ánh xạ trực tiếp</t>
  </si>
  <si>
    <t>Theo byte</t>
  </si>
  <si>
    <t>Theo KB</t>
  </si>
  <si>
    <t>Theo MB</t>
  </si>
  <si>
    <t>!!!Lưu ý: Nhập đúng vào dòng của đơn vị tương ứng với đề</t>
  </si>
  <si>
    <t>Kích thước slot (theo byte)</t>
  </si>
  <si>
    <t>Thanh ghi địa chỉ (theo bit)</t>
  </si>
  <si>
    <t>Tỉ lệ</t>
  </si>
  <si>
    <t>Tham chiếu</t>
  </si>
  <si>
    <t>XÁC ĐỊNH TỈ LỆ VÀ GIÁ TRỊ CỦA CÁC PHẦN CỦA THANH GHI ĐỊA CHỈ</t>
  </si>
  <si>
    <t>TÍNH CHỈ SỐ TRIỆU LỆNH TRÊN GIÂY/MIPS</t>
  </si>
  <si>
    <t>Tập lệnh</t>
  </si>
  <si>
    <t>Đọc</t>
  </si>
  <si>
    <t>Ghi</t>
  </si>
  <si>
    <t>Triệu lệnh trên giây</t>
  </si>
  <si>
    <t>Đọc có hiện tượng phụ thuộc dữ liệu</t>
  </si>
  <si>
    <t>Tốn cycle</t>
  </si>
  <si>
    <t>Rẽ nhánh dự đoán sai</t>
  </si>
  <si>
    <t>Nhảy không điều kiện</t>
  </si>
  <si>
    <t>lw và sw</t>
  </si>
  <si>
    <t>CPI lý tưởng</t>
  </si>
  <si>
    <t>Tỉ lệ miss của I-cache</t>
  </si>
  <si>
    <t>Tỉ lệ lỗi của D-cache</t>
  </si>
  <si>
    <t>Chi phí mỗi lần miss</t>
  </si>
  <si>
    <t>Số chu kỳ miss/lệnh</t>
  </si>
  <si>
    <t>CPI thực</t>
  </si>
  <si>
    <t>* HƯỚNG DẪN SỬ DỤNG:</t>
  </si>
  <si>
    <r>
      <t xml:space="preserve">- </t>
    </r>
    <r>
      <rPr>
        <sz val="11"/>
        <color rgb="FF00B050"/>
        <rFont val="Calibri"/>
        <family val="2"/>
        <scheme val="minor"/>
      </rPr>
      <t>Số màu xanh</t>
    </r>
    <r>
      <rPr>
        <sz val="11"/>
        <color theme="1"/>
        <rFont val="Calibri"/>
        <family val="2"/>
        <scheme val="minor"/>
      </rPr>
      <t xml:space="preserve"> là dữ liệu đầu vào cần nhập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</si>
  <si>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Số màu đỏ</t>
    </r>
    <r>
      <rPr>
        <sz val="11"/>
        <color theme="1"/>
        <rFont val="Calibri"/>
        <family val="2"/>
        <scheme val="minor"/>
      </rPr>
      <t xml:space="preserve"> là kết quả</t>
    </r>
  </si>
  <si>
    <t>- Cấu hình khuyên dùng: Excel 2016, ở bản khác một số công thức có thể không dùng được</t>
  </si>
  <si>
    <t>- Mọi ý kiến đóng góp xin liên hệ https://www.facebook.com/newluminous</t>
  </si>
  <si>
    <t>CPI khi không có cache</t>
  </si>
  <si>
    <t>Số lần có cache nhanh hơn không có cache</t>
  </si>
  <si>
    <t>- Để lấy kết quả thì chỉ cần Ctrl+C ở ô kết quả và Ctrl+V ở các ô dạng điền là được chứ không cần nhìn theo rồi gõ</t>
  </si>
  <si>
    <t>!Input</t>
  </si>
  <si>
    <t>Bù 1</t>
  </si>
  <si>
    <t>Bù 2</t>
  </si>
  <si>
    <t>SBM/chuẩn bit dấu</t>
  </si>
  <si>
    <t>Bằng</t>
  </si>
  <si>
    <t>/2^</t>
  </si>
  <si>
    <t>Abs(Input)</t>
  </si>
  <si>
    <t>Tràn số?</t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</si>
  <si>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KHÔNG NÓI CHUẨN GÌ)</t>
    </r>
  </si>
  <si>
    <r>
      <t xml:space="preserve">CHUYỂN SỐ TRONG HỆ </t>
    </r>
    <r>
      <rPr>
        <b/>
        <sz val="11"/>
        <color rgb="FF7030A0"/>
        <rFont val="Calibri"/>
        <family val="2"/>
        <scheme val="minor"/>
      </rPr>
      <t>NHỊ PHÂN</t>
    </r>
    <r>
      <rPr>
        <b/>
        <sz val="11"/>
        <color theme="8"/>
        <rFont val="Calibri"/>
        <family val="2"/>
        <scheme val="minor"/>
      </rPr>
      <t xml:space="preserve"> SANG HỆ 10 (ĐỀ NÓI RÕ CHUẨN)</t>
    </r>
  </si>
  <si>
    <t>Kết quả</t>
  </si>
  <si>
    <t>- Nếu đề bảo số sử dụng x bit cao chứa phần nguyên thì thêm dấu '.' vào sau bit thứ x của đầu vào từ trái sang</t>
  </si>
  <si>
    <t>- Dữ liệu đầu vào không được có dấu '-' đằng trước</t>
  </si>
  <si>
    <t>!!!Lưu ý:</t>
  </si>
  <si>
    <t>=</t>
  </si>
  <si>
    <t>Input1 + Input2</t>
  </si>
  <si>
    <t>Input1 - Input 2</t>
  </si>
  <si>
    <t>Input1 * Input2</t>
  </si>
  <si>
    <t>Input1 / Input2</t>
  </si>
  <si>
    <t>!!!Lưu ý: Chỉ xài cho hai input là số không âm, nhỡ may có số âm thì linh hoạt đổi dấu vậy =)))))))</t>
  </si>
  <si>
    <t>00000101011010010011101110011000</t>
  </si>
  <si>
    <t>- Còn lại thì nhập như số trong đề</t>
  </si>
  <si>
    <r>
      <t xml:space="preserve">BIỂU DIỄN SỐ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rgb="FF0070C0"/>
        <rFont val="Calibri"/>
        <family val="2"/>
        <scheme val="minor"/>
      </rPr>
      <t xml:space="preserve"> SANG HỆ NHỊ PHÂN BẰNG </t>
    </r>
    <r>
      <rPr>
        <b/>
        <sz val="11"/>
        <color rgb="FF7030A0"/>
        <rFont val="Calibri"/>
        <family val="2"/>
        <scheme val="minor"/>
      </rPr>
      <t>DẤU PHẨY ĐỘNG ĐƯỢC CHUẨN HÓA HOẶC DẤU PHẨY TĨNH</t>
    </r>
  </si>
  <si>
    <r>
      <t xml:space="preserve">CHUYỂN SỐ </t>
    </r>
    <r>
      <rPr>
        <b/>
        <sz val="11"/>
        <color rgb="FF7030A0"/>
        <rFont val="Calibri"/>
        <family val="2"/>
        <scheme val="minor"/>
      </rPr>
      <t>NGUYÊN</t>
    </r>
    <r>
      <rPr>
        <b/>
        <sz val="11"/>
        <color theme="8"/>
        <rFont val="Calibri"/>
        <family val="2"/>
        <scheme val="minor"/>
      </rPr>
      <t xml:space="preserve"> TRONG HỆ </t>
    </r>
    <r>
      <rPr>
        <b/>
        <sz val="11"/>
        <color rgb="FF7030A0"/>
        <rFont val="Calibri"/>
        <family val="2"/>
        <scheme val="minor"/>
      </rPr>
      <t>10</t>
    </r>
    <r>
      <rPr>
        <b/>
        <sz val="11"/>
        <color theme="8"/>
        <rFont val="Calibri"/>
        <family val="2"/>
        <scheme val="minor"/>
      </rPr>
      <t xml:space="preserve"> SANG HỆ NHỊ PHÂN TRONG </t>
    </r>
    <r>
      <rPr>
        <b/>
        <sz val="11"/>
        <color rgb="FF7030A0"/>
        <rFont val="Calibri"/>
        <family val="2"/>
        <scheme val="minor"/>
      </rPr>
      <t>Ô NHỚ</t>
    </r>
    <r>
      <rPr>
        <b/>
        <sz val="11"/>
        <color theme="8"/>
        <rFont val="Calibri"/>
        <family val="2"/>
        <scheme val="minor"/>
      </rPr>
      <t xml:space="preserve"> N-BIT</t>
    </r>
  </si>
  <si>
    <t>Dấu phẩy động được chuẩn hóa</t>
  </si>
  <si>
    <t>Dấu phẩy tĩnh</t>
  </si>
  <si>
    <t>=&gt;</t>
  </si>
  <si>
    <t>XÁC ĐỊNH TỐC ĐỘ TRUYỀN DỮ LIỆU CỦA BUS</t>
  </si>
  <si>
    <t>Số lượng dây của BUS dữ liệu</t>
  </si>
  <si>
    <t>Số chu kỳ mỗi thao tác</t>
  </si>
  <si>
    <t>Tần số của BUS (Theo MHz)</t>
  </si>
  <si>
    <t>Số lần truyền/giây</t>
  </si>
  <si>
    <t>Đơn vị kết quả</t>
  </si>
  <si>
    <t>MB/s</t>
  </si>
  <si>
    <t>- Nếu Ctrl+V riêng mấy dãy bit dài dài trực tiếp vào ô trang tính mà bị Excel format thì Ctrl+V vào thanh công thức phía trên</t>
  </si>
  <si>
    <t>Số bit thấp chứa thập phân</t>
  </si>
  <si>
    <t>Số bit cao chứa nguyên</t>
  </si>
  <si>
    <t>!!!Lưu ý: Nếu đề không bảo định dạng dấu phẩy tĩnh bao nhiêu bit thì phần số bit cao chứa phần nguyên phải để trống</t>
  </si>
  <si>
    <t>1.011111</t>
  </si>
  <si>
    <t>1.001</t>
  </si>
  <si>
    <t>111010111001.1011</t>
  </si>
  <si>
    <t>TÍNH SỐ LƯỢNG DÂY LỰA CHỌN TỐI THIỂU/CHO N, XÁC ĐỊNH GIÁ TRỊ TỐI THIỂU CỦA K</t>
  </si>
  <si>
    <t>Số đầu vào (N)</t>
  </si>
  <si>
    <t>Kết quả (K)</t>
  </si>
  <si>
    <t>1000000000110100</t>
  </si>
  <si>
    <t>0011101011011011010000000000000000000000000000000000000000000000</t>
  </si>
  <si>
    <t>CHUYỂN SỐ NHỊ PHÂN SANG SỐ PHẨY ĐỘNG ĐỘ CHÍNH XÁC ĐƠN/KÉP</t>
  </si>
  <si>
    <t>Số dương?</t>
  </si>
  <si>
    <t>- Đề bảo số có dấu 89 thì phải nhập vào Input là -89 chứ không phải 89, còn bảo số có dấu -89 thì phải nhập vào Input là 89.That's cú lừa</t>
  </si>
  <si>
    <t>!!!Lưu ý: Nếu trong đề không có phương án A, B, C, D giống kết quả tức là sai đề, trừ kết quả đi 3 để được dấu tích xanh :v</t>
  </si>
  <si>
    <t>HỆ THỐNG 1 MỨC CACHE</t>
  </si>
  <si>
    <t>Số lần hệ thống thực chậm hơn trường hợp lý tưởng</t>
  </si>
  <si>
    <t>HỆ THỐNG 2 MỨC CACHE</t>
  </si>
  <si>
    <t>Tần số đồng hồ(Theo GHz)</t>
  </si>
  <si>
    <t>Tỉ lệ miss của cache mức 1</t>
  </si>
  <si>
    <t>Thời gian truy cập RAM</t>
  </si>
  <si>
    <t>Thời gian truy cập cache mức 2</t>
  </si>
  <si>
    <t>Tỉ lệ miss toàn cục</t>
  </si>
  <si>
    <t>Chi phí xử lý</t>
  </si>
  <si>
    <t>Chỉ với cache đầu</t>
  </si>
  <si>
    <t>Effective CPI</t>
  </si>
  <si>
    <t>Thêm L-2 cache</t>
  </si>
  <si>
    <t>Cache đầu miss, L-2 hit</t>
  </si>
  <si>
    <t>CPI toàn cục</t>
  </si>
  <si>
    <t>Số lần tốc độ tăng khi có 2 mức cache so với trường hợp chỉ có cache mức 1 =</t>
  </si>
  <si>
    <t>!!!Lưu ý: Kết quả ra có dạng a.b(ví dụ 3.9) mà đề bảo làm tròn đến 2 số thập phân thì điền vào ô đáp án là a.b(3.9) chứ không phải a.b0(3.90)</t>
  </si>
  <si>
    <t>!!!Lưu ý: Nhiều câu hỏi "số lần có cache nhanh hơn không có cache" phải điền giống "số lần hệ thống thực chậm hơn trường hợp lý tưởng" mới đúng !!!???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</si>
</sst>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2" fillId="0" borderId="0" xfId="0" applyFont="1"/>
    <xf numFmtId="0" fontId="2" fillId="0" borderId="0" xfId="0" applyNumberFormat="1" applyFont="1"/>
    <xf numFmtId="9" fontId="2" fillId="0" borderId="0" xfId="0" applyNumberFormat="1" applyFont="1"/>
    <xf numFmtId="0" fontId="2" fillId="0" borderId="0" xfId="0" quotePrefix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2" fillId="0" borderId="0" xfId="0" applyNumberFormat="1" applyFont="1"/>
    <xf numFmtId="0" fontId="6" fillId="0" borderId="0" xfId="0" applyNumberFormat="1" applyFont="1"/>
    <xf numFmtId="0" fontId="4" fillId="0" borderId="0" xfId="0" applyNumberFormat="1" applyFont="1"/>
    <xf numFmtId="49" fontId="3" fillId="0" borderId="0" xfId="0" quotePrefix="1" applyNumberFormat="1" applyFont="1"/>
    <xf numFmtId="49" fontId="8" fillId="0" borderId="0" xfId="0" quotePrefix="1" applyNumberFormat="1" applyFont="1"/>
    <xf numFmtId="0" fontId="6" fillId="0" borderId="0" xfId="0" applyFont="1"/>
    <xf numFmtId="0" fontId="8" fillId="0" borderId="0" xfId="0" applyFont="1"/>
    <xf numFmtId="0" fontId="3" fillId="0" borderId="0" xfId="0" quotePrefix="1" applyFont="1"/>
    <xf numFmtId="0" fontId="7" fillId="0" borderId="0" xfId="0" applyFont="1"/>
    <xf numFmtId="0" fontId="5" fillId="0" borderId="0" xfId="0" applyNumberFormat="1" applyFont="1"/>
    <xf numFmtId="49" fontId="6" fillId="0" borderId="0" xfId="0" quotePrefix="1" applyNumberFormat="1" applyFont="1"/>
    <xf numFmtId="0" fontId="6" fillId="0" borderId="0" xfId="0" quotePrefix="1" applyFont="1"/>
    <xf numFmtId="0" fontId="8" fillId="0" borderId="0" xfId="0" quotePrefix="1" applyFont="1"/>
    <xf numFmtId="49" fontId="8" fillId="0" borderId="0" xfId="0" applyNumberFormat="1" applyFont="1"/>
    <xf numFmtId="0" fontId="9" fillId="0" borderId="0" xfId="0" applyFont="1"/>
    <xf numFmtId="0" fontId="10" fillId="0" borderId="0" xfId="0" applyFont="1"/>
    <xf numFmtId="9" fontId="8" fillId="0" borderId="0" xfId="0" applyNumberFormat="1" applyFont="1"/>
    <xf numFmtId="9" fontId="8" fillId="0" borderId="0" xfId="1" applyFont="1"/>
    <xf numFmtId="0" fontId="8" fillId="0" borderId="0" xfId="0" applyNumberFormat="1" applyFont="1"/>
    <xf numFmtId="0" fontId="11" fillId="0" borderId="0" xfId="0" applyFont="1"/>
    <xf numFmtId="0" fontId="0" fillId="0" borderId="0" xfId="0" quotePrefix="1"/>
    <xf numFmtId="0" fontId="11" fillId="0" borderId="0" xfId="0" quotePrefix="1" applyFont="1"/>
    <xf numFmtId="0" fontId="14" fillId="0" borderId="0" xfId="0" applyFont="1"/>
    <xf numFmtId="0" fontId="13" fillId="0" borderId="0" xfId="0" applyNumberFormat="1" applyFont="1"/>
    <xf numFmtId="0" fontId="13" fillId="0" borderId="0" xfId="0" applyFont="1"/>
    <xf numFmtId="0" fontId="15" fillId="0" borderId="0" xfId="0" applyNumberFormat="1" applyFont="1"/>
    <xf numFmtId="10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38"/>
  <sheetViews>
    <sheetView tabSelected="1" topLeftCell="A103" workbookViewId="0">
      <selection activeCell="C124" sqref="C124"/>
    </sheetView>
  </sheetViews>
  <sheetFormatPr defaultRowHeight="14.4" x14ac:dyDescent="0.3"/>
  <cols>
    <col min="3" max="3" width="17.33203125" customWidth="1"/>
    <col min="4" max="4" width="10.88671875" customWidth="1"/>
    <col min="5" max="5" width="12.109375" customWidth="1"/>
    <col min="6" max="6" width="10.5546875" customWidth="1"/>
    <col min="7" max="7" width="9.6640625" customWidth="1"/>
    <col min="8" max="8" width="9.44140625" customWidth="1"/>
    <col min="9" max="9" width="11.6640625" bestFit="1" customWidth="1"/>
    <col min="10" max="10" width="9.5546875" customWidth="1"/>
    <col min="11" max="11" width="13.44140625" customWidth="1"/>
    <col min="12" max="12" width="13.21875" customWidth="1"/>
    <col min="13" max="13" width="22.88671875" customWidth="1"/>
    <col min="15" max="15" width="10.33203125" customWidth="1"/>
    <col min="16" max="16" width="12" bestFit="1" customWidth="1"/>
    <col min="20" max="20" width="12" bestFit="1" customWidth="1"/>
  </cols>
  <sheetData>
    <row r="1" spans="3:20" x14ac:dyDescent="0.3">
      <c r="T1" s="30"/>
    </row>
    <row r="2" spans="3:20" x14ac:dyDescent="0.3">
      <c r="T2" s="30"/>
    </row>
    <row r="3" spans="3:20" x14ac:dyDescent="0.3">
      <c r="C3" t="s">
        <v>78</v>
      </c>
      <c r="T3" s="30"/>
    </row>
    <row r="4" spans="3:20" x14ac:dyDescent="0.3">
      <c r="C4" s="31" t="s">
        <v>81</v>
      </c>
      <c r="T4" s="30"/>
    </row>
    <row r="5" spans="3:20" x14ac:dyDescent="0.3">
      <c r="C5" s="31" t="s">
        <v>79</v>
      </c>
      <c r="T5" s="30"/>
    </row>
    <row r="6" spans="3:20" x14ac:dyDescent="0.3">
      <c r="C6" s="31" t="s">
        <v>80</v>
      </c>
      <c r="T6" s="30"/>
    </row>
    <row r="7" spans="3:20" x14ac:dyDescent="0.3">
      <c r="C7" s="18" t="s">
        <v>120</v>
      </c>
      <c r="D7" s="8"/>
      <c r="E7" s="8"/>
      <c r="T7" s="30"/>
    </row>
    <row r="8" spans="3:20" x14ac:dyDescent="0.3">
      <c r="C8" s="18" t="s">
        <v>85</v>
      </c>
      <c r="D8" s="8"/>
      <c r="E8" s="8"/>
      <c r="T8" s="30"/>
    </row>
    <row r="9" spans="3:20" x14ac:dyDescent="0.3">
      <c r="C9" s="32" t="s">
        <v>82</v>
      </c>
      <c r="D9" s="30"/>
      <c r="E9" s="30"/>
      <c r="F9" s="30"/>
      <c r="G9" s="30"/>
      <c r="H9" s="30"/>
      <c r="T9" s="30"/>
    </row>
    <row r="10" spans="3:20" x14ac:dyDescent="0.3">
      <c r="T10" s="30"/>
    </row>
    <row r="11" spans="3:20" x14ac:dyDescent="0.3">
      <c r="T11" s="30"/>
    </row>
    <row r="12" spans="3:20" x14ac:dyDescent="0.3">
      <c r="E12" s="9" t="s">
        <v>94</v>
      </c>
      <c r="F12" s="9"/>
      <c r="G12" s="9"/>
      <c r="H12" s="9"/>
      <c r="T12" s="30"/>
    </row>
    <row r="13" spans="3:20" x14ac:dyDescent="0.3">
      <c r="C13" s="5" t="s">
        <v>6</v>
      </c>
      <c r="D13" s="2" t="s">
        <v>18</v>
      </c>
      <c r="E13" s="2" t="s">
        <v>12</v>
      </c>
      <c r="F13" s="2" t="s">
        <v>13</v>
      </c>
      <c r="G13" s="5"/>
      <c r="H13" s="2" t="s">
        <v>15</v>
      </c>
      <c r="J13" s="2" t="s">
        <v>133</v>
      </c>
      <c r="K13" s="2" t="s">
        <v>14</v>
      </c>
      <c r="L13" s="2"/>
      <c r="T13" s="33" t="s">
        <v>17</v>
      </c>
    </row>
    <row r="14" spans="3:20" x14ac:dyDescent="0.3">
      <c r="C14" s="15" t="s">
        <v>126</v>
      </c>
      <c r="D14" s="2" t="str">
        <f>MID(C14,1,1)</f>
        <v>1</v>
      </c>
      <c r="E14" s="2" t="str">
        <f>SUBSTITUTE(C14,".","")</f>
        <v>1110101110011011</v>
      </c>
      <c r="F14" s="3">
        <f>IF(ISNUMBER(SEARCH(".",C14)),LEN(C14)-FIND(".",C14),0)</f>
        <v>4</v>
      </c>
      <c r="G14" s="6"/>
      <c r="H14" s="12" t="str">
        <f>SUBSTITUTE(SUBSTITUTE(SUBSTITUTE(E14,"0","*"),"1","0"),"*","1")</f>
        <v>0001010001100100</v>
      </c>
      <c r="J14" s="7">
        <f ca="1">T14</f>
        <v>3769.6875</v>
      </c>
      <c r="K14" s="7">
        <f ca="1">IF(D14="0",T14,T15)</f>
        <v>-326.3125</v>
      </c>
      <c r="N14" s="10"/>
      <c r="T14" s="36">
        <f ca="1">SUMPRODUCT(--MID(E14,LEN(E14)+1-ROW(INDIRECT("1:"&amp;LEN(E14))),1),(2^(ROW(INDIRECT("1:"&amp;LEN(E14)))-1)))/(2^F14)</f>
        <v>3769.6875</v>
      </c>
    </row>
    <row r="15" spans="3:20" x14ac:dyDescent="0.3">
      <c r="C15" s="14" t="s">
        <v>99</v>
      </c>
      <c r="D15" s="2"/>
      <c r="E15" s="3"/>
      <c r="F15" s="6"/>
      <c r="G15" s="12"/>
      <c r="I15" s="13"/>
      <c r="K15" s="13"/>
      <c r="N15" s="10"/>
      <c r="T15" s="36">
        <f ca="1">-(SUMPRODUCT(--MID(H14,LEN(H14)+1-ROW(INDIRECT("1:"&amp;LEN(H14))),1),(2^(ROW(INDIRECT("1:"&amp;LEN(H14)))-1)))+1)/(2^F14)</f>
        <v>-326.3125</v>
      </c>
    </row>
    <row r="16" spans="3:20" x14ac:dyDescent="0.3">
      <c r="C16" s="14" t="s">
        <v>98</v>
      </c>
      <c r="D16" s="2"/>
      <c r="E16" s="3"/>
      <c r="F16" s="6"/>
      <c r="G16" s="12"/>
      <c r="I16" s="13"/>
      <c r="K16" s="13"/>
      <c r="N16" s="10"/>
      <c r="T16" s="36"/>
    </row>
    <row r="17" spans="3:20" x14ac:dyDescent="0.3">
      <c r="C17" s="14" t="s">
        <v>97</v>
      </c>
      <c r="D17" s="2"/>
      <c r="E17" s="3"/>
      <c r="F17" s="6"/>
      <c r="G17" s="12"/>
      <c r="I17" s="13"/>
      <c r="K17" s="13"/>
      <c r="N17" s="10"/>
      <c r="T17" s="36"/>
    </row>
    <row r="18" spans="3:20" x14ac:dyDescent="0.3">
      <c r="C18" s="15"/>
      <c r="D18" s="2"/>
      <c r="E18" s="3"/>
      <c r="F18" s="6"/>
      <c r="G18" s="12"/>
      <c r="I18" s="13"/>
      <c r="K18" s="13"/>
      <c r="N18" s="10"/>
      <c r="T18" s="30"/>
    </row>
    <row r="19" spans="3:20" x14ac:dyDescent="0.3">
      <c r="C19" s="15"/>
      <c r="D19" s="2"/>
      <c r="E19" s="3"/>
      <c r="F19" s="6"/>
      <c r="G19" s="12"/>
      <c r="I19" s="13"/>
      <c r="K19" s="13"/>
      <c r="N19" s="10"/>
      <c r="T19" s="30"/>
    </row>
    <row r="20" spans="3:20" x14ac:dyDescent="0.3">
      <c r="C20" s="15"/>
      <c r="D20" s="2"/>
      <c r="E20" s="20" t="s">
        <v>95</v>
      </c>
      <c r="F20" s="6"/>
      <c r="G20" s="12"/>
      <c r="I20" s="13"/>
      <c r="K20" s="13"/>
      <c r="N20" s="10"/>
      <c r="T20" s="30"/>
    </row>
    <row r="21" spans="3:20" x14ac:dyDescent="0.3">
      <c r="C21" s="21" t="s">
        <v>6</v>
      </c>
      <c r="D21" s="2"/>
      <c r="E21" s="20"/>
      <c r="F21" s="2" t="s">
        <v>18</v>
      </c>
      <c r="G21" s="2" t="s">
        <v>12</v>
      </c>
      <c r="H21" s="2" t="s">
        <v>13</v>
      </c>
      <c r="J21" s="2" t="s">
        <v>86</v>
      </c>
      <c r="K21" s="3" t="s">
        <v>87</v>
      </c>
      <c r="M21" s="2" t="s">
        <v>88</v>
      </c>
      <c r="O21" s="11" t="s">
        <v>89</v>
      </c>
      <c r="R21" s="2"/>
      <c r="T21" s="33" t="s">
        <v>17</v>
      </c>
    </row>
    <row r="22" spans="3:20" x14ac:dyDescent="0.3">
      <c r="C22" s="15" t="s">
        <v>130</v>
      </c>
      <c r="D22" s="2"/>
      <c r="E22" s="20"/>
      <c r="F22" s="2" t="str">
        <f>MID(G22,1,1)</f>
        <v>1</v>
      </c>
      <c r="G22" s="2" t="str">
        <f>SUBSTITUTE(C22,".","")</f>
        <v>1000000000110100</v>
      </c>
      <c r="H22" s="16">
        <f>IF(ISNUMBER(SEARCH(".",C22)),LEN(C22)-FIND(".",C22),0)</f>
        <v>0</v>
      </c>
      <c r="J22" s="16" t="str">
        <f>SUBSTITUTE(SUBSTITUTE(SUBSTITUTE(G22,"0","*"),"1","0"),"*","1")</f>
        <v>0111111111001011</v>
      </c>
      <c r="K22" s="13">
        <f ca="1">IF(F22="0",T22,-SUMPRODUCT(--MID(J22,LEN(J22)+1-ROW(INDIRECT("1:"&amp;LEN(J22))),1),(2^(ROW(INDIRECT("1:"&amp;LEN(J22)))-1))))/2^(H22)</f>
        <v>-32715</v>
      </c>
      <c r="M22" s="7">
        <f ca="1">IF(F22="0",T22,-(-K22*2^(H22)+1))/2^(H22)</f>
        <v>-32716</v>
      </c>
      <c r="O22" s="7">
        <f ca="1">IF(F22="0",T22,-SUMPRODUCT(--MID(T23,LEN(T23)+1-ROW(INDIRECT("1:"&amp;LEN(T23))),1),(2^(ROW(INDIRECT("1:"&amp;LEN(T23)))-1))))/2^(H22)</f>
        <v>-52</v>
      </c>
      <c r="T22" s="34">
        <f ca="1">SUMPRODUCT(--MID(G22,LEN(G22)+1-ROW(INDIRECT("1:"&amp;LEN(G22))),1),(2^(ROW(INDIRECT("1:"&amp;LEN(G22)))-1)))</f>
        <v>32820</v>
      </c>
    </row>
    <row r="23" spans="3:20" x14ac:dyDescent="0.3">
      <c r="C23" s="8"/>
      <c r="D23" s="8"/>
      <c r="E23" s="7"/>
      <c r="F23" s="8"/>
      <c r="G23" s="7"/>
      <c r="I23" s="7"/>
      <c r="K23" s="10"/>
      <c r="T23" s="35" t="str">
        <f>0&amp;MID(G22,2,LEN(G22)-1)</f>
        <v>0000000000110100</v>
      </c>
    </row>
    <row r="24" spans="3:20" x14ac:dyDescent="0.3">
      <c r="T24" s="30"/>
    </row>
    <row r="25" spans="3:20" x14ac:dyDescent="0.3">
      <c r="E25" s="9" t="s">
        <v>109</v>
      </c>
      <c r="F25" s="9"/>
      <c r="G25" s="9"/>
      <c r="H25" s="9"/>
      <c r="T25" s="35"/>
    </row>
    <row r="26" spans="3:20" x14ac:dyDescent="0.3">
      <c r="C26" s="2" t="s">
        <v>6</v>
      </c>
      <c r="D26" s="2" t="s">
        <v>16</v>
      </c>
      <c r="E26" s="2"/>
      <c r="F26" s="2" t="s">
        <v>92</v>
      </c>
      <c r="G26" s="2" t="s">
        <v>93</v>
      </c>
      <c r="H26" s="2" t="s">
        <v>89</v>
      </c>
      <c r="I26" s="2"/>
      <c r="J26" s="2"/>
      <c r="L26" s="2" t="s">
        <v>87</v>
      </c>
      <c r="N26" s="2"/>
      <c r="O26" s="2" t="s">
        <v>88</v>
      </c>
      <c r="R26" s="2"/>
      <c r="T26" s="33" t="s">
        <v>17</v>
      </c>
    </row>
    <row r="27" spans="3:20" x14ac:dyDescent="0.3">
      <c r="C27" s="17">
        <v>-52</v>
      </c>
      <c r="D27" s="17">
        <v>8</v>
      </c>
      <c r="E27" s="7"/>
      <c r="F27" s="16" t="str">
        <f>RIGHT(DEC2BIN(MOD(QUOTIENT(ABS(C27),256^3),256),8)&amp;DEC2BIN(MOD(QUOTIENT(ABS(C27),256^2),256),8)&amp;DEC2BIN(MOD(QUOTIENT(ABS(C27),256^1),256),8)&amp;DEC2BIN(MOD(QUOTIENT(ABS(C27),256^0),256),8),D27)</f>
        <v>00110100</v>
      </c>
      <c r="G27" s="7" t="str">
        <f>IF(OR(C27&lt;(-(2^(D27-1))),C27&gt;=(2^(D27-1))),"tràn số","")</f>
        <v/>
      </c>
      <c r="H27" s="7" t="str">
        <f>IF(LEN(G27)&gt;0,"",IF(C27&lt;0,REPLACE(F27,1,1,"1"),F27))</f>
        <v>10110100</v>
      </c>
      <c r="I27" s="7"/>
      <c r="J27" s="7"/>
      <c r="L27" s="7" t="str">
        <f>IF(LEN(G27)&gt;0,"",IF(C27&lt;0,SUBSTITUTE(SUBSTITUTE(SUBSTITUTE(F27,"0","*"),"1","0"),"*","1"),F27))</f>
        <v>11001011</v>
      </c>
      <c r="O27" s="7" t="str">
        <f ca="1">IF(C27&lt;0,IF(LEN(G27)&gt;0,"",RIGHT(DEC2BIN(MOD(QUOTIENT(T27,256^3),256),8)&amp;DEC2BIN(MOD(QUOTIENT(T27,256^2),256),8)&amp;DEC2BIN(MOD(QUOTIENT(T27,256^1),256),8)&amp;DEC2BIN(MOD(QUOTIENT(T27,256^0),256),8),D27)),F27)</f>
        <v>11001100</v>
      </c>
      <c r="T27" s="33">
        <f ca="1">SUMPRODUCT(--MID(L27,LEN(L27)+1-ROW(INDIRECT("1:"&amp;LEN(L27))),1),(2^(ROW(INDIRECT("1:"&amp;LEN(L27)))-1)))+1</f>
        <v>204</v>
      </c>
    </row>
    <row r="28" spans="3:20" x14ac:dyDescent="0.3">
      <c r="C28" s="8" t="s">
        <v>99</v>
      </c>
      <c r="D28" s="17"/>
      <c r="E28" s="7"/>
      <c r="F28" s="7"/>
      <c r="G28" s="7"/>
      <c r="H28" s="7"/>
      <c r="I28" s="7"/>
      <c r="J28" s="7"/>
      <c r="K28" s="7"/>
      <c r="L28" s="7"/>
      <c r="M28" s="7"/>
      <c r="N28" s="7"/>
      <c r="P28" s="7"/>
      <c r="T28" s="33"/>
    </row>
    <row r="29" spans="3:20" x14ac:dyDescent="0.3">
      <c r="C29" s="18" t="s">
        <v>134</v>
      </c>
      <c r="D29" s="17"/>
      <c r="E29" s="7"/>
      <c r="F29" s="7"/>
      <c r="G29" s="7"/>
      <c r="H29" s="7"/>
      <c r="I29" s="7"/>
      <c r="J29" s="7"/>
      <c r="K29" s="7"/>
      <c r="L29" s="7"/>
      <c r="M29" s="7"/>
      <c r="N29" s="7"/>
      <c r="P29" s="7"/>
      <c r="T29" s="33"/>
    </row>
    <row r="30" spans="3:20" x14ac:dyDescent="0.3">
      <c r="C30" s="18" t="s">
        <v>107</v>
      </c>
      <c r="D30" s="17"/>
      <c r="E30" s="7"/>
      <c r="F30" s="7"/>
      <c r="G30" s="7"/>
      <c r="H30" s="7"/>
      <c r="I30" s="7"/>
      <c r="J30" s="7"/>
      <c r="K30" s="7"/>
      <c r="L30" s="7"/>
      <c r="M30" s="7"/>
      <c r="N30" s="7"/>
      <c r="P30" s="7"/>
      <c r="T30" s="33"/>
    </row>
    <row r="31" spans="3:20" x14ac:dyDescent="0.3">
      <c r="C31" s="17"/>
      <c r="D31" s="17"/>
      <c r="E31" s="7"/>
      <c r="F31" s="7"/>
      <c r="G31" s="7"/>
      <c r="H31" s="7"/>
      <c r="I31" s="7"/>
      <c r="J31" s="7"/>
      <c r="K31" s="7"/>
      <c r="L31" s="7"/>
      <c r="M31" s="7"/>
      <c r="N31" s="7"/>
      <c r="P31" s="7"/>
      <c r="T31" s="33"/>
    </row>
    <row r="32" spans="3:20" x14ac:dyDescent="0.3">
      <c r="C32" s="17"/>
      <c r="D32" s="17"/>
      <c r="E32" s="7"/>
      <c r="F32" s="7"/>
      <c r="G32" s="7"/>
      <c r="H32" s="7"/>
      <c r="I32" s="7"/>
      <c r="J32" s="7"/>
      <c r="K32" s="7"/>
      <c r="L32" s="7"/>
      <c r="M32" s="7"/>
      <c r="N32" s="7"/>
      <c r="P32" s="7"/>
      <c r="T32" s="33"/>
    </row>
    <row r="33" spans="3:22" x14ac:dyDescent="0.3">
      <c r="C33" s="2"/>
      <c r="D33" s="17"/>
      <c r="E33" s="26" t="s">
        <v>108</v>
      </c>
      <c r="F33" s="7"/>
      <c r="G33" s="7"/>
      <c r="H33" s="7"/>
      <c r="I33" s="7"/>
      <c r="J33" s="7"/>
      <c r="K33" s="7"/>
      <c r="L33" s="7"/>
      <c r="M33" s="7"/>
      <c r="N33" s="7"/>
      <c r="P33" s="7"/>
      <c r="T33" s="35"/>
    </row>
    <row r="34" spans="3:22" x14ac:dyDescent="0.3">
      <c r="C34" s="16" t="s">
        <v>6</v>
      </c>
      <c r="D34" s="2" t="s">
        <v>90</v>
      </c>
      <c r="E34" s="17"/>
      <c r="F34" s="7"/>
      <c r="G34" s="16" t="s">
        <v>110</v>
      </c>
      <c r="H34" s="7"/>
      <c r="I34" s="7"/>
      <c r="J34" s="2" t="s">
        <v>122</v>
      </c>
      <c r="L34" s="16" t="s">
        <v>121</v>
      </c>
      <c r="M34" s="7"/>
      <c r="N34" s="16" t="s">
        <v>92</v>
      </c>
      <c r="O34" s="16" t="s">
        <v>111</v>
      </c>
      <c r="P34" s="7"/>
      <c r="T34" s="33" t="s">
        <v>17</v>
      </c>
    </row>
    <row r="35" spans="3:22" x14ac:dyDescent="0.3">
      <c r="C35" s="17">
        <v>-18.87</v>
      </c>
      <c r="D35" s="2">
        <f>C35*(2^F35)</f>
        <v>-75.48</v>
      </c>
      <c r="E35" s="2" t="s">
        <v>91</v>
      </c>
      <c r="F35" s="2">
        <f>IF(ISNUMBER(SEARCH(".",C35)),LEN(C35)-SEARCH(".",C35),0)</f>
        <v>2</v>
      </c>
      <c r="G35" s="7" t="str">
        <f>IF(D35=0,"0 x 2^(0)",IF(D35&lt;0,"-","")&amp;"1."&amp;MID(T35,SEARCH("1",T35)+1,LEN(T35)-SEARCH("1",T35))&amp;" x 2^("&amp;(LEN(T35)-SEARCH("1",T35)-F35)&amp;")")</f>
        <v>-1.001011 x 2^(4)</v>
      </c>
      <c r="J35" s="17">
        <v>12</v>
      </c>
      <c r="L35" s="17">
        <v>4</v>
      </c>
      <c r="N35" s="16" t="str">
        <f>IF(J35="",IF(ISNUMBER(SEARCH("1",MID(T37,1,LEN(T37)-L35))),RIGHT(MID(T37,1,LEN(T37)-L35),LEN(MID(T37,1,LEN(T37)-L35))-SEARCH("1",MID(T37,1,LEN(T37)-L35))+1),"0"),RIGHT(MID(T37,1,LEN(T37)-L35),J35))&amp;"."&amp;RIGHT(T37,L35)</f>
        <v>000000010010.1101</v>
      </c>
      <c r="O35" s="7" t="str">
        <f ca="1">IF(J35="",IF(C35&lt;0,"-","")&amp;N35,IF(C35&lt;0,LEFT(T40,J35)&amp;"."&amp;RIGHT(T40,L35),N35))</f>
        <v>111111101101.0011</v>
      </c>
      <c r="T35" s="33" t="str">
        <f>RIGHT(DEC2BIN(MOD(QUOTIENT(ABS(D35),256^3),256),8)&amp;DEC2BIN(MOD(QUOTIENT(ABS(D35),256^2),256),8)&amp;DEC2BIN(MOD(QUOTIENT(ABS(D35),256^1),256),8)&amp;DEC2BIN(MOD(QUOTIENT(ABS(D35),256^0),256),8),64)</f>
        <v>00000000000000000000000001001011</v>
      </c>
    </row>
    <row r="36" spans="3:22" x14ac:dyDescent="0.3">
      <c r="C36" s="8" t="s">
        <v>123</v>
      </c>
      <c r="D36" s="8"/>
      <c r="T36" s="35">
        <f>ROUNDDOWN(C35*2^(L35),0)</f>
        <v>-301</v>
      </c>
    </row>
    <row r="37" spans="3:22" x14ac:dyDescent="0.3">
      <c r="C37" s="18"/>
      <c r="T37" s="35" t="str">
        <f>RIGHT(DEC2BIN(MOD(QUOTIENT(ABS(T36),256^3),256),8)&amp;DEC2BIN(MOD(QUOTIENT(ABS(T36),256^2),256),8)&amp;DEC2BIN(MOD(QUOTIENT(ABS(T36),256^1),256),8)&amp;DEC2BIN(MOD(QUOTIENT(ABS(T36),256^0),256),8),64)</f>
        <v>00000000000000000000000100101101</v>
      </c>
    </row>
    <row r="38" spans="3:22" x14ac:dyDescent="0.3">
      <c r="C38" s="18"/>
      <c r="T38" s="35" t="str">
        <f>SUBSTITUTE(SUBSTITUTE(SUBSTITUTE(SUBSTITUTE(N35,"0","*"),"1","0"),"*","1"),".","")</f>
        <v>1111111011010010</v>
      </c>
    </row>
    <row r="39" spans="3:22" x14ac:dyDescent="0.3">
      <c r="C39" s="18"/>
      <c r="T39" s="35">
        <f ca="1">(SUMPRODUCT(--MID(T38,LEN(T38)+1-ROW(INDIRECT("1:"&amp;LEN(T38))),1),(2^(ROW(INDIRECT("1:"&amp;LEN(T38)))-1)))+1)</f>
        <v>65235</v>
      </c>
    </row>
    <row r="40" spans="3:22" x14ac:dyDescent="0.3">
      <c r="C40" s="18"/>
      <c r="T40" s="35" t="str">
        <f ca="1">RIGHT(DEC2BIN(MOD(QUOTIENT(ABS(T39),256^3),256),8)&amp;DEC2BIN(MOD(QUOTIENT(ABS(T39),256^2),256),8)&amp;DEC2BIN(MOD(QUOTIENT(ABS(T39),256^1),256),8)&amp;DEC2BIN(MOD(QUOTIENT(ABS(T39),256^0),256),8),J35+L35)</f>
        <v>1111111011010011</v>
      </c>
    </row>
    <row r="41" spans="3:22" x14ac:dyDescent="0.3">
      <c r="C41" s="18"/>
      <c r="E41" s="9" t="s">
        <v>32</v>
      </c>
      <c r="T41" s="35"/>
    </row>
    <row r="42" spans="3:22" x14ac:dyDescent="0.3">
      <c r="D42" s="22" t="s">
        <v>6</v>
      </c>
      <c r="F42" s="9"/>
      <c r="K42" s="2" t="s">
        <v>27</v>
      </c>
      <c r="L42" s="2" t="s">
        <v>28</v>
      </c>
      <c r="M42" s="2" t="s">
        <v>29</v>
      </c>
      <c r="P42" s="2" t="s">
        <v>31</v>
      </c>
      <c r="Q42" s="2" t="s">
        <v>30</v>
      </c>
      <c r="T42" s="33" t="s">
        <v>17</v>
      </c>
      <c r="V42" s="19"/>
    </row>
    <row r="43" spans="3:22" x14ac:dyDescent="0.3">
      <c r="C43" s="2" t="s">
        <v>33</v>
      </c>
      <c r="D43" s="15" t="s">
        <v>26</v>
      </c>
      <c r="K43" s="2" t="str">
        <f>MID(D43,1,1)</f>
        <v>0</v>
      </c>
      <c r="L43" s="2" t="str">
        <f>MID(D43,2,8)</f>
        <v>10001011</v>
      </c>
      <c r="M43" s="2" t="str">
        <f>MID(D43,10,T44)</f>
        <v>00000000000001</v>
      </c>
      <c r="P43" s="2">
        <v>127</v>
      </c>
      <c r="Q43" s="7">
        <f ca="1">((-1)^K43)*(1+T45)*(2^(T43-P43))</f>
        <v>4096.25</v>
      </c>
      <c r="T43" s="35">
        <f ca="1">SUMPRODUCT(--MID(L43,LEN(L43)+1-ROW(INDIRECT("1:"&amp;LEN(L43))),1),(2^(ROW(INDIRECT("1:"&amp;LEN(L43)))-1)))</f>
        <v>139</v>
      </c>
    </row>
    <row r="44" spans="3:22" x14ac:dyDescent="0.3">
      <c r="O44" s="5" t="s">
        <v>100</v>
      </c>
      <c r="P44" s="7" t="str">
        <f ca="1">"1."&amp;M43&amp;" x 2^("&amp;(T43-P43)&amp;")"</f>
        <v>1.00000000000001 x 2^(12)</v>
      </c>
      <c r="T44" s="35">
        <f>FIND("@",SUBSTITUTE(D43,"1","@",LEN(D43)-LEN(SUBSTITUTE(D43,"1",""))))-9</f>
        <v>14</v>
      </c>
    </row>
    <row r="45" spans="3:22" x14ac:dyDescent="0.3">
      <c r="T45" s="35">
        <f ca="1">SUMPRODUCT(--MID(M43,LEN(M43)+1-ROW(INDIRECT("1:"&amp;LEN(M43))),1),(2^(ROW(INDIRECT("1:"&amp;LEN(M43)))-1)))/(2^LEN(M43))</f>
        <v>6.103515625E-5</v>
      </c>
    </row>
    <row r="46" spans="3:22" x14ac:dyDescent="0.3">
      <c r="C46" s="2" t="s">
        <v>34</v>
      </c>
      <c r="D46" s="24" t="s">
        <v>131</v>
      </c>
      <c r="K46" s="2" t="str">
        <f>MID(D46,1,1)</f>
        <v>0</v>
      </c>
      <c r="L46" s="2" t="str">
        <f>MID(D46,2,11)</f>
        <v>01110101101</v>
      </c>
      <c r="M46" s="2" t="str">
        <f>MID(D46,13,T47)</f>
        <v>101101</v>
      </c>
      <c r="N46" s="2"/>
      <c r="O46" s="2"/>
      <c r="P46" s="2">
        <v>1023</v>
      </c>
      <c r="Q46" s="7">
        <f ca="1">((-1)^K46)*(1+T48)*(2^(T46-P46))</f>
        <v>3.5219799518859381E-25</v>
      </c>
      <c r="T46" s="35">
        <f ca="1">SUMPRODUCT(--MID(L46,LEN(L46)+1-ROW(INDIRECT("1:"&amp;LEN(L46))),1),(2^(ROW(INDIRECT("1:"&amp;LEN(L46)))-1)))</f>
        <v>941</v>
      </c>
    </row>
    <row r="47" spans="3:22" x14ac:dyDescent="0.3">
      <c r="C47" s="18"/>
      <c r="O47" s="5" t="s">
        <v>100</v>
      </c>
      <c r="P47" s="7" t="str">
        <f ca="1">"1."&amp;M46&amp;" x 2^("&amp;(T46-P46)&amp;")"</f>
        <v>1.101101 x 2^(-82)</v>
      </c>
      <c r="T47" s="35">
        <f>FIND("@",SUBSTITUTE(D46,"1","@",LEN(D46)-LEN(SUBSTITUTE(D46,"1",""))))-12</f>
        <v>6</v>
      </c>
    </row>
    <row r="48" spans="3:22" x14ac:dyDescent="0.3">
      <c r="C48" s="18"/>
      <c r="T48" s="35">
        <f ca="1">SUMPRODUCT(--MID(M46,LEN(M46)+1-ROW(INDIRECT("1:"&amp;LEN(M46))),1),(2^(ROW(INDIRECT("1:"&amp;LEN(M46)))-1)))/(2^LEN(M46))</f>
        <v>0.703125</v>
      </c>
    </row>
    <row r="49" spans="3:20" x14ac:dyDescent="0.3">
      <c r="C49" s="18"/>
      <c r="E49" s="9" t="s">
        <v>35</v>
      </c>
      <c r="F49" s="9"/>
      <c r="G49" s="9"/>
      <c r="H49" s="9"/>
      <c r="I49" s="9"/>
      <c r="J49" s="9"/>
      <c r="T49" s="35"/>
    </row>
    <row r="50" spans="3:20" x14ac:dyDescent="0.3">
      <c r="C50" s="18"/>
      <c r="D50" s="2" t="s">
        <v>6</v>
      </c>
      <c r="E50" s="9"/>
      <c r="F50" s="2" t="s">
        <v>27</v>
      </c>
      <c r="G50" s="2" t="s">
        <v>28</v>
      </c>
      <c r="I50" s="2" t="s">
        <v>29</v>
      </c>
      <c r="J50" s="2"/>
      <c r="K50" s="2"/>
      <c r="L50" s="2" t="s">
        <v>31</v>
      </c>
      <c r="M50" s="2" t="s">
        <v>30</v>
      </c>
      <c r="T50" s="33" t="s">
        <v>17</v>
      </c>
    </row>
    <row r="51" spans="3:20" x14ac:dyDescent="0.3">
      <c r="C51" s="22" t="s">
        <v>33</v>
      </c>
      <c r="D51" s="17">
        <v>13.25</v>
      </c>
      <c r="E51" s="9"/>
      <c r="F51" s="16">
        <f>IF(D51&lt;0,1,0)</f>
        <v>0</v>
      </c>
      <c r="G51" s="16" t="str">
        <f>RIGHT(DEC2BIN(MOD(QUOTIENT(T51,256^3),256),8)&amp;DEC2BIN(MOD(QUOTIENT(T51,256^2),256),8)&amp;DEC2BIN(MOD(QUOTIENT(T51,256^1),256),8)&amp;DEC2BIN(MOD(QUOTIENT(T51,256^0),256),8),8)</f>
        <v>10000010</v>
      </c>
      <c r="I51" s="16" t="str">
        <f>RIGHT(DEC2BIN(MOD(QUOTIENT(T55,256^3),256),8)&amp;DEC2BIN(MOD(QUOTIENT(T55,256^2),256),8)&amp;DEC2BIN(MOD(QUOTIENT(T55,256^1),256),8)&amp;DEC2BIN(MOD(QUOTIENT(T55,256^0),256),8),IF(ISNUMBER(SEARCH(".",T53)),LEN(T53)-FIND(".",T53),0))</f>
        <v>10101</v>
      </c>
      <c r="J51" s="9"/>
      <c r="K51" s="9"/>
      <c r="L51" s="2">
        <v>127</v>
      </c>
      <c r="M51" s="7" t="str">
        <f>F51&amp;G51&amp;I51&amp;REPT("0",23-LEN(I51))</f>
        <v>01000001010101000000000000000000</v>
      </c>
      <c r="N51" s="8"/>
      <c r="O51" s="7"/>
      <c r="P51" s="7"/>
      <c r="Q51" s="7"/>
      <c r="R51" s="8"/>
      <c r="T51" s="35">
        <f>INT(IF(D51=0,-L51,LOG(ABS(D51),2)))+L51</f>
        <v>130</v>
      </c>
    </row>
    <row r="52" spans="3:20" x14ac:dyDescent="0.3">
      <c r="C52" s="22" t="s">
        <v>34</v>
      </c>
      <c r="D52" s="17">
        <v>-0.75</v>
      </c>
      <c r="E52" s="9"/>
      <c r="F52" s="2">
        <f>IF(D52&lt;0,1,0)</f>
        <v>1</v>
      </c>
      <c r="G52" s="16" t="str">
        <f>RIGHT(DEC2BIN(MOD(QUOTIENT(T52,256^3),256),8)&amp;DEC2BIN(MOD(QUOTIENT(T52,256^2),256),8)&amp;DEC2BIN(MOD(QUOTIENT(T52,256^1),256),8)&amp;DEC2BIN(MOD(QUOTIENT(T52,256^0),256),8),11)</f>
        <v>01111111110</v>
      </c>
      <c r="I52" s="16" t="str">
        <f>RIGHT(DEC2BIN(MOD(QUOTIENT(T56,256^3),256),8)&amp;DEC2BIN(MOD(QUOTIENT(T56,256^2),256),8)&amp;DEC2BIN(MOD(QUOTIENT(T56,256^1),256),8)&amp;DEC2BIN(MOD(QUOTIENT(T56,256^0),256),8),IF(ISNUMBER(SEARCH(".",T54)),LEN(T54)-FIND(".",T54),0))</f>
        <v>1</v>
      </c>
      <c r="J52" s="9"/>
      <c r="K52" s="9"/>
      <c r="L52" s="2">
        <v>1023</v>
      </c>
      <c r="M52" s="7" t="str">
        <f>F52&amp;G52&amp;I52&amp;REPT("0",52-LEN(I52))</f>
        <v>1011111111101000000000000000000000000000000000000000000000000000</v>
      </c>
      <c r="N52" s="8"/>
      <c r="O52" s="7"/>
      <c r="P52" s="7"/>
      <c r="Q52" s="7"/>
      <c r="R52" s="8"/>
      <c r="T52" s="35">
        <f>INT(IF(D52=0,-L52,LOG(ABS(D52),2)))+L52</f>
        <v>1022</v>
      </c>
    </row>
    <row r="53" spans="3:20" x14ac:dyDescent="0.3">
      <c r="C53" s="18"/>
      <c r="E53" s="9"/>
      <c r="F53" s="9"/>
      <c r="G53" s="9"/>
      <c r="H53" s="9"/>
      <c r="I53" s="9"/>
      <c r="J53" s="9"/>
      <c r="T53" s="35">
        <f>ABS(D51)/(2^INT(IF(D51=0,-L51,LOG(ABS(D51),2))))-1</f>
        <v>0.65625</v>
      </c>
    </row>
    <row r="54" spans="3:20" x14ac:dyDescent="0.3">
      <c r="C54" s="18"/>
      <c r="T54" s="35">
        <f>ABS(D52)/(2^INT(IF(D52=0,-L51,LOG(ABS(D52),2))))-1</f>
        <v>0.5</v>
      </c>
    </row>
    <row r="55" spans="3:20" x14ac:dyDescent="0.3">
      <c r="C55" s="18"/>
      <c r="T55" s="35">
        <f>T53*2^IF(ISNUMBER(SEARCH(".",T53)),LEN(T53)-FIND(".",T53),0)</f>
        <v>21</v>
      </c>
    </row>
    <row r="56" spans="3:20" x14ac:dyDescent="0.3">
      <c r="C56" s="18"/>
      <c r="T56" s="35">
        <f>T54*2^IF(ISNUMBER(SEARCH(".",T54)),LEN(T54)-FIND(".",T54),0)</f>
        <v>1</v>
      </c>
    </row>
    <row r="57" spans="3:20" x14ac:dyDescent="0.3">
      <c r="C57" s="18"/>
      <c r="E57" s="26" t="s">
        <v>132</v>
      </c>
      <c r="T57" s="35"/>
    </row>
    <row r="58" spans="3:20" x14ac:dyDescent="0.3">
      <c r="C58" s="18"/>
      <c r="D58" s="2" t="s">
        <v>6</v>
      </c>
      <c r="H58" s="2" t="s">
        <v>27</v>
      </c>
      <c r="I58" s="2" t="s">
        <v>28</v>
      </c>
      <c r="J58" s="2" t="s">
        <v>29</v>
      </c>
      <c r="L58" s="2" t="s">
        <v>31</v>
      </c>
      <c r="M58" s="2" t="s">
        <v>30</v>
      </c>
      <c r="T58" s="33" t="s">
        <v>17</v>
      </c>
    </row>
    <row r="59" spans="3:20" x14ac:dyDescent="0.3">
      <c r="C59" s="22" t="s">
        <v>33</v>
      </c>
      <c r="D59" s="17">
        <v>1.0001</v>
      </c>
      <c r="F59" s="2" t="s">
        <v>22</v>
      </c>
      <c r="G59" s="17">
        <v>-2</v>
      </c>
      <c r="H59" s="2">
        <f>IF(MID(D59,1,1)="-",1,0)</f>
        <v>0</v>
      </c>
      <c r="I59" s="16" t="str">
        <f>RIGHT(DEC2BIN(MOD(QUOTIENT(T59,256^3),256),8)&amp;DEC2BIN(MOD(QUOTIENT(T59,256^2),256),8)&amp;DEC2BIN(MOD(QUOTIENT(T59,256^1),256),8)&amp;DEC2BIN(MOD(QUOTIENT(T59,256^0),256),8),8)</f>
        <v>01111101</v>
      </c>
      <c r="J59" s="2" t="str">
        <f>IF(ISNUMBER(SEARCH(".",D59)),RIGHT(D59,LEN(D59)-SEARCH(".",D59)),"0")</f>
        <v>0001</v>
      </c>
      <c r="L59" s="2">
        <v>127</v>
      </c>
      <c r="M59" s="7" t="str">
        <f>H59&amp;I59&amp;J59&amp;REPT("0",23-LEN(J59))</f>
        <v>00111110100010000000000000000000</v>
      </c>
      <c r="T59" s="35">
        <f>G59+L59</f>
        <v>125</v>
      </c>
    </row>
    <row r="60" spans="3:20" x14ac:dyDescent="0.3">
      <c r="C60" s="22" t="s">
        <v>34</v>
      </c>
      <c r="D60" s="17">
        <v>1.0001</v>
      </c>
      <c r="F60" s="2" t="s">
        <v>22</v>
      </c>
      <c r="G60" s="17">
        <v>-103</v>
      </c>
      <c r="H60" s="2">
        <f>IF(MID(D60,1,1)="-",1,0)</f>
        <v>0</v>
      </c>
      <c r="I60" s="2" t="str">
        <f>RIGHT(DEC2BIN(MOD(QUOTIENT(T60,256^3),256),8)&amp;DEC2BIN(MOD(QUOTIENT(T60,256^2),256),8)&amp;DEC2BIN(MOD(QUOTIENT(T60,256^1),256),8)&amp;DEC2BIN(MOD(QUOTIENT(T60,256^0),256),8),11)</f>
        <v>01110011000</v>
      </c>
      <c r="J60" s="2" t="str">
        <f>IF(ISNUMBER(SEARCH(".",D60)),RIGHT(D60,LEN(D60)-SEARCH(".",D60)),"0")</f>
        <v>0001</v>
      </c>
      <c r="L60" s="2">
        <v>1023</v>
      </c>
      <c r="M60" s="7" t="str">
        <f>H60&amp;I60&amp;J60&amp;REPT("0",52-LEN(J60))</f>
        <v>0011100110000001000000000000000000000000000000000000000000000000</v>
      </c>
      <c r="T60" s="35">
        <f>G60+L60</f>
        <v>920</v>
      </c>
    </row>
    <row r="61" spans="3:20" x14ac:dyDescent="0.3">
      <c r="C61" s="18"/>
    </row>
    <row r="62" spans="3:20" x14ac:dyDescent="0.3">
      <c r="C62" s="18"/>
      <c r="T62" s="30"/>
    </row>
    <row r="63" spans="3:20" x14ac:dyDescent="0.3">
      <c r="C63" s="18"/>
      <c r="E63" s="9" t="s">
        <v>20</v>
      </c>
      <c r="T63" s="30"/>
    </row>
    <row r="64" spans="3:20" x14ac:dyDescent="0.3">
      <c r="C64" s="22" t="s">
        <v>21</v>
      </c>
      <c r="E64" s="9"/>
      <c r="F64" s="2" t="s">
        <v>24</v>
      </c>
      <c r="O64" s="2"/>
      <c r="Q64" s="2"/>
      <c r="T64" s="33" t="s">
        <v>17</v>
      </c>
    </row>
    <row r="65" spans="3:20" x14ac:dyDescent="0.3">
      <c r="C65" s="15" t="s">
        <v>124</v>
      </c>
      <c r="D65" s="2" t="s">
        <v>22</v>
      </c>
      <c r="E65" s="17">
        <v>7</v>
      </c>
      <c r="F65" s="2" t="str">
        <f>SUBSTITUTE(C65,".","")&amp;REPT("0",E65-(IF(ISNUMBER(SEARCH(".",C65)),LEN(C65)-SEARCH(".",C65),0))-T65)</f>
        <v>1011111</v>
      </c>
      <c r="G65" s="2" t="str">
        <f>"x2^"&amp;T65</f>
        <v>x2^1</v>
      </c>
      <c r="H65" s="22" t="s">
        <v>100</v>
      </c>
      <c r="I65" s="2">
        <f ca="1">SUMPRODUCT(--MID(F65,LEN(F65)+1-ROW(INDIRECT("1:"&amp;LEN(F65))),1),(2^(ROW(INDIRECT("1:"&amp;LEN(F65)))-1)))</f>
        <v>95</v>
      </c>
      <c r="J65" s="2" t="str">
        <f>G65</f>
        <v>x2^1</v>
      </c>
      <c r="T65" s="35">
        <f>MIN(E65-(IF(ISNUMBER(SEARCH(".",C65)),LEN(C65)-SEARCH(".",C65),0)),E67-(IF(ISNUMBER(SEARCH(".",C67)),LEN(C67)-SEARCH(".",C67),0)))</f>
        <v>1</v>
      </c>
    </row>
    <row r="66" spans="3:20" x14ac:dyDescent="0.3">
      <c r="C66" s="2" t="s">
        <v>23</v>
      </c>
      <c r="F66" s="2" t="s">
        <v>25</v>
      </c>
      <c r="H66" s="17"/>
      <c r="J66" s="2"/>
      <c r="L66" s="2"/>
      <c r="O66" s="2"/>
      <c r="Q66" s="2"/>
      <c r="T66" s="35" t="str">
        <f ca="1">RIGHT(DEC2BIN(MOD(QUOTIENT(E68,256^3),256),8)&amp;DEC2BIN(MOD(QUOTIENT(E68,256^2),256),8)&amp;DEC2BIN(MOD(QUOTIENT(E68,256^1),256),8)&amp;DEC2BIN(MOD(QUOTIENT(E68,256^0),256),8),32)</f>
        <v>00000000000000000000000010000011</v>
      </c>
    </row>
    <row r="67" spans="3:20" x14ac:dyDescent="0.3">
      <c r="C67" s="24" t="s">
        <v>125</v>
      </c>
      <c r="D67" s="2" t="s">
        <v>22</v>
      </c>
      <c r="E67" s="17">
        <v>6</v>
      </c>
      <c r="F67" s="2" t="str">
        <f>SUBSTITUTE(C67,".","")&amp;REPT("0",E67-(IF(ISNUMBER(SEARCH(".",C67)),LEN(C67)-SEARCH(".",C67),0))-T65)</f>
        <v>100100</v>
      </c>
      <c r="G67" s="2" t="str">
        <f>"x2^"&amp;T65</f>
        <v>x2^1</v>
      </c>
      <c r="H67" s="22" t="s">
        <v>100</v>
      </c>
      <c r="I67" s="2">
        <f ca="1">SUMPRODUCT(--MID(F67,LEN(F67)+1-ROW(INDIRECT("1:"&amp;LEN(F67))),1),(2^(ROW(INDIRECT("1:"&amp;LEN(F67)))-1)))</f>
        <v>36</v>
      </c>
      <c r="J67" s="2" t="str">
        <f>G67</f>
        <v>x2^1</v>
      </c>
      <c r="K67" s="2"/>
      <c r="L67" s="2"/>
      <c r="M67" s="2"/>
      <c r="N67" s="2"/>
      <c r="O67" s="2"/>
      <c r="P67" s="2"/>
      <c r="T67" s="35" t="str">
        <f ca="1">RIGHT(DEC2BIN(MOD(QUOTIENT(ABS(E69),256^3),256),8)&amp;DEC2BIN(MOD(QUOTIENT(ABS(E69),256^2),256),8)&amp;DEC2BIN(MOD(QUOTIENT(ABS(E69),256^1),256),8)&amp;DEC2BIN(MOD(QUOTIENT(ABS(E69),256^0),256),8),32)</f>
        <v>00000000000000000000000000111011</v>
      </c>
    </row>
    <row r="68" spans="3:20" x14ac:dyDescent="0.3">
      <c r="C68" s="2" t="s">
        <v>101</v>
      </c>
      <c r="D68" s="22" t="s">
        <v>100</v>
      </c>
      <c r="E68" s="2">
        <f ca="1">I65+I67</f>
        <v>131</v>
      </c>
      <c r="G68" s="5" t="s">
        <v>100</v>
      </c>
      <c r="H68" s="7" t="str">
        <f ca="1">"1."&amp;MID(T66,SEARCH("1",T66)+1,LEN(T66)-SEARCH("1",T66))&amp;" x 2^("&amp;(LEN(T66)-SEARCH("1",T66)+T65)&amp;")"</f>
        <v>1.0000011 x 2^(8)</v>
      </c>
      <c r="T68" s="35" t="str">
        <f ca="1">RIGHT(DEC2BIN(MOD(QUOTIENT(E70,256^3),256),8)&amp;DEC2BIN(MOD(QUOTIENT(E70,256^2),256),8)&amp;DEC2BIN(MOD(QUOTIENT(E70,256^1),256),8)&amp;DEC2BIN(MOD(QUOTIENT(E70,256^0),256),8),32)</f>
        <v>00000000000000000000110101011100</v>
      </c>
    </row>
    <row r="69" spans="3:20" x14ac:dyDescent="0.3">
      <c r="C69" s="2" t="s">
        <v>102</v>
      </c>
      <c r="D69" s="5" t="s">
        <v>100</v>
      </c>
      <c r="E69" s="2">
        <f ca="1">I65-I67</f>
        <v>59</v>
      </c>
      <c r="G69" s="5" t="s">
        <v>100</v>
      </c>
      <c r="H69" s="7" t="str">
        <f ca="1">(IF(E69&lt;0,"-",""))&amp;"1."&amp;MID(T67,SEARCH("1",T67)+1,LEN(T67)-SEARCH("1",T67))&amp;" x 2^("&amp;(LEN(T67)-SEARCH("1",T67)+T65)&amp;")"</f>
        <v>1.11011 x 2^(6)</v>
      </c>
      <c r="T69" s="35" t="str">
        <f ca="1">RIGHT(DEC2BIN(MOD(QUOTIENT(E71,256^3),256),8)&amp;DEC2BIN(MOD(QUOTIENT(E71,256^2),256),8)&amp;DEC2BIN(MOD(QUOTIENT(E71,256^1),256),8)&amp;DEC2BIN(MOD(QUOTIENT(E71,256^0),256),8),32)</f>
        <v>00000000000000000000000000000010</v>
      </c>
    </row>
    <row r="70" spans="3:20" x14ac:dyDescent="0.3">
      <c r="C70" s="2" t="s">
        <v>103</v>
      </c>
      <c r="D70" s="5" t="s">
        <v>100</v>
      </c>
      <c r="E70" s="2">
        <f ca="1">I65*I67</f>
        <v>3420</v>
      </c>
      <c r="G70" s="5" t="s">
        <v>100</v>
      </c>
      <c r="H70" s="7" t="str">
        <f ca="1">"1."&amp;MID(T68,SEARCH("1",T68)+1,LEN(T68)-SEARCH("1",T68))&amp;" x 2^("&amp;(LEN(T68)-SEARCH("1",T68)+T65)&amp;")"</f>
        <v>1.10101011100 x 2^(12)</v>
      </c>
      <c r="T70" s="35"/>
    </row>
    <row r="71" spans="3:20" x14ac:dyDescent="0.3">
      <c r="C71" s="2" t="s">
        <v>104</v>
      </c>
      <c r="D71" s="5" t="s">
        <v>100</v>
      </c>
      <c r="E71" s="2">
        <f ca="1">QUOTIENT(I65,I67)</f>
        <v>2</v>
      </c>
      <c r="G71" s="5" t="s">
        <v>100</v>
      </c>
      <c r="H71" s="7" t="str">
        <f ca="1">IF(E71=0,"0 x 2^(0)","1."&amp;MID(T69,SEARCH("1",T69)+1,LEN(T69)-SEARCH("1",T69))&amp;" x 2^("&amp;(LEN(T69)-SEARCH("1",T69)+T65)&amp;")")</f>
        <v>1.0 x 2^(2)</v>
      </c>
      <c r="T71" s="35"/>
    </row>
    <row r="72" spans="3:20" x14ac:dyDescent="0.3">
      <c r="C72" s="18" t="s">
        <v>105</v>
      </c>
      <c r="T72" s="35"/>
    </row>
    <row r="73" spans="3:20" x14ac:dyDescent="0.3">
      <c r="C73" s="18"/>
      <c r="T73" s="35"/>
    </row>
    <row r="74" spans="3:20" x14ac:dyDescent="0.3">
      <c r="C74" s="18"/>
      <c r="T74" s="35"/>
    </row>
    <row r="75" spans="3:20" x14ac:dyDescent="0.3">
      <c r="C75" s="18"/>
      <c r="E75" s="9" t="s">
        <v>19</v>
      </c>
      <c r="T75" s="30"/>
    </row>
    <row r="76" spans="3:20" x14ac:dyDescent="0.3">
      <c r="C76" s="22" t="s">
        <v>36</v>
      </c>
      <c r="E76" s="16" t="s">
        <v>38</v>
      </c>
      <c r="L76" s="2" t="s">
        <v>37</v>
      </c>
      <c r="T76" s="30"/>
    </row>
    <row r="77" spans="3:20" x14ac:dyDescent="0.3">
      <c r="C77" s="23">
        <v>8</v>
      </c>
      <c r="E77" s="17">
        <v>64</v>
      </c>
      <c r="L77" s="7">
        <f>ROUNDUP(LOG(C77*1024^3*8/E77,2),0)</f>
        <v>30</v>
      </c>
      <c r="T77" s="30"/>
    </row>
    <row r="78" spans="3:20" x14ac:dyDescent="0.3">
      <c r="C78" s="8" t="s">
        <v>135</v>
      </c>
      <c r="T78" s="30"/>
    </row>
    <row r="79" spans="3:20" x14ac:dyDescent="0.3">
      <c r="T79" s="30"/>
    </row>
    <row r="80" spans="3:20" x14ac:dyDescent="0.3">
      <c r="T80" s="30"/>
    </row>
    <row r="81" spans="3:20" x14ac:dyDescent="0.3">
      <c r="E81" s="26" t="s">
        <v>127</v>
      </c>
      <c r="T81" s="30"/>
    </row>
    <row r="82" spans="3:20" x14ac:dyDescent="0.3">
      <c r="C82" s="2" t="s">
        <v>128</v>
      </c>
      <c r="D82" s="22" t="s">
        <v>100</v>
      </c>
      <c r="E82" s="17">
        <v>8120</v>
      </c>
      <c r="F82" s="5" t="s">
        <v>112</v>
      </c>
      <c r="G82" s="2" t="s">
        <v>129</v>
      </c>
      <c r="H82" s="7">
        <f>ROUNDUP(LOG(E82,2),0)</f>
        <v>13</v>
      </c>
      <c r="T82" s="30"/>
    </row>
    <row r="83" spans="3:20" x14ac:dyDescent="0.3">
      <c r="T83" s="30"/>
    </row>
    <row r="84" spans="3:20" x14ac:dyDescent="0.3">
      <c r="T84" s="30"/>
    </row>
    <row r="85" spans="3:20" x14ac:dyDescent="0.3">
      <c r="E85" s="26" t="s">
        <v>113</v>
      </c>
      <c r="T85" s="30"/>
    </row>
    <row r="86" spans="3:20" x14ac:dyDescent="0.3">
      <c r="C86" s="2" t="s">
        <v>114</v>
      </c>
      <c r="E86" s="2" t="s">
        <v>115</v>
      </c>
      <c r="G86" s="2" t="s">
        <v>116</v>
      </c>
      <c r="J86" s="2" t="s">
        <v>117</v>
      </c>
      <c r="L86" s="2" t="s">
        <v>96</v>
      </c>
      <c r="M86" s="2" t="s">
        <v>118</v>
      </c>
      <c r="T86" s="30"/>
    </row>
    <row r="87" spans="3:20" x14ac:dyDescent="0.3">
      <c r="C87" s="17">
        <v>64</v>
      </c>
      <c r="E87" s="17">
        <v>2</v>
      </c>
      <c r="G87" s="17">
        <v>600</v>
      </c>
      <c r="J87" s="2">
        <f>G87*1000000/E87</f>
        <v>300000000</v>
      </c>
      <c r="L87" s="7">
        <f>J87/1024/1024*C87/8</f>
        <v>2288.818359375</v>
      </c>
      <c r="M87" s="2" t="s">
        <v>119</v>
      </c>
      <c r="T87" s="30"/>
    </row>
    <row r="88" spans="3:20" x14ac:dyDescent="0.3">
      <c r="T88" s="30"/>
    </row>
    <row r="89" spans="3:20" x14ac:dyDescent="0.3">
      <c r="T89" s="30"/>
    </row>
    <row r="90" spans="3:20" x14ac:dyDescent="0.3">
      <c r="E90" s="9" t="s">
        <v>39</v>
      </c>
      <c r="T90" s="30"/>
    </row>
    <row r="91" spans="3:20" x14ac:dyDescent="0.3">
      <c r="D91" s="2" t="s">
        <v>6</v>
      </c>
      <c r="E91" s="9"/>
      <c r="H91" s="2" t="s">
        <v>49</v>
      </c>
      <c r="I91" s="2" t="s">
        <v>43</v>
      </c>
      <c r="J91" s="2" t="s">
        <v>44</v>
      </c>
      <c r="K91" s="2" t="s">
        <v>45</v>
      </c>
      <c r="L91" s="2" t="s">
        <v>46</v>
      </c>
      <c r="M91" s="2" t="s">
        <v>47</v>
      </c>
      <c r="N91" s="2" t="s">
        <v>51</v>
      </c>
      <c r="P91" s="2" t="s">
        <v>48</v>
      </c>
      <c r="T91" s="30"/>
    </row>
    <row r="92" spans="3:20" x14ac:dyDescent="0.3">
      <c r="C92" s="2" t="s">
        <v>40</v>
      </c>
      <c r="D92" s="24" t="s">
        <v>106</v>
      </c>
      <c r="E92" s="25"/>
      <c r="F92" s="17"/>
      <c r="G92" s="17"/>
      <c r="H92" s="7">
        <f ca="1">SUMPRODUCT(--MID(MID(D92,1,6),6+1-ROW(INDIRECT("1:"&amp;6)),1),(2^(ROW(INDIRECT("1:"&amp;6))-1)))</f>
        <v>1</v>
      </c>
      <c r="I92" s="7">
        <f ca="1">SUMPRODUCT(--MID(MID(D92,7,5),5+1-ROW(INDIRECT("1:"&amp;5)),1),(2^(ROW(INDIRECT("1:"&amp;5))-1)))</f>
        <v>11</v>
      </c>
      <c r="J92" s="7">
        <f ca="1">SUMPRODUCT(--MID(MID(D92,12,5),5+1-ROW(INDIRECT("1:"&amp;5)),1),(2^(ROW(INDIRECT("1:"&amp;5))-1)))</f>
        <v>9</v>
      </c>
      <c r="K92" s="7">
        <f ca="1">SUMPRODUCT(--MID(MID(D92,17,5),5+1-ROW(INDIRECT("1:"&amp;5)),1),(2^(ROW(INDIRECT("1:"&amp;5))-1)))</f>
        <v>7</v>
      </c>
      <c r="L92" s="7">
        <f ca="1">SUMPRODUCT(--MID(MID(D92,22,5),5+1-ROW(INDIRECT("1:"&amp;5)),1),(2^(ROW(INDIRECT("1:"&amp;5))-1)))</f>
        <v>14</v>
      </c>
      <c r="M92" s="7">
        <f ca="1">SUMPRODUCT(--MID(MID(D92,27,6),6+1-ROW(INDIRECT("1:"&amp;6)),1),(2^(ROW(INDIRECT("1:"&amp;6))-1)))</f>
        <v>24</v>
      </c>
      <c r="N92" s="7"/>
      <c r="O92" s="7"/>
      <c r="T92" s="30"/>
    </row>
    <row r="93" spans="3:20" x14ac:dyDescent="0.3">
      <c r="C93" s="2" t="s">
        <v>41</v>
      </c>
      <c r="D93" s="24" t="s">
        <v>50</v>
      </c>
      <c r="E93" s="25"/>
      <c r="F93" s="17"/>
      <c r="G93" s="17"/>
      <c r="H93" s="7">
        <f ca="1">SUMPRODUCT(--MID(MID(D93,1,6),6+1-ROW(INDIRECT("1:"&amp;6)),1),(2^(ROW(INDIRECT("1:"&amp;6))-1)))</f>
        <v>1</v>
      </c>
      <c r="I93" s="7">
        <f ca="1">SUMPRODUCT(--MID(MID(D93,7,5),5+1-ROW(INDIRECT("1:"&amp;5)),1),(2^(ROW(INDIRECT("1:"&amp;5))-1)))</f>
        <v>10</v>
      </c>
      <c r="J93" s="7">
        <f ca="1">SUMPRODUCT(--MID(MID(D93,12,5),5+1-ROW(INDIRECT("1:"&amp;5)),1),(2^(ROW(INDIRECT("1:"&amp;5))-1)))</f>
        <v>25</v>
      </c>
      <c r="K93" s="7"/>
      <c r="L93" s="7"/>
      <c r="M93" s="7"/>
      <c r="N93" s="7">
        <f ca="1">SUMPRODUCT(--MID(MID(D93,17,16),16+1-ROW(INDIRECT("1:"&amp;16)),1),(2^(ROW(INDIRECT("1:"&amp;16))-1)))</f>
        <v>63872</v>
      </c>
      <c r="O93" s="7"/>
      <c r="T93" s="30"/>
    </row>
    <row r="94" spans="3:20" x14ac:dyDescent="0.3">
      <c r="C94" s="2" t="s">
        <v>42</v>
      </c>
      <c r="D94" s="24" t="s">
        <v>50</v>
      </c>
      <c r="E94" s="25"/>
      <c r="F94" s="17"/>
      <c r="G94" s="17"/>
      <c r="H94" s="7">
        <f ca="1">SUMPRODUCT(--MID(MID(D94,1,6),6+1-ROW(INDIRECT("1:"&amp;6)),1),(2^(ROW(INDIRECT("1:"&amp;6))-1)))</f>
        <v>1</v>
      </c>
      <c r="I94" s="7"/>
      <c r="J94" s="7"/>
      <c r="K94" s="7"/>
      <c r="L94" s="7"/>
      <c r="M94" s="7"/>
      <c r="N94" s="7"/>
      <c r="O94" s="7"/>
      <c r="P94" s="7">
        <f ca="1">SUMPRODUCT(--MID(MID(D94,7,26),26+1-ROW(INDIRECT("1:"&amp;26)),1),(2^(ROW(INDIRECT("1:"&amp;26))-1)))</f>
        <v>22673792</v>
      </c>
      <c r="T94" s="30"/>
    </row>
    <row r="95" spans="3:20" x14ac:dyDescent="0.3">
      <c r="T95" s="30"/>
    </row>
    <row r="96" spans="3:20" x14ac:dyDescent="0.3">
      <c r="T96" s="30"/>
    </row>
    <row r="97" spans="3:20" x14ac:dyDescent="0.3">
      <c r="E97" s="26" t="s">
        <v>61</v>
      </c>
      <c r="F97" s="26"/>
      <c r="G97" s="26"/>
      <c r="H97" s="26"/>
      <c r="I97" s="26"/>
      <c r="T97" s="30"/>
    </row>
    <row r="98" spans="3:20" x14ac:dyDescent="0.3">
      <c r="D98" s="2" t="s">
        <v>52</v>
      </c>
      <c r="E98" s="2"/>
      <c r="F98" s="26"/>
      <c r="G98" s="16" t="s">
        <v>57</v>
      </c>
      <c r="H98" s="16"/>
      <c r="I98" s="16"/>
      <c r="J98" s="16" t="s">
        <v>58</v>
      </c>
      <c r="K98" s="16"/>
      <c r="L98" s="2" t="s">
        <v>60</v>
      </c>
      <c r="M98" s="2" t="s">
        <v>7</v>
      </c>
      <c r="O98" s="2" t="s">
        <v>8</v>
      </c>
      <c r="Q98" s="2" t="s">
        <v>9</v>
      </c>
      <c r="R98" s="2" t="s">
        <v>59</v>
      </c>
      <c r="T98" s="30"/>
    </row>
    <row r="99" spans="3:20" x14ac:dyDescent="0.3">
      <c r="C99" s="2" t="s">
        <v>53</v>
      </c>
      <c r="D99" s="17">
        <v>256</v>
      </c>
      <c r="E99" s="25"/>
      <c r="F99" s="25"/>
      <c r="G99" s="17">
        <v>32</v>
      </c>
      <c r="H99" s="25"/>
      <c r="I99" s="25"/>
      <c r="J99" s="17">
        <v>32</v>
      </c>
      <c r="K99" s="17"/>
      <c r="L99" s="17">
        <v>1048</v>
      </c>
      <c r="M99" s="7" t="str">
        <f>_xlfn.BASE(QUOTIENT(QUOTIENT(L99,G99),D99/G99),2,32-LOG(G99,2)-LOG(D99/G99,2))</f>
        <v>000000000000000000000100</v>
      </c>
      <c r="O99" s="7" t="str">
        <f>_xlfn.BASE(MOD(QUOTIENT(L99,G99),D99/G99),2,LOG(D99/G99,2))</f>
        <v>000</v>
      </c>
      <c r="P99" s="7"/>
      <c r="Q99" s="7" t="str">
        <f>_xlfn.BASE(MOD(L99,G99),2,LOG(G99,2))</f>
        <v>11000</v>
      </c>
      <c r="R99" s="7" t="str">
        <f>(J99-LOG(D99/G99,2)-LOG(G99,2))&amp;":"&amp;LOG(D99/G99,2)&amp;":"&amp;LOG(G99,2)</f>
        <v>24:3:5</v>
      </c>
      <c r="T99" s="30"/>
    </row>
    <row r="100" spans="3:20" x14ac:dyDescent="0.3">
      <c r="C100" s="2" t="s">
        <v>54</v>
      </c>
      <c r="D100" s="17">
        <v>512</v>
      </c>
      <c r="E100" s="25"/>
      <c r="F100" s="25"/>
      <c r="G100" s="17">
        <v>16</v>
      </c>
      <c r="H100" s="25"/>
      <c r="I100" s="25"/>
      <c r="J100" s="17">
        <v>32</v>
      </c>
      <c r="K100" s="17"/>
      <c r="L100" s="17">
        <v>5893478</v>
      </c>
      <c r="M100" s="7" t="str">
        <f>_xlfn.BASE(QUOTIENT(QUOTIENT(L100,G100),D100*1024/G100),2,32-LOG(G100,2)-LOG(D100*1024/G100,2))</f>
        <v>0000000001011</v>
      </c>
      <c r="O100" s="7" t="str">
        <f>_xlfn.BASE(MOD(QUOTIENT(L100,G100),D100*1024/G100),2,LOG(D100*1024/G100,2))</f>
        <v>001111011010110</v>
      </c>
      <c r="P100" s="7"/>
      <c r="Q100" s="7" t="str">
        <f>_xlfn.BASE(MOD(L100,G100),2,LOG(G100,2))</f>
        <v>0110</v>
      </c>
      <c r="R100" s="7" t="str">
        <f>(J100-LOG(D100*1024/G100,2)-LOG(G100,2))&amp;":"&amp;LOG(D100*1024/G100,2)&amp;":"&amp;LOG(G100,2)</f>
        <v>13:15:4</v>
      </c>
      <c r="T100" s="30"/>
    </row>
    <row r="101" spans="3:20" x14ac:dyDescent="0.3">
      <c r="C101" s="2" t="s">
        <v>55</v>
      </c>
      <c r="D101" s="17">
        <v>1</v>
      </c>
      <c r="E101" s="25"/>
      <c r="F101" s="25"/>
      <c r="G101" s="17">
        <v>16</v>
      </c>
      <c r="H101" s="25"/>
      <c r="I101" s="25"/>
      <c r="J101" s="17">
        <v>32</v>
      </c>
      <c r="K101" s="17"/>
      <c r="L101" s="17">
        <v>4356</v>
      </c>
      <c r="M101" s="7" t="str">
        <f>_xlfn.BASE(QUOTIENT(QUOTIENT(L101,G101),D101*1024^2/G101),2,32-LOG(G101,2)-LOG(D101*1024^2/G101,2))</f>
        <v>000000000000</v>
      </c>
      <c r="O101" s="7" t="str">
        <f>_xlfn.BASE(MOD(QUOTIENT(L101,G101),D101*1024^2/G101),2,LOG(D101*1024^2/G101,2))</f>
        <v>0000000100010000</v>
      </c>
      <c r="P101" s="7"/>
      <c r="Q101" s="7" t="str">
        <f>_xlfn.BASE(MOD(L101,G101),2,LOG(G101,2))</f>
        <v>0100</v>
      </c>
      <c r="R101" s="7" t="str">
        <f>(J101-LOG(D101*1024^2/G101,2)-LOG(G101,2))&amp;":"&amp;LOG(D101*1024^2/G101,2)&amp;":"&amp;LOG(G101,2)</f>
        <v>12:16:4</v>
      </c>
      <c r="T101" s="30"/>
    </row>
    <row r="102" spans="3:20" x14ac:dyDescent="0.3">
      <c r="C102" s="8" t="s">
        <v>56</v>
      </c>
      <c r="D102" s="8"/>
      <c r="E102" s="7"/>
      <c r="F102" s="7"/>
      <c r="G102" s="26"/>
      <c r="H102" s="26"/>
      <c r="I102" s="26"/>
      <c r="T102" s="30"/>
    </row>
    <row r="103" spans="3:20" x14ac:dyDescent="0.3">
      <c r="T103" s="30"/>
    </row>
    <row r="104" spans="3:20" x14ac:dyDescent="0.3">
      <c r="T104" s="30"/>
    </row>
    <row r="105" spans="3:20" x14ac:dyDescent="0.3">
      <c r="E105" s="26" t="s">
        <v>62</v>
      </c>
      <c r="F105" s="26"/>
      <c r="G105" s="26"/>
      <c r="H105" s="26"/>
      <c r="T105" s="30"/>
    </row>
    <row r="106" spans="3:20" x14ac:dyDescent="0.3">
      <c r="C106" s="2" t="s">
        <v>63</v>
      </c>
      <c r="D106" s="2" t="s">
        <v>11</v>
      </c>
      <c r="E106" s="2" t="s">
        <v>64</v>
      </c>
      <c r="F106" s="2" t="s">
        <v>65</v>
      </c>
      <c r="G106" s="2" t="s">
        <v>0</v>
      </c>
      <c r="H106" s="2" t="s">
        <v>1</v>
      </c>
      <c r="I106" s="2" t="s">
        <v>3</v>
      </c>
      <c r="J106" s="2" t="s">
        <v>10</v>
      </c>
      <c r="K106" s="2" t="s">
        <v>67</v>
      </c>
      <c r="N106" s="2" t="s">
        <v>68</v>
      </c>
      <c r="O106" s="2" t="s">
        <v>69</v>
      </c>
      <c r="Q106" s="2" t="s">
        <v>68</v>
      </c>
      <c r="R106" s="2" t="s">
        <v>70</v>
      </c>
      <c r="T106" s="30"/>
    </row>
    <row r="107" spans="3:20" x14ac:dyDescent="0.3">
      <c r="D107" s="27">
        <v>0.23</v>
      </c>
      <c r="E107" s="27">
        <v>0.22</v>
      </c>
      <c r="F107" s="28">
        <v>0.34</v>
      </c>
      <c r="G107" s="28">
        <v>0.11</v>
      </c>
      <c r="H107" s="27">
        <v>0.1</v>
      </c>
      <c r="I107" s="4">
        <f>E107+F107+G107+H107+D107</f>
        <v>1</v>
      </c>
      <c r="J107" s="29">
        <v>1.6</v>
      </c>
      <c r="K107" s="27">
        <v>0.5</v>
      </c>
      <c r="N107" s="29">
        <v>2</v>
      </c>
      <c r="O107" s="27">
        <v>0.25</v>
      </c>
      <c r="Q107" s="29">
        <v>2</v>
      </c>
      <c r="R107" s="29">
        <v>2</v>
      </c>
      <c r="T107" s="30"/>
    </row>
    <row r="108" spans="3:20" x14ac:dyDescent="0.3">
      <c r="T108" s="30"/>
    </row>
    <row r="109" spans="3:20" x14ac:dyDescent="0.3">
      <c r="C109" s="2" t="s">
        <v>2</v>
      </c>
      <c r="D109" s="2">
        <f>D107*4</f>
        <v>0.92</v>
      </c>
      <c r="E109" s="3">
        <f>E107*5</f>
        <v>1.1000000000000001</v>
      </c>
      <c r="F109" s="2">
        <f>F107*4</f>
        <v>1.36</v>
      </c>
      <c r="G109" s="2">
        <f>G107*3</f>
        <v>0.33</v>
      </c>
      <c r="H109" s="2">
        <f>H107*3</f>
        <v>0.30000000000000004</v>
      </c>
      <c r="I109" s="7">
        <f>E109+F109+G109+H109+D109</f>
        <v>4.01</v>
      </c>
      <c r="J109" s="2"/>
      <c r="T109" s="30"/>
    </row>
    <row r="110" spans="3:20" x14ac:dyDescent="0.3">
      <c r="C110" s="2" t="s">
        <v>66</v>
      </c>
      <c r="D110" s="2"/>
      <c r="E110" s="2"/>
      <c r="F110" s="2"/>
      <c r="G110" s="2"/>
      <c r="H110" s="2"/>
      <c r="J110" s="7">
        <f>J107/I109*1000</f>
        <v>399.00249376558605</v>
      </c>
      <c r="T110" s="30"/>
    </row>
    <row r="111" spans="3:20" x14ac:dyDescent="0.3">
      <c r="C111" s="2"/>
      <c r="D111" s="2"/>
      <c r="E111" s="2"/>
      <c r="F111" s="2"/>
      <c r="G111" s="2"/>
      <c r="H111" s="2"/>
      <c r="I111" s="2"/>
      <c r="T111" s="30"/>
    </row>
    <row r="112" spans="3:20" x14ac:dyDescent="0.3">
      <c r="C112" s="2" t="s">
        <v>5</v>
      </c>
      <c r="D112" s="2">
        <f>1</f>
        <v>1</v>
      </c>
      <c r="E112" s="2">
        <f>(1-K107)+N107*K107</f>
        <v>1.5</v>
      </c>
      <c r="F112" s="2">
        <f>1</f>
        <v>1</v>
      </c>
      <c r="G112" s="2">
        <f>(1-O107)+Q107*O107</f>
        <v>1.25</v>
      </c>
      <c r="H112" s="2">
        <f>R107</f>
        <v>2</v>
      </c>
      <c r="I112" s="2"/>
      <c r="T112" s="30"/>
    </row>
    <row r="113" spans="3:20" x14ac:dyDescent="0.3">
      <c r="C113" s="2" t="s">
        <v>4</v>
      </c>
      <c r="D113" s="2">
        <f>D112*D107</f>
        <v>0.23</v>
      </c>
      <c r="E113" s="2">
        <f>E112*E107</f>
        <v>0.33</v>
      </c>
      <c r="F113" s="2">
        <f>F112*F107</f>
        <v>0.34</v>
      </c>
      <c r="G113" s="2">
        <f>G112*G107</f>
        <v>0.13750000000000001</v>
      </c>
      <c r="H113" s="2">
        <f>H112*H107</f>
        <v>0.2</v>
      </c>
      <c r="I113" s="7">
        <f>E113+F113+G113+H113+D113</f>
        <v>1.2375</v>
      </c>
      <c r="T113" s="30"/>
    </row>
    <row r="114" spans="3:20" x14ac:dyDescent="0.3">
      <c r="C114" s="2" t="s">
        <v>66</v>
      </c>
      <c r="D114" s="2"/>
      <c r="E114" s="2"/>
      <c r="F114" s="2"/>
      <c r="G114" s="2"/>
      <c r="H114" s="2"/>
      <c r="J114" s="7">
        <f>J107/I113*1000</f>
        <v>1292.9292929292931</v>
      </c>
      <c r="T114" s="30"/>
    </row>
    <row r="115" spans="3:20" x14ac:dyDescent="0.3">
      <c r="T115" s="30"/>
    </row>
    <row r="116" spans="3:20" x14ac:dyDescent="0.3">
      <c r="T116" s="30"/>
    </row>
    <row r="117" spans="3:20" x14ac:dyDescent="0.3">
      <c r="E117" s="26" t="s">
        <v>136</v>
      </c>
      <c r="F117" s="26"/>
      <c r="G117" s="26"/>
      <c r="H117" s="26"/>
      <c r="T117" s="30"/>
    </row>
    <row r="118" spans="3:20" x14ac:dyDescent="0.3">
      <c r="D118" s="2" t="s">
        <v>71</v>
      </c>
      <c r="E118" s="2" t="s">
        <v>72</v>
      </c>
      <c r="F118" s="2" t="s">
        <v>73</v>
      </c>
      <c r="G118" s="2"/>
      <c r="H118" s="2" t="s">
        <v>74</v>
      </c>
      <c r="I118" s="2"/>
      <c r="J118" s="2" t="s">
        <v>75</v>
      </c>
      <c r="K118" s="2"/>
      <c r="L118" s="2" t="s">
        <v>77</v>
      </c>
      <c r="M118" s="2" t="s">
        <v>83</v>
      </c>
      <c r="T118" s="30"/>
    </row>
    <row r="119" spans="3:20" x14ac:dyDescent="0.3">
      <c r="D119" s="27">
        <v>0.18</v>
      </c>
      <c r="E119" s="17">
        <v>2</v>
      </c>
      <c r="F119" s="27">
        <v>0.05</v>
      </c>
      <c r="G119" s="17"/>
      <c r="H119" s="27">
        <v>0.04</v>
      </c>
      <c r="I119" s="17"/>
      <c r="J119" s="29">
        <v>130</v>
      </c>
      <c r="L119" s="7">
        <f>E119+F120+H120</f>
        <v>9.4359999999999999</v>
      </c>
      <c r="M119" s="16">
        <f>E119+J119+D119*J119</f>
        <v>155.4</v>
      </c>
      <c r="T119" s="30"/>
    </row>
    <row r="120" spans="3:20" x14ac:dyDescent="0.3">
      <c r="C120" s="2" t="s">
        <v>76</v>
      </c>
      <c r="F120" s="2">
        <f>F119*J119</f>
        <v>6.5</v>
      </c>
      <c r="H120" s="2">
        <f>D119*H119*J119</f>
        <v>0.93599999999999994</v>
      </c>
      <c r="T120" s="30"/>
    </row>
    <row r="122" spans="3:20" x14ac:dyDescent="0.3">
      <c r="C122" s="2" t="s">
        <v>137</v>
      </c>
      <c r="G122" s="7">
        <f>L119/E119</f>
        <v>4.718</v>
      </c>
    </row>
    <row r="123" spans="3:20" x14ac:dyDescent="0.3">
      <c r="C123" s="2" t="s">
        <v>84</v>
      </c>
      <c r="G123" s="7">
        <f>M119/L119</f>
        <v>16.468842729970326</v>
      </c>
    </row>
    <row r="124" spans="3:20" x14ac:dyDescent="0.3">
      <c r="C124" s="8" t="s">
        <v>152</v>
      </c>
      <c r="G124" s="7"/>
    </row>
    <row r="125" spans="3:20" x14ac:dyDescent="0.3">
      <c r="C125" s="1"/>
    </row>
    <row r="126" spans="3:20" x14ac:dyDescent="0.3">
      <c r="C126" s="2"/>
      <c r="D126" s="2"/>
      <c r="E126" s="2"/>
      <c r="F126" s="2"/>
      <c r="G126" s="2"/>
      <c r="H126" s="2"/>
      <c r="I126" s="2"/>
      <c r="J126" s="2"/>
      <c r="K126" s="2"/>
    </row>
    <row r="127" spans="3:20" x14ac:dyDescent="0.3">
      <c r="C127" s="2"/>
      <c r="D127" s="2"/>
      <c r="E127" s="26" t="s">
        <v>138</v>
      </c>
      <c r="F127" s="2"/>
      <c r="G127" s="2"/>
      <c r="H127" s="2"/>
      <c r="I127" s="2"/>
      <c r="J127" s="2"/>
      <c r="K127" s="2"/>
    </row>
    <row r="128" spans="3:20" x14ac:dyDescent="0.3">
      <c r="D128" s="2" t="s">
        <v>72</v>
      </c>
      <c r="E128" s="2" t="s">
        <v>139</v>
      </c>
      <c r="F128" s="2"/>
      <c r="G128" s="2" t="s">
        <v>140</v>
      </c>
      <c r="H128" s="2"/>
      <c r="I128" s="2"/>
      <c r="J128" s="2" t="s">
        <v>141</v>
      </c>
      <c r="K128" s="2"/>
      <c r="L128" s="2" t="s">
        <v>142</v>
      </c>
      <c r="M128" s="2"/>
      <c r="N128" s="2" t="s">
        <v>143</v>
      </c>
      <c r="P128" s="2" t="s">
        <v>144</v>
      </c>
    </row>
    <row r="129" spans="3:16" x14ac:dyDescent="0.3">
      <c r="D129" s="17">
        <v>1</v>
      </c>
      <c r="E129" s="17">
        <v>4</v>
      </c>
      <c r="F129" s="17"/>
      <c r="G129" s="27">
        <v>0.02</v>
      </c>
      <c r="H129" s="17"/>
      <c r="I129" s="17"/>
      <c r="J129" s="17">
        <v>100</v>
      </c>
      <c r="K129" s="17"/>
      <c r="L129" s="17">
        <v>5</v>
      </c>
      <c r="M129" s="17"/>
      <c r="N129" s="37">
        <v>5.0000000000000001E-3</v>
      </c>
      <c r="P129" s="17">
        <v>500</v>
      </c>
    </row>
    <row r="131" spans="3:16" x14ac:dyDescent="0.3">
      <c r="D131" s="2" t="s">
        <v>146</v>
      </c>
      <c r="J131" s="2" t="s">
        <v>75</v>
      </c>
    </row>
    <row r="132" spans="3:16" x14ac:dyDescent="0.3">
      <c r="C132" s="2" t="s">
        <v>145</v>
      </c>
      <c r="D132" s="2">
        <f>D129+G129*J132</f>
        <v>9</v>
      </c>
      <c r="J132" s="2">
        <f>J129*E129</f>
        <v>400</v>
      </c>
    </row>
    <row r="134" spans="3:16" x14ac:dyDescent="0.3">
      <c r="D134" s="2" t="s">
        <v>149</v>
      </c>
      <c r="J134" s="2" t="s">
        <v>148</v>
      </c>
    </row>
    <row r="135" spans="3:16" x14ac:dyDescent="0.3">
      <c r="C135" s="2" t="s">
        <v>147</v>
      </c>
      <c r="D135" s="7">
        <f>D129+G129*J135+N129*P129</f>
        <v>3.9</v>
      </c>
      <c r="J135" s="2">
        <f>L129*E129</f>
        <v>20</v>
      </c>
    </row>
    <row r="137" spans="3:16" x14ac:dyDescent="0.3">
      <c r="C137" s="2" t="s">
        <v>150</v>
      </c>
      <c r="I137" s="7">
        <f>D132/D135</f>
        <v>2.3076923076923079</v>
      </c>
    </row>
    <row r="138" spans="3:16" x14ac:dyDescent="0.3">
      <c r="C138" s="8" t="s">
        <v>151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2019-11-28T17:11:55Z</dcterms:modified>
</cp:coreProperties>
</file>