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U:\Back up\11. Verhuis uit NG II\02. Behoeftenprogramma\FOD Economie\"/>
    </mc:Choice>
  </mc:AlternateContent>
  <bookViews>
    <workbookView xWindow="0" yWindow="0" windowWidth="19200" windowHeight="7350" tabRatio="733" activeTab="3"/>
  </bookViews>
  <sheets>
    <sheet name="Partie 1 • Global" sheetId="1" r:id="rId1"/>
    <sheet name="Partie 2 • Souhaits" sheetId="2" r:id="rId2"/>
    <sheet name="Partie 3 • M.implantation" sheetId="3" r:id="rId3"/>
    <sheet name="Partie 4 • µ.implantation" sheetId="4" r:id="rId4"/>
    <sheet name="Partie 5  • parties inchangées" sheetId="8" r:id="rId5"/>
    <sheet name="Partie 4 • detail per AD of SD" sheetId="7" r:id="rId6"/>
    <sheet name="Typologie détaillée" sheetId="5" r:id="rId7"/>
    <sheet name="Données et explications" sheetId="6" r:id="rId8"/>
  </sheets>
  <definedNames>
    <definedName name="_xlnm._FilterDatabase" localSheetId="3" hidden="1">'Partie 4 • µ.implantation'!$A$3:$K$187</definedName>
    <definedName name="_xlnm._FilterDatabase" localSheetId="6" hidden="1">'Typologie détaillée'!$A$3:$Z$3</definedName>
    <definedName name="_xlnm.Print_Area" localSheetId="0">'Partie 1 • Global'!$A:$Y</definedName>
    <definedName name="_xlnm.Print_Area" localSheetId="1">'Partie 2 • Souhaits'!$A:$M</definedName>
    <definedName name="_xlnm.Print_Area" localSheetId="2">'Partie 3 • M.implantation'!$A$1:$AF$35</definedName>
    <definedName name="_xlnm.Print_Area" localSheetId="3">'Partie 4 • µ.implantation'!$A$1:$AA$75</definedName>
    <definedName name="_xlnm.Print_Area" localSheetId="6">'Typologie détaillée'!$A:$L</definedName>
    <definedName name="_xlnm.Print_Titles" localSheetId="0">'Partie 1 • Global'!$1:$2</definedName>
    <definedName name="_xlnm.Print_Titles" localSheetId="1">'Partie 2 • Souhaits'!$1:$1</definedName>
    <definedName name="_xlnm.Print_Titles" localSheetId="2">'Partie 3 • M.implantation'!$A:$D,'Partie 3 • M.implantation'!$1:$3</definedName>
    <definedName name="_xlnm.Print_Titles" localSheetId="3">'Partie 4 • µ.implantation'!$1:$4</definedName>
    <definedName name="_xlnm.Print_Titles" localSheetId="6">'Typologie détaillée'!$1:$3</definedName>
    <definedName name="Catégorie">'Données et explications'!$C$16:$C$18</definedName>
    <definedName name="CSA" localSheetId="1">'Partie 2 • Souhaits'!#REF!</definedName>
    <definedName name="CSA">'Partie 1 • Global'!$F$172</definedName>
    <definedName name="dist_gare">{"&lt;15 min.";"15-25 min.";"&gt;25 min."}</definedName>
    <definedName name="Eclairement">'Données et explications'!$C$9:$C$12</definedName>
    <definedName name="Local_type_code_det">'Typologie détaillée'!$E$4:$E$214</definedName>
    <definedName name="OA_LSA" localSheetId="1">'Partie 2 • Souhaits'!#REF!</definedName>
    <definedName name="OA_LSA">'Partie 1 • Global'!$F$171</definedName>
    <definedName name="proxi_hub">'Données et explications'!$B$21:$B$23</definedName>
    <definedName name="Surf_ETPcorr">'Données et explications'!$C$5</definedName>
    <definedName name="surface_plancher_parking">'Données et explications'!$C$27:$C$30</definedName>
    <definedName name="Typologie" localSheetId="1">'Données et explications'!#REF!</definedName>
    <definedName name="Typologie">'Données et explications'!#REF!</definedName>
    <definedName name="Z_E5A66847_4128_474A_BF72_991F91DA1EB4_.wvu.FilterData" localSheetId="3" hidden="1">'Partie 4 • µ.implantation'!$A$3:$K$187</definedName>
    <definedName name="Z_E5A66847_4128_474A_BF72_991F91DA1EB4_.wvu.FilterData" localSheetId="6" hidden="1">'Typologie détaillée'!$A$3:$Z$3</definedName>
    <definedName name="Z_E5A66847_4128_474A_BF72_991F91DA1EB4_.wvu.PrintArea" localSheetId="0" hidden="1">'Partie 1 • Global'!$A:$Y</definedName>
    <definedName name="Z_E5A66847_4128_474A_BF72_991F91DA1EB4_.wvu.PrintArea" localSheetId="1" hidden="1">'Partie 2 • Souhaits'!$A:$V</definedName>
    <definedName name="Z_E5A66847_4128_474A_BF72_991F91DA1EB4_.wvu.PrintArea" localSheetId="2" hidden="1">'Partie 3 • M.implantation'!$A$1:$AF$35</definedName>
    <definedName name="Z_E5A66847_4128_474A_BF72_991F91DA1EB4_.wvu.PrintArea" localSheetId="3" hidden="1">'Partie 4 • µ.implantation'!$A:$AA</definedName>
    <definedName name="Z_E5A66847_4128_474A_BF72_991F91DA1EB4_.wvu.PrintArea" localSheetId="6" hidden="1">'Typologie détaillée'!$A:$L</definedName>
    <definedName name="Z_E5A66847_4128_474A_BF72_991F91DA1EB4_.wvu.PrintTitles" localSheetId="0" hidden="1">'Partie 1 • Global'!$1:$2</definedName>
    <definedName name="Z_E5A66847_4128_474A_BF72_991F91DA1EB4_.wvu.PrintTitles" localSheetId="1" hidden="1">'Partie 2 • Souhaits'!$1:$1</definedName>
    <definedName name="Z_E5A66847_4128_474A_BF72_991F91DA1EB4_.wvu.PrintTitles" localSheetId="2" hidden="1">'Partie 3 • M.implantation'!$A:$D,'Partie 3 • M.implantation'!$1:$3</definedName>
    <definedName name="Z_E5A66847_4128_474A_BF72_991F91DA1EB4_.wvu.PrintTitles" localSheetId="3" hidden="1">'Partie 4 • µ.implantation'!$1:$4</definedName>
    <definedName name="Z_E5A66847_4128_474A_BF72_991F91DA1EB4_.wvu.PrintTitles" localSheetId="6" hidden="1">'Typologie détaillée'!$1:$3</definedName>
  </definedNames>
  <calcPr calcId="162913"/>
  <customWorkbookViews>
    <customWorkbookView name="Geoffroy Magnan - Personal View" guid="{E5A66847-4128-474A-BF72-991F91DA1EB4}" mergeInterval="0" personalView="1" yWindow="23" windowWidth="1440" windowHeight="851" tabRatio="73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4" l="1"/>
  <c r="R44" i="4"/>
  <c r="V44" i="4" s="1"/>
  <c r="T44" i="4"/>
  <c r="U44" i="4"/>
  <c r="X44" i="4"/>
  <c r="Y44" i="4"/>
  <c r="Z44" i="4"/>
  <c r="L44" i="4"/>
  <c r="M44" i="4"/>
  <c r="P44" i="4"/>
  <c r="D44" i="4"/>
  <c r="E44" i="4"/>
  <c r="R57" i="4"/>
  <c r="L57" i="4"/>
  <c r="P57" i="4"/>
  <c r="P55" i="4"/>
  <c r="L55" i="4"/>
  <c r="K55" i="4" s="1"/>
  <c r="R55" i="4" s="1"/>
  <c r="E55" i="4"/>
  <c r="D55" i="4"/>
  <c r="P54" i="4"/>
  <c r="M54" i="4"/>
  <c r="L54" i="4"/>
  <c r="K54" i="4" s="1"/>
  <c r="R54" i="4" s="1"/>
  <c r="E54" i="4"/>
  <c r="D54" i="4"/>
  <c r="P53" i="4"/>
  <c r="M53" i="4"/>
  <c r="L53" i="4"/>
  <c r="E53" i="4"/>
  <c r="D53" i="4"/>
  <c r="P52" i="4"/>
  <c r="M52" i="4"/>
  <c r="K52" i="4" s="1"/>
  <c r="R52" i="4" s="1"/>
  <c r="E52" i="4"/>
  <c r="D52" i="4"/>
  <c r="P51" i="4"/>
  <c r="M51" i="4"/>
  <c r="L51" i="4"/>
  <c r="E51" i="4"/>
  <c r="D51" i="4"/>
  <c r="P50" i="4"/>
  <c r="M50" i="4"/>
  <c r="L50" i="4"/>
  <c r="K50" i="4"/>
  <c r="R50" i="4" s="1"/>
  <c r="E50" i="4"/>
  <c r="D50" i="4"/>
  <c r="P49" i="4"/>
  <c r="M49" i="4"/>
  <c r="L49" i="4"/>
  <c r="E49" i="4"/>
  <c r="D49" i="4"/>
  <c r="P48" i="4"/>
  <c r="M48" i="4"/>
  <c r="L48" i="4"/>
  <c r="E48" i="4"/>
  <c r="D48" i="4"/>
  <c r="P47" i="4"/>
  <c r="M47" i="4"/>
  <c r="L47" i="4"/>
  <c r="K47" i="4" s="1"/>
  <c r="R47" i="4" s="1"/>
  <c r="E47" i="4"/>
  <c r="D47" i="4"/>
  <c r="P46" i="4"/>
  <c r="M46" i="4"/>
  <c r="L46" i="4"/>
  <c r="K46" i="4" s="1"/>
  <c r="R46" i="4" s="1"/>
  <c r="E46" i="4"/>
  <c r="D46" i="4"/>
  <c r="P45" i="4"/>
  <c r="M45" i="4"/>
  <c r="L45" i="4"/>
  <c r="K45" i="4" s="1"/>
  <c r="R45" i="4" s="1"/>
  <c r="E45" i="4"/>
  <c r="D45" i="4"/>
  <c r="P43" i="4"/>
  <c r="M43" i="4"/>
  <c r="L43" i="4"/>
  <c r="K43" i="4" s="1"/>
  <c r="R43" i="4" s="1"/>
  <c r="E43" i="4"/>
  <c r="D43" i="4"/>
  <c r="P42" i="4"/>
  <c r="M42" i="4"/>
  <c r="N42" i="4" s="1"/>
  <c r="L42" i="4"/>
  <c r="E42" i="4"/>
  <c r="D42" i="4"/>
  <c r="Q41" i="4"/>
  <c r="P41" i="4"/>
  <c r="M41" i="4"/>
  <c r="N41" i="4" s="1"/>
  <c r="L41" i="4"/>
  <c r="E41" i="4"/>
  <c r="D41" i="4"/>
  <c r="Q40" i="4"/>
  <c r="P40" i="4"/>
  <c r="M40" i="4"/>
  <c r="L40" i="4"/>
  <c r="K40" i="4" s="1"/>
  <c r="R40" i="4" s="1"/>
  <c r="E40" i="4"/>
  <c r="D40" i="4"/>
  <c r="Q39" i="4"/>
  <c r="P39" i="4"/>
  <c r="M39" i="4"/>
  <c r="L39" i="4"/>
  <c r="K39" i="4" s="1"/>
  <c r="R39" i="4" s="1"/>
  <c r="E39" i="4"/>
  <c r="D39" i="4"/>
  <c r="R38" i="4"/>
  <c r="Q38" i="4"/>
  <c r="P38" i="4"/>
  <c r="M38" i="4"/>
  <c r="L38" i="4"/>
  <c r="E38" i="4"/>
  <c r="D38" i="4"/>
  <c r="Q37" i="4"/>
  <c r="P37" i="4"/>
  <c r="N37" i="4"/>
  <c r="L37" i="4"/>
  <c r="E37" i="4"/>
  <c r="D37" i="4"/>
  <c r="Q36" i="4"/>
  <c r="P36" i="4"/>
  <c r="N36" i="4"/>
  <c r="L36" i="4"/>
  <c r="K36" i="4" s="1"/>
  <c r="R36" i="4" s="1"/>
  <c r="E36" i="4"/>
  <c r="D36" i="4"/>
  <c r="Q35" i="4"/>
  <c r="P35" i="4"/>
  <c r="L35" i="4"/>
  <c r="K35" i="4" s="1"/>
  <c r="R35" i="4" s="1"/>
  <c r="E35" i="4"/>
  <c r="D35" i="4"/>
  <c r="Q34" i="4"/>
  <c r="P34" i="4"/>
  <c r="L34" i="4"/>
  <c r="K34" i="4" s="1"/>
  <c r="R34" i="4" s="1"/>
  <c r="E34" i="4"/>
  <c r="D34" i="4"/>
  <c r="Q33" i="4"/>
  <c r="P33" i="4"/>
  <c r="N33" i="4"/>
  <c r="M33" i="4"/>
  <c r="L33" i="4"/>
  <c r="E33" i="4"/>
  <c r="D33" i="4"/>
  <c r="P32" i="4"/>
  <c r="M32" i="4"/>
  <c r="L32" i="4"/>
  <c r="K32" i="4" s="1"/>
  <c r="R32" i="4" s="1"/>
  <c r="E32" i="4"/>
  <c r="D32" i="4"/>
  <c r="P31" i="4"/>
  <c r="M31" i="4"/>
  <c r="L31" i="4"/>
  <c r="K31" i="4" s="1"/>
  <c r="R31" i="4" s="1"/>
  <c r="E31" i="4"/>
  <c r="D31" i="4"/>
  <c r="Q30" i="4"/>
  <c r="P30" i="4"/>
  <c r="M30" i="4"/>
  <c r="L30" i="4"/>
  <c r="K30" i="4" s="1"/>
  <c r="R30" i="4" s="1"/>
  <c r="E30" i="4"/>
  <c r="D30" i="4"/>
  <c r="Q29" i="4"/>
  <c r="P29" i="4"/>
  <c r="M29" i="4"/>
  <c r="K29" i="4" s="1"/>
  <c r="R29" i="4" s="1"/>
  <c r="L29" i="4"/>
  <c r="E29" i="4"/>
  <c r="D29" i="4"/>
  <c r="Q28" i="4"/>
  <c r="P28" i="4"/>
  <c r="M28" i="4"/>
  <c r="L28" i="4"/>
  <c r="K28" i="4" s="1"/>
  <c r="R28" i="4" s="1"/>
  <c r="E28" i="4"/>
  <c r="D28" i="4"/>
  <c r="Q27" i="4"/>
  <c r="P27" i="4"/>
  <c r="M27" i="4"/>
  <c r="L27" i="4"/>
  <c r="K27" i="4" s="1"/>
  <c r="R27" i="4" s="1"/>
  <c r="E27" i="4"/>
  <c r="D27" i="4"/>
  <c r="M26" i="4"/>
  <c r="L26" i="4"/>
  <c r="E26" i="4"/>
  <c r="D26" i="4"/>
  <c r="Q25" i="4"/>
  <c r="P25" i="4"/>
  <c r="M25" i="4"/>
  <c r="L25" i="4"/>
  <c r="E25" i="4"/>
  <c r="D25" i="4"/>
  <c r="M24" i="4"/>
  <c r="L24" i="4"/>
  <c r="K24" i="4" s="1"/>
  <c r="E24" i="4"/>
  <c r="D24" i="4"/>
  <c r="R59" i="4"/>
  <c r="Q59" i="4"/>
  <c r="P59" i="4"/>
  <c r="M59" i="4"/>
  <c r="L59" i="4"/>
  <c r="E59" i="4"/>
  <c r="D59" i="4"/>
  <c r="Q23" i="4"/>
  <c r="P23" i="4"/>
  <c r="M23" i="4"/>
  <c r="L23" i="4"/>
  <c r="K23" i="4" s="1"/>
  <c r="R23" i="4" s="1"/>
  <c r="E23" i="4"/>
  <c r="D23" i="4"/>
  <c r="Q22" i="4"/>
  <c r="P22" i="4"/>
  <c r="M22" i="4"/>
  <c r="L22" i="4"/>
  <c r="K22" i="4" s="1"/>
  <c r="R22" i="4" s="1"/>
  <c r="E22" i="4"/>
  <c r="D22" i="4"/>
  <c r="P21" i="4"/>
  <c r="M21" i="4"/>
  <c r="L21" i="4"/>
  <c r="E21" i="4"/>
  <c r="D21" i="4"/>
  <c r="AA44" i="4" l="1"/>
  <c r="K48" i="4"/>
  <c r="R48" i="4" s="1"/>
  <c r="K53" i="4"/>
  <c r="R53" i="4" s="1"/>
  <c r="K49" i="4"/>
  <c r="R49" i="4" s="1"/>
  <c r="K25" i="4"/>
  <c r="R25" i="4" s="1"/>
  <c r="K33" i="4"/>
  <c r="R33" i="4" s="1"/>
  <c r="K37" i="4"/>
  <c r="R37" i="4" s="1"/>
  <c r="K51" i="4"/>
  <c r="R51" i="4" s="1"/>
  <c r="K41" i="4"/>
  <c r="R41" i="4" s="1"/>
  <c r="K42" i="4"/>
  <c r="R42" i="4" s="1"/>
  <c r="K26" i="4"/>
  <c r="K21" i="4"/>
  <c r="R21" i="4" s="1"/>
  <c r="R56" i="4"/>
  <c r="L56" i="4"/>
  <c r="P56" i="4"/>
  <c r="Q56" i="4"/>
  <c r="D56" i="4"/>
  <c r="E56" i="4"/>
  <c r="I78" i="8"/>
  <c r="R95" i="8" l="1"/>
  <c r="L95" i="8"/>
  <c r="K159" i="1" l="1"/>
  <c r="X157" i="1"/>
  <c r="L67" i="4" l="1"/>
  <c r="L66" i="4"/>
  <c r="L99" i="8"/>
  <c r="L105" i="8"/>
  <c r="L104" i="8"/>
  <c r="P72" i="8"/>
  <c r="Q72" i="8"/>
  <c r="P73" i="8"/>
  <c r="Q73" i="8"/>
  <c r="P74" i="8"/>
  <c r="Q74" i="8"/>
  <c r="P75" i="8"/>
  <c r="Q75" i="8"/>
  <c r="P76" i="8"/>
  <c r="Q76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L64" i="8"/>
  <c r="M64" i="8"/>
  <c r="L65" i="8"/>
  <c r="M65" i="8"/>
  <c r="L66" i="8"/>
  <c r="M66" i="8"/>
  <c r="D64" i="8"/>
  <c r="E64" i="8"/>
  <c r="D65" i="8"/>
  <c r="E65" i="8"/>
  <c r="D66" i="8"/>
  <c r="E6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7" i="8"/>
  <c r="M67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7" i="8"/>
  <c r="E6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68" i="8"/>
  <c r="M68" i="8"/>
  <c r="P28" i="8"/>
  <c r="Q28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68" i="8"/>
  <c r="E68" i="8"/>
  <c r="P70" i="8"/>
  <c r="Q70" i="8"/>
  <c r="P71" i="8"/>
  <c r="Q71" i="8"/>
  <c r="P77" i="8"/>
  <c r="Q77" i="8"/>
  <c r="P78" i="8"/>
  <c r="Q78" i="8"/>
  <c r="R78" i="8"/>
  <c r="P80" i="8"/>
  <c r="Q80" i="8"/>
  <c r="P82" i="8"/>
  <c r="Q82" i="8"/>
  <c r="P25" i="8"/>
  <c r="Q25" i="8"/>
  <c r="P26" i="8"/>
  <c r="Q26" i="8"/>
  <c r="P27" i="8"/>
  <c r="Q27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69" i="8"/>
  <c r="M69" i="8"/>
  <c r="L70" i="8"/>
  <c r="M70" i="8"/>
  <c r="L71" i="8"/>
  <c r="M71" i="8"/>
  <c r="L72" i="8"/>
  <c r="M72" i="8"/>
  <c r="L73" i="8"/>
  <c r="M73" i="8"/>
  <c r="P24" i="8"/>
  <c r="Q24" i="8"/>
  <c r="P23" i="8"/>
  <c r="Q23" i="8"/>
  <c r="P22" i="8"/>
  <c r="Q22" i="8"/>
  <c r="P21" i="8"/>
  <c r="Q21" i="8"/>
  <c r="P20" i="8"/>
  <c r="Q20" i="8"/>
  <c r="P19" i="8"/>
  <c r="Q19" i="8"/>
  <c r="P18" i="8"/>
  <c r="Q18" i="8"/>
  <c r="P17" i="8"/>
  <c r="Q17" i="8"/>
  <c r="P16" i="8"/>
  <c r="Q16" i="8"/>
  <c r="P15" i="8"/>
  <c r="Q15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69" i="8"/>
  <c r="E69" i="8"/>
  <c r="D70" i="8"/>
  <c r="E70" i="8"/>
  <c r="D71" i="8"/>
  <c r="E71" i="8"/>
  <c r="D72" i="8"/>
  <c r="E72" i="8"/>
  <c r="D73" i="8"/>
  <c r="E73" i="8"/>
  <c r="K66" i="8" l="1"/>
  <c r="R66" i="8" s="1"/>
  <c r="K64" i="8"/>
  <c r="R64" i="8" s="1"/>
  <c r="K65" i="8"/>
  <c r="R65" i="8" s="1"/>
  <c r="K61" i="8"/>
  <c r="R61" i="8" s="1"/>
  <c r="K59" i="8"/>
  <c r="R59" i="8" s="1"/>
  <c r="K62" i="8"/>
  <c r="R62" i="8" s="1"/>
  <c r="K58" i="8"/>
  <c r="R58" i="8" s="1"/>
  <c r="K54" i="8"/>
  <c r="R54" i="8" s="1"/>
  <c r="K52" i="8"/>
  <c r="R52" i="8" s="1"/>
  <c r="K50" i="8"/>
  <c r="R50" i="8" s="1"/>
  <c r="K67" i="8"/>
  <c r="R67" i="8" s="1"/>
  <c r="K57" i="8"/>
  <c r="R57" i="8" s="1"/>
  <c r="K55" i="8"/>
  <c r="R55" i="8" s="1"/>
  <c r="K48" i="8"/>
  <c r="R48" i="8" s="1"/>
  <c r="K73" i="8"/>
  <c r="R73" i="8" s="1"/>
  <c r="K71" i="8"/>
  <c r="R71" i="8" s="1"/>
  <c r="K69" i="8"/>
  <c r="R69" i="8" s="1"/>
  <c r="K60" i="8"/>
  <c r="R60" i="8" s="1"/>
  <c r="K53" i="8"/>
  <c r="R53" i="8" s="1"/>
  <c r="K51" i="8"/>
  <c r="R51" i="8" s="1"/>
  <c r="K63" i="8"/>
  <c r="R63" i="8" s="1"/>
  <c r="K56" i="8"/>
  <c r="R56" i="8" s="1"/>
  <c r="K49" i="8"/>
  <c r="R49" i="8" s="1"/>
  <c r="K47" i="8"/>
  <c r="R47" i="8" s="1"/>
  <c r="K46" i="8"/>
  <c r="R46" i="8" s="1"/>
  <c r="K44" i="8"/>
  <c r="R44" i="8" s="1"/>
  <c r="K42" i="8"/>
  <c r="R42" i="8" s="1"/>
  <c r="K40" i="8"/>
  <c r="R40" i="8" s="1"/>
  <c r="K38" i="8"/>
  <c r="R38" i="8" s="1"/>
  <c r="K36" i="8"/>
  <c r="R36" i="8" s="1"/>
  <c r="K34" i="8"/>
  <c r="R34" i="8" s="1"/>
  <c r="K32" i="8"/>
  <c r="R32" i="8" s="1"/>
  <c r="K30" i="8"/>
  <c r="R30" i="8" s="1"/>
  <c r="K28" i="8"/>
  <c r="R28" i="8" s="1"/>
  <c r="K72" i="8"/>
  <c r="R72" i="8" s="1"/>
  <c r="K70" i="8"/>
  <c r="R70" i="8" s="1"/>
  <c r="K68" i="8"/>
  <c r="R68" i="8" s="1"/>
  <c r="K45" i="8"/>
  <c r="R45" i="8" s="1"/>
  <c r="K43" i="8"/>
  <c r="R43" i="8" s="1"/>
  <c r="K41" i="8"/>
  <c r="R41" i="8" s="1"/>
  <c r="K39" i="8"/>
  <c r="R39" i="8" s="1"/>
  <c r="K37" i="8"/>
  <c r="R37" i="8" s="1"/>
  <c r="K35" i="8"/>
  <c r="R35" i="8" s="1"/>
  <c r="K33" i="8"/>
  <c r="R33" i="8" s="1"/>
  <c r="K31" i="8"/>
  <c r="R31" i="8" s="1"/>
  <c r="K29" i="8"/>
  <c r="R29" i="8" s="1"/>
  <c r="K15" i="8"/>
  <c r="R15" i="8" s="1"/>
  <c r="K26" i="8"/>
  <c r="R26" i="8" s="1"/>
  <c r="K24" i="8"/>
  <c r="R24" i="8" s="1"/>
  <c r="K22" i="8"/>
  <c r="R22" i="8" s="1"/>
  <c r="K20" i="8"/>
  <c r="R20" i="8" s="1"/>
  <c r="K18" i="8"/>
  <c r="R18" i="8" s="1"/>
  <c r="K16" i="8"/>
  <c r="R16" i="8" s="1"/>
  <c r="K27" i="8"/>
  <c r="R27" i="8" s="1"/>
  <c r="K21" i="8"/>
  <c r="R21" i="8" s="1"/>
  <c r="K25" i="8"/>
  <c r="R25" i="8" s="1"/>
  <c r="K23" i="8"/>
  <c r="R23" i="8" s="1"/>
  <c r="K19" i="8"/>
  <c r="R19" i="8" s="1"/>
  <c r="K17" i="8"/>
  <c r="R17" i="8" s="1"/>
  <c r="B228" i="8"/>
  <c r="R227" i="8"/>
  <c r="Q227" i="8"/>
  <c r="P227" i="8"/>
  <c r="E227" i="8"/>
  <c r="D227" i="8"/>
  <c r="R226" i="8"/>
  <c r="Q226" i="8"/>
  <c r="P226" i="8"/>
  <c r="E226" i="8"/>
  <c r="D226" i="8"/>
  <c r="B225" i="8"/>
  <c r="R224" i="8"/>
  <c r="Q224" i="8"/>
  <c r="P224" i="8"/>
  <c r="E224" i="8"/>
  <c r="D224" i="8"/>
  <c r="R223" i="8"/>
  <c r="Q223" i="8"/>
  <c r="P223" i="8"/>
  <c r="E223" i="8"/>
  <c r="D223" i="8"/>
  <c r="R222" i="8"/>
  <c r="Q222" i="8"/>
  <c r="P222" i="8"/>
  <c r="E222" i="8"/>
  <c r="D222" i="8"/>
  <c r="R221" i="8"/>
  <c r="Q221" i="8"/>
  <c r="P221" i="8"/>
  <c r="E221" i="8"/>
  <c r="D221" i="8"/>
  <c r="R220" i="8"/>
  <c r="Q220" i="8"/>
  <c r="P220" i="8"/>
  <c r="E220" i="8"/>
  <c r="D220" i="8"/>
  <c r="R219" i="8"/>
  <c r="Q219" i="8"/>
  <c r="P219" i="8"/>
  <c r="E219" i="8"/>
  <c r="D219" i="8"/>
  <c r="R218" i="8"/>
  <c r="Q218" i="8"/>
  <c r="P218" i="8"/>
  <c r="E218" i="8"/>
  <c r="D218" i="8"/>
  <c r="R217" i="8"/>
  <c r="Q217" i="8"/>
  <c r="P217" i="8"/>
  <c r="E217" i="8"/>
  <c r="D217" i="8"/>
  <c r="R216" i="8"/>
  <c r="Q216" i="8"/>
  <c r="P216" i="8"/>
  <c r="E216" i="8"/>
  <c r="D216" i="8"/>
  <c r="R215" i="8"/>
  <c r="Q215" i="8"/>
  <c r="P215" i="8"/>
  <c r="E215" i="8"/>
  <c r="D215" i="8"/>
  <c r="R214" i="8"/>
  <c r="Q214" i="8"/>
  <c r="P214" i="8"/>
  <c r="E214" i="8"/>
  <c r="D214" i="8"/>
  <c r="R213" i="8"/>
  <c r="Q213" i="8"/>
  <c r="P213" i="8"/>
  <c r="E213" i="8"/>
  <c r="D213" i="8"/>
  <c r="R212" i="8"/>
  <c r="Q212" i="8"/>
  <c r="P212" i="8"/>
  <c r="E212" i="8"/>
  <c r="D212" i="8"/>
  <c r="R211" i="8"/>
  <c r="Q211" i="8"/>
  <c r="P211" i="8"/>
  <c r="E211" i="8"/>
  <c r="D211" i="8"/>
  <c r="R210" i="8"/>
  <c r="Q210" i="8"/>
  <c r="P210" i="8"/>
  <c r="E210" i="8"/>
  <c r="D210" i="8"/>
  <c r="R209" i="8"/>
  <c r="Q209" i="8"/>
  <c r="P209" i="8"/>
  <c r="E209" i="8"/>
  <c r="D209" i="8"/>
  <c r="R208" i="8"/>
  <c r="Q208" i="8"/>
  <c r="P208" i="8"/>
  <c r="E208" i="8"/>
  <c r="D208" i="8"/>
  <c r="B207" i="8"/>
  <c r="R206" i="8"/>
  <c r="Q206" i="8"/>
  <c r="P206" i="8"/>
  <c r="E206" i="8"/>
  <c r="D206" i="8"/>
  <c r="R205" i="8"/>
  <c r="Q205" i="8"/>
  <c r="P205" i="8"/>
  <c r="E205" i="8"/>
  <c r="D205" i="8"/>
  <c r="B204" i="8"/>
  <c r="R203" i="8"/>
  <c r="Q203" i="8"/>
  <c r="P203" i="8"/>
  <c r="E203" i="8"/>
  <c r="D203" i="8"/>
  <c r="R202" i="8"/>
  <c r="Q202" i="8"/>
  <c r="P202" i="8"/>
  <c r="E202" i="8"/>
  <c r="D202" i="8"/>
  <c r="B201" i="8"/>
  <c r="R200" i="8"/>
  <c r="R201" i="8" s="1"/>
  <c r="Q200" i="8"/>
  <c r="Q201" i="8" s="1"/>
  <c r="P200" i="8"/>
  <c r="P201" i="8" s="1"/>
  <c r="E200" i="8"/>
  <c r="D200" i="8"/>
  <c r="B199" i="8"/>
  <c r="R198" i="8"/>
  <c r="Q198" i="8"/>
  <c r="P198" i="8"/>
  <c r="E198" i="8"/>
  <c r="D198" i="8"/>
  <c r="R197" i="8"/>
  <c r="Q197" i="8"/>
  <c r="P197" i="8"/>
  <c r="E197" i="8"/>
  <c r="D197" i="8"/>
  <c r="R196" i="8"/>
  <c r="Q196" i="8"/>
  <c r="P196" i="8"/>
  <c r="E196" i="8"/>
  <c r="D196" i="8"/>
  <c r="R195" i="8"/>
  <c r="Q195" i="8"/>
  <c r="P195" i="8"/>
  <c r="E195" i="8"/>
  <c r="D195" i="8"/>
  <c r="R194" i="8"/>
  <c r="Q194" i="8"/>
  <c r="P194" i="8"/>
  <c r="E194" i="8"/>
  <c r="D194" i="8"/>
  <c r="B193" i="8"/>
  <c r="R192" i="8"/>
  <c r="Q192" i="8"/>
  <c r="P192" i="8"/>
  <c r="E192" i="8"/>
  <c r="D192" i="8"/>
  <c r="R191" i="8"/>
  <c r="Q191" i="8"/>
  <c r="P191" i="8"/>
  <c r="E191" i="8"/>
  <c r="D191" i="8"/>
  <c r="R190" i="8"/>
  <c r="Q190" i="8"/>
  <c r="P190" i="8"/>
  <c r="E190" i="8"/>
  <c r="D190" i="8"/>
  <c r="R189" i="8"/>
  <c r="Q189" i="8"/>
  <c r="P189" i="8"/>
  <c r="E189" i="8"/>
  <c r="D189" i="8"/>
  <c r="B188" i="8"/>
  <c r="R187" i="8"/>
  <c r="R188" i="8" s="1"/>
  <c r="Q187" i="8"/>
  <c r="Q188" i="8" s="1"/>
  <c r="P187" i="8"/>
  <c r="P188" i="8" s="1"/>
  <c r="E187" i="8"/>
  <c r="D187" i="8"/>
  <c r="B186" i="8"/>
  <c r="R185" i="8"/>
  <c r="Q185" i="8"/>
  <c r="P185" i="8"/>
  <c r="E185" i="8"/>
  <c r="D185" i="8"/>
  <c r="R184" i="8"/>
  <c r="Q184" i="8"/>
  <c r="P184" i="8"/>
  <c r="E184" i="8"/>
  <c r="D184" i="8"/>
  <c r="R183" i="8"/>
  <c r="Q183" i="8"/>
  <c r="P183" i="8"/>
  <c r="E183" i="8"/>
  <c r="D183" i="8"/>
  <c r="R182" i="8"/>
  <c r="Q182" i="8"/>
  <c r="P182" i="8"/>
  <c r="E182" i="8"/>
  <c r="D182" i="8"/>
  <c r="R181" i="8"/>
  <c r="Q181" i="8"/>
  <c r="P181" i="8"/>
  <c r="E181" i="8"/>
  <c r="D181" i="8"/>
  <c r="R180" i="8"/>
  <c r="Q180" i="8"/>
  <c r="P180" i="8"/>
  <c r="E180" i="8"/>
  <c r="D180" i="8"/>
  <c r="R179" i="8"/>
  <c r="Q179" i="8"/>
  <c r="P179" i="8"/>
  <c r="E179" i="8"/>
  <c r="D179" i="8"/>
  <c r="R178" i="8"/>
  <c r="Q178" i="8"/>
  <c r="P178" i="8"/>
  <c r="E178" i="8"/>
  <c r="D178" i="8"/>
  <c r="B177" i="8"/>
  <c r="R176" i="8"/>
  <c r="Q176" i="8"/>
  <c r="P176" i="8"/>
  <c r="E176" i="8"/>
  <c r="D176" i="8"/>
  <c r="R175" i="8"/>
  <c r="Q175" i="8"/>
  <c r="P175" i="8"/>
  <c r="E175" i="8"/>
  <c r="D175" i="8"/>
  <c r="R174" i="8"/>
  <c r="Q174" i="8"/>
  <c r="P174" i="8"/>
  <c r="E174" i="8"/>
  <c r="D174" i="8"/>
  <c r="R173" i="8"/>
  <c r="Q173" i="8"/>
  <c r="P173" i="8"/>
  <c r="E173" i="8"/>
  <c r="D173" i="8"/>
  <c r="R172" i="8"/>
  <c r="Q172" i="8"/>
  <c r="P172" i="8"/>
  <c r="E172" i="8"/>
  <c r="D172" i="8"/>
  <c r="R171" i="8"/>
  <c r="Q171" i="8"/>
  <c r="P171" i="8"/>
  <c r="E171" i="8"/>
  <c r="D171" i="8"/>
  <c r="R170" i="8"/>
  <c r="Q170" i="8"/>
  <c r="P170" i="8"/>
  <c r="E170" i="8"/>
  <c r="D170" i="8"/>
  <c r="B169" i="8"/>
  <c r="R168" i="8"/>
  <c r="Q168" i="8"/>
  <c r="P168" i="8"/>
  <c r="E168" i="8"/>
  <c r="D168" i="8"/>
  <c r="R167" i="8"/>
  <c r="Q167" i="8"/>
  <c r="P167" i="8"/>
  <c r="E167" i="8"/>
  <c r="D167" i="8"/>
  <c r="R166" i="8"/>
  <c r="Q166" i="8"/>
  <c r="P166" i="8"/>
  <c r="E166" i="8"/>
  <c r="D166" i="8"/>
  <c r="R165" i="8"/>
  <c r="Q165" i="8"/>
  <c r="P165" i="8"/>
  <c r="E165" i="8"/>
  <c r="D165" i="8"/>
  <c r="R164" i="8"/>
  <c r="Q164" i="8"/>
  <c r="P164" i="8"/>
  <c r="E164" i="8"/>
  <c r="D164" i="8"/>
  <c r="R163" i="8"/>
  <c r="Q163" i="8"/>
  <c r="P163" i="8"/>
  <c r="E163" i="8"/>
  <c r="D163" i="8"/>
  <c r="R162" i="8"/>
  <c r="Q162" i="8"/>
  <c r="P162" i="8"/>
  <c r="E162" i="8"/>
  <c r="D162" i="8"/>
  <c r="R161" i="8"/>
  <c r="Q161" i="8"/>
  <c r="P161" i="8"/>
  <c r="E161" i="8"/>
  <c r="D161" i="8"/>
  <c r="R160" i="8"/>
  <c r="Q160" i="8"/>
  <c r="P160" i="8"/>
  <c r="E160" i="8"/>
  <c r="D160" i="8"/>
  <c r="R159" i="8"/>
  <c r="Q159" i="8"/>
  <c r="P159" i="8"/>
  <c r="E159" i="8"/>
  <c r="D159" i="8"/>
  <c r="B158" i="8"/>
  <c r="R157" i="8"/>
  <c r="Q157" i="8"/>
  <c r="P157" i="8"/>
  <c r="E157" i="8"/>
  <c r="D157" i="8"/>
  <c r="R156" i="8"/>
  <c r="Q156" i="8"/>
  <c r="P156" i="8"/>
  <c r="E156" i="8"/>
  <c r="D156" i="8"/>
  <c r="R155" i="8"/>
  <c r="Q155" i="8"/>
  <c r="P155" i="8"/>
  <c r="E155" i="8"/>
  <c r="D155" i="8"/>
  <c r="R154" i="8"/>
  <c r="Q154" i="8"/>
  <c r="P154" i="8"/>
  <c r="E154" i="8"/>
  <c r="D154" i="8"/>
  <c r="R153" i="8"/>
  <c r="Q153" i="8"/>
  <c r="P153" i="8"/>
  <c r="E153" i="8"/>
  <c r="D153" i="8"/>
  <c r="R152" i="8"/>
  <c r="Q152" i="8"/>
  <c r="P152" i="8"/>
  <c r="E152" i="8"/>
  <c r="D152" i="8"/>
  <c r="R151" i="8"/>
  <c r="Q151" i="8"/>
  <c r="P151" i="8"/>
  <c r="E151" i="8"/>
  <c r="D151" i="8"/>
  <c r="R150" i="8"/>
  <c r="Q150" i="8"/>
  <c r="P150" i="8"/>
  <c r="E150" i="8"/>
  <c r="D150" i="8"/>
  <c r="R149" i="8"/>
  <c r="Q149" i="8"/>
  <c r="P149" i="8"/>
  <c r="E149" i="8"/>
  <c r="D149" i="8"/>
  <c r="B148" i="8"/>
  <c r="R147" i="8"/>
  <c r="Q147" i="8"/>
  <c r="P147" i="8"/>
  <c r="E147" i="8"/>
  <c r="D147" i="8"/>
  <c r="R146" i="8"/>
  <c r="Q146" i="8"/>
  <c r="P146" i="8"/>
  <c r="E146" i="8"/>
  <c r="D146" i="8"/>
  <c r="R145" i="8"/>
  <c r="Q145" i="8"/>
  <c r="P145" i="8"/>
  <c r="E145" i="8"/>
  <c r="D145" i="8"/>
  <c r="R144" i="8"/>
  <c r="Q144" i="8"/>
  <c r="P144" i="8"/>
  <c r="E144" i="8"/>
  <c r="D144" i="8"/>
  <c r="R143" i="8"/>
  <c r="Q143" i="8"/>
  <c r="P143" i="8"/>
  <c r="E143" i="8"/>
  <c r="D143" i="8"/>
  <c r="R142" i="8"/>
  <c r="Q142" i="8"/>
  <c r="P142" i="8"/>
  <c r="E142" i="8"/>
  <c r="D142" i="8"/>
  <c r="R141" i="8"/>
  <c r="Q141" i="8"/>
  <c r="P141" i="8"/>
  <c r="E141" i="8"/>
  <c r="D141" i="8"/>
  <c r="B140" i="8"/>
  <c r="R139" i="8"/>
  <c r="Q139" i="8"/>
  <c r="P139" i="8"/>
  <c r="E139" i="8"/>
  <c r="D139" i="8"/>
  <c r="R138" i="8"/>
  <c r="Q138" i="8"/>
  <c r="P138" i="8"/>
  <c r="E138" i="8"/>
  <c r="D138" i="8"/>
  <c r="R137" i="8"/>
  <c r="Q137" i="8"/>
  <c r="P137" i="8"/>
  <c r="E137" i="8"/>
  <c r="D137" i="8"/>
  <c r="B136" i="8"/>
  <c r="R135" i="8"/>
  <c r="Q135" i="8"/>
  <c r="P135" i="8"/>
  <c r="E135" i="8"/>
  <c r="D135" i="8"/>
  <c r="R134" i="8"/>
  <c r="Q134" i="8"/>
  <c r="P134" i="8"/>
  <c r="E134" i="8"/>
  <c r="D134" i="8"/>
  <c r="R133" i="8"/>
  <c r="Q133" i="8"/>
  <c r="P133" i="8"/>
  <c r="E133" i="8"/>
  <c r="D133" i="8"/>
  <c r="R132" i="8"/>
  <c r="Q132" i="8"/>
  <c r="P132" i="8"/>
  <c r="E132" i="8"/>
  <c r="D132" i="8"/>
  <c r="B131" i="8"/>
  <c r="R130" i="8"/>
  <c r="Q130" i="8"/>
  <c r="P130" i="8"/>
  <c r="E130" i="8"/>
  <c r="D130" i="8"/>
  <c r="R129" i="8"/>
  <c r="Q129" i="8"/>
  <c r="P129" i="8"/>
  <c r="E129" i="8"/>
  <c r="D129" i="8"/>
  <c r="B128" i="8"/>
  <c r="R127" i="8"/>
  <c r="Q127" i="8"/>
  <c r="P127" i="8"/>
  <c r="E127" i="8"/>
  <c r="D127" i="8"/>
  <c r="R126" i="8"/>
  <c r="Q126" i="8"/>
  <c r="P126" i="8"/>
  <c r="E126" i="8"/>
  <c r="D126" i="8"/>
  <c r="R125" i="8"/>
  <c r="Q125" i="8"/>
  <c r="P125" i="8"/>
  <c r="E125" i="8"/>
  <c r="D125" i="8"/>
  <c r="R124" i="8"/>
  <c r="Q124" i="8"/>
  <c r="P124" i="8"/>
  <c r="E124" i="8"/>
  <c r="D124" i="8"/>
  <c r="R123" i="8"/>
  <c r="Q123" i="8"/>
  <c r="P123" i="8"/>
  <c r="E123" i="8"/>
  <c r="D123" i="8"/>
  <c r="R122" i="8"/>
  <c r="Q122" i="8"/>
  <c r="P122" i="8"/>
  <c r="E122" i="8"/>
  <c r="D122" i="8"/>
  <c r="R121" i="8"/>
  <c r="Q121" i="8"/>
  <c r="P121" i="8"/>
  <c r="E121" i="8"/>
  <c r="D121" i="8"/>
  <c r="R119" i="8"/>
  <c r="R120" i="8" s="1"/>
  <c r="Q119" i="8"/>
  <c r="Q120" i="8" s="1"/>
  <c r="P119" i="8"/>
  <c r="E119" i="8"/>
  <c r="D119" i="8"/>
  <c r="B119" i="8"/>
  <c r="B120" i="8" s="1"/>
  <c r="B112" i="8"/>
  <c r="A112" i="8"/>
  <c r="P111" i="8"/>
  <c r="L111" i="8"/>
  <c r="K111" i="8" s="1"/>
  <c r="R111" i="8" s="1"/>
  <c r="E111" i="8"/>
  <c r="D111" i="8"/>
  <c r="P110" i="8"/>
  <c r="M110" i="8"/>
  <c r="L110" i="8"/>
  <c r="E110" i="8"/>
  <c r="D110" i="8"/>
  <c r="P109" i="8"/>
  <c r="M109" i="8"/>
  <c r="L109" i="8"/>
  <c r="E109" i="8"/>
  <c r="D109" i="8"/>
  <c r="P108" i="8"/>
  <c r="M108" i="8"/>
  <c r="E108" i="8"/>
  <c r="D108" i="8"/>
  <c r="P107" i="8"/>
  <c r="M107" i="8"/>
  <c r="L107" i="8"/>
  <c r="E107" i="8"/>
  <c r="D107" i="8"/>
  <c r="P106" i="8"/>
  <c r="M106" i="8"/>
  <c r="L106" i="8"/>
  <c r="K106" i="8" s="1"/>
  <c r="R106" i="8" s="1"/>
  <c r="E106" i="8"/>
  <c r="D106" i="8"/>
  <c r="P105" i="8"/>
  <c r="M105" i="8"/>
  <c r="E105" i="8"/>
  <c r="D105" i="8"/>
  <c r="P104" i="8"/>
  <c r="M104" i="8"/>
  <c r="E104" i="8"/>
  <c r="D104" i="8"/>
  <c r="P103" i="8"/>
  <c r="M103" i="8"/>
  <c r="L103" i="8"/>
  <c r="K103" i="8" s="1"/>
  <c r="R103" i="8" s="1"/>
  <c r="E103" i="8"/>
  <c r="D103" i="8"/>
  <c r="P102" i="8"/>
  <c r="M102" i="8"/>
  <c r="L102" i="8"/>
  <c r="K102" i="8" s="1"/>
  <c r="R102" i="8" s="1"/>
  <c r="E102" i="8"/>
  <c r="D102" i="8"/>
  <c r="P101" i="8"/>
  <c r="M101" i="8"/>
  <c r="L101" i="8"/>
  <c r="K101" i="8" s="1"/>
  <c r="R101" i="8" s="1"/>
  <c r="E101" i="8"/>
  <c r="D101" i="8"/>
  <c r="P100" i="8"/>
  <c r="M100" i="8"/>
  <c r="L100" i="8"/>
  <c r="K100" i="8" s="1"/>
  <c r="R100" i="8" s="1"/>
  <c r="E100" i="8"/>
  <c r="D100" i="8"/>
  <c r="P99" i="8"/>
  <c r="M99" i="8"/>
  <c r="N99" i="8" s="1"/>
  <c r="E99" i="8"/>
  <c r="D99" i="8"/>
  <c r="Q98" i="8"/>
  <c r="P98" i="8"/>
  <c r="M98" i="8"/>
  <c r="N98" i="8" s="1"/>
  <c r="L98" i="8"/>
  <c r="E98" i="8"/>
  <c r="D98" i="8"/>
  <c r="Q97" i="8"/>
  <c r="P97" i="8"/>
  <c r="M97" i="8"/>
  <c r="L97" i="8"/>
  <c r="K97" i="8" s="1"/>
  <c r="R97" i="8" s="1"/>
  <c r="E97" i="8"/>
  <c r="D97" i="8"/>
  <c r="Q96" i="8"/>
  <c r="P96" i="8"/>
  <c r="M96" i="8"/>
  <c r="L96" i="8"/>
  <c r="K96" i="8" s="1"/>
  <c r="R96" i="8" s="1"/>
  <c r="E96" i="8"/>
  <c r="D96" i="8"/>
  <c r="Q95" i="8"/>
  <c r="P95" i="8"/>
  <c r="M95" i="8"/>
  <c r="E95" i="8"/>
  <c r="D95" i="8"/>
  <c r="Q94" i="8"/>
  <c r="P94" i="8"/>
  <c r="N94" i="8"/>
  <c r="L94" i="8"/>
  <c r="E94" i="8"/>
  <c r="D94" i="8"/>
  <c r="Q93" i="8"/>
  <c r="P93" i="8"/>
  <c r="N93" i="8"/>
  <c r="L93" i="8"/>
  <c r="E93" i="8"/>
  <c r="D93" i="8"/>
  <c r="Q92" i="8"/>
  <c r="P92" i="8"/>
  <c r="L92" i="8"/>
  <c r="K92" i="8" s="1"/>
  <c r="R92" i="8" s="1"/>
  <c r="E92" i="8"/>
  <c r="D92" i="8"/>
  <c r="Q91" i="8"/>
  <c r="P91" i="8"/>
  <c r="L91" i="8"/>
  <c r="K91" i="8" s="1"/>
  <c r="R91" i="8" s="1"/>
  <c r="E91" i="8"/>
  <c r="D91" i="8"/>
  <c r="Q90" i="8"/>
  <c r="P90" i="8"/>
  <c r="N90" i="8"/>
  <c r="M90" i="8"/>
  <c r="L90" i="8"/>
  <c r="E90" i="8"/>
  <c r="D90" i="8"/>
  <c r="P89" i="8"/>
  <c r="M89" i="8"/>
  <c r="L89" i="8"/>
  <c r="K89" i="8" s="1"/>
  <c r="R89" i="8" s="1"/>
  <c r="E89" i="8"/>
  <c r="D89" i="8"/>
  <c r="P88" i="8"/>
  <c r="M88" i="8"/>
  <c r="L88" i="8"/>
  <c r="K88" i="8" s="1"/>
  <c r="R88" i="8" s="1"/>
  <c r="E88" i="8"/>
  <c r="D88" i="8"/>
  <c r="B87" i="8"/>
  <c r="A87" i="8"/>
  <c r="Q86" i="8"/>
  <c r="P86" i="8"/>
  <c r="M86" i="8"/>
  <c r="L86" i="8"/>
  <c r="K86" i="8" s="1"/>
  <c r="R86" i="8" s="1"/>
  <c r="E86" i="8"/>
  <c r="D86" i="8"/>
  <c r="Q85" i="8"/>
  <c r="Q87" i="8" s="1"/>
  <c r="P85" i="8"/>
  <c r="P87" i="8" s="1"/>
  <c r="M85" i="8"/>
  <c r="L85" i="8"/>
  <c r="E85" i="8"/>
  <c r="D85" i="8"/>
  <c r="B84" i="8"/>
  <c r="A84" i="8"/>
  <c r="Q83" i="8"/>
  <c r="P83" i="8"/>
  <c r="M83" i="8"/>
  <c r="L83" i="8"/>
  <c r="K83" i="8" s="1"/>
  <c r="R83" i="8" s="1"/>
  <c r="E83" i="8"/>
  <c r="D83" i="8"/>
  <c r="M82" i="8"/>
  <c r="L82" i="8"/>
  <c r="K82" i="8" s="1"/>
  <c r="R82" i="8" s="1"/>
  <c r="E82" i="8"/>
  <c r="D82" i="8"/>
  <c r="M81" i="8"/>
  <c r="L81" i="8"/>
  <c r="E81" i="8"/>
  <c r="D81" i="8"/>
  <c r="M80" i="8"/>
  <c r="L80" i="8"/>
  <c r="E80" i="8"/>
  <c r="D80" i="8"/>
  <c r="M79" i="8"/>
  <c r="L79" i="8"/>
  <c r="K79" i="8" s="1"/>
  <c r="E79" i="8"/>
  <c r="D79" i="8"/>
  <c r="B78" i="8"/>
  <c r="A78" i="8"/>
  <c r="M77" i="8"/>
  <c r="L77" i="8"/>
  <c r="E77" i="8"/>
  <c r="D77" i="8"/>
  <c r="M76" i="8"/>
  <c r="L76" i="8"/>
  <c r="E76" i="8"/>
  <c r="D76" i="8"/>
  <c r="M75" i="8"/>
  <c r="L75" i="8"/>
  <c r="E75" i="8"/>
  <c r="D75" i="8"/>
  <c r="M74" i="8"/>
  <c r="L74" i="8"/>
  <c r="E74" i="8"/>
  <c r="D74" i="8"/>
  <c r="Q14" i="8"/>
  <c r="P14" i="8"/>
  <c r="M14" i="8"/>
  <c r="L14" i="8"/>
  <c r="E14" i="8"/>
  <c r="D14" i="8"/>
  <c r="Q13" i="8"/>
  <c r="P13" i="8"/>
  <c r="M13" i="8"/>
  <c r="L13" i="8"/>
  <c r="E13" i="8"/>
  <c r="D13" i="8"/>
  <c r="Q12" i="8"/>
  <c r="P12" i="8"/>
  <c r="M12" i="8"/>
  <c r="L12" i="8"/>
  <c r="E12" i="8"/>
  <c r="D12" i="8"/>
  <c r="Q11" i="8"/>
  <c r="P11" i="8"/>
  <c r="M11" i="8"/>
  <c r="L11" i="8"/>
  <c r="E11" i="8"/>
  <c r="D11" i="8"/>
  <c r="Q10" i="8"/>
  <c r="P10" i="8"/>
  <c r="M10" i="8"/>
  <c r="L10" i="8"/>
  <c r="E10" i="8"/>
  <c r="D10" i="8"/>
  <c r="Q9" i="8"/>
  <c r="P9" i="8"/>
  <c r="M9" i="8"/>
  <c r="L9" i="8"/>
  <c r="K9" i="8" s="1"/>
  <c r="R9" i="8" s="1"/>
  <c r="E9" i="8"/>
  <c r="D9" i="8"/>
  <c r="Q8" i="8"/>
  <c r="P8" i="8"/>
  <c r="M8" i="8"/>
  <c r="L8" i="8"/>
  <c r="K8" i="8" s="1"/>
  <c r="R8" i="8" s="1"/>
  <c r="E8" i="8"/>
  <c r="D8" i="8"/>
  <c r="P7" i="8"/>
  <c r="M7" i="8"/>
  <c r="L7" i="8"/>
  <c r="E7" i="8"/>
  <c r="D7" i="8"/>
  <c r="AA4" i="8"/>
  <c r="Z4" i="8"/>
  <c r="Y4" i="8"/>
  <c r="X4" i="8"/>
  <c r="V4" i="8"/>
  <c r="U4" i="8"/>
  <c r="U46" i="8" s="1"/>
  <c r="T4" i="8"/>
  <c r="T46" i="8" s="1"/>
  <c r="R4" i="8"/>
  <c r="R115" i="8" s="1"/>
  <c r="Q4" i="8"/>
  <c r="P4" i="8"/>
  <c r="X3" i="8"/>
  <c r="T3" i="8"/>
  <c r="H3" i="8"/>
  <c r="F3" i="8"/>
  <c r="E3" i="8"/>
  <c r="A1" i="8"/>
  <c r="R204" i="8" l="1"/>
  <c r="U63" i="8"/>
  <c r="U61" i="8"/>
  <c r="U60" i="8"/>
  <c r="U35" i="8"/>
  <c r="U58" i="8"/>
  <c r="U67" i="8"/>
  <c r="U31" i="8"/>
  <c r="U51" i="8"/>
  <c r="U29" i="8"/>
  <c r="U32" i="8"/>
  <c r="U34" i="8"/>
  <c r="U47" i="8"/>
  <c r="U68" i="8"/>
  <c r="U45" i="8"/>
  <c r="U40" i="8"/>
  <c r="U42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V78" i="8"/>
  <c r="V54" i="8"/>
  <c r="V70" i="8"/>
  <c r="V72" i="8"/>
  <c r="V50" i="8"/>
  <c r="V66" i="8"/>
  <c r="V52" i="8"/>
  <c r="V48" i="8"/>
  <c r="V56" i="8"/>
  <c r="V64" i="8"/>
  <c r="AA33" i="8"/>
  <c r="AA34" i="8"/>
  <c r="AA41" i="8"/>
  <c r="AA42" i="8"/>
  <c r="AA49" i="8"/>
  <c r="AA50" i="8"/>
  <c r="AA57" i="8"/>
  <c r="AA58" i="8"/>
  <c r="AA65" i="8"/>
  <c r="AA66" i="8"/>
  <c r="AA29" i="8"/>
  <c r="AA30" i="8"/>
  <c r="AA37" i="8"/>
  <c r="AA38" i="8"/>
  <c r="AA45" i="8"/>
  <c r="AA46" i="8"/>
  <c r="AA53" i="8"/>
  <c r="AA54" i="8"/>
  <c r="AA61" i="8"/>
  <c r="AA62" i="8"/>
  <c r="AA69" i="8"/>
  <c r="AA31" i="8"/>
  <c r="AA32" i="8"/>
  <c r="AA39" i="8"/>
  <c r="AA40" i="8"/>
  <c r="AA47" i="8"/>
  <c r="AA48" i="8"/>
  <c r="AA55" i="8"/>
  <c r="AA56" i="8"/>
  <c r="AA63" i="8"/>
  <c r="AA64" i="8"/>
  <c r="AA70" i="8"/>
  <c r="AA72" i="8"/>
  <c r="AA74" i="8"/>
  <c r="AA76" i="8"/>
  <c r="AA28" i="8"/>
  <c r="AA35" i="8"/>
  <c r="AA36" i="8"/>
  <c r="AA43" i="8"/>
  <c r="AA44" i="8"/>
  <c r="AA51" i="8"/>
  <c r="AA52" i="8"/>
  <c r="AA59" i="8"/>
  <c r="AA60" i="8"/>
  <c r="AA67" i="8"/>
  <c r="AA73" i="8"/>
  <c r="AA68" i="8"/>
  <c r="AA71" i="8"/>
  <c r="AA75" i="8"/>
  <c r="T50" i="8"/>
  <c r="T70" i="8"/>
  <c r="V65" i="8"/>
  <c r="V49" i="8"/>
  <c r="V53" i="8"/>
  <c r="V57" i="8"/>
  <c r="V61" i="8"/>
  <c r="V29" i="8"/>
  <c r="V33" i="8"/>
  <c r="V37" i="8"/>
  <c r="V41" i="8"/>
  <c r="V45" i="8"/>
  <c r="V62" i="8"/>
  <c r="T28" i="8"/>
  <c r="V36" i="8"/>
  <c r="T44" i="8"/>
  <c r="T67" i="8"/>
  <c r="V38" i="8"/>
  <c r="T42" i="8"/>
  <c r="X28" i="8"/>
  <c r="X29" i="8"/>
  <c r="X36" i="8"/>
  <c r="X37" i="8"/>
  <c r="X44" i="8"/>
  <c r="X45" i="8"/>
  <c r="X52" i="8"/>
  <c r="X53" i="8"/>
  <c r="X60" i="8"/>
  <c r="X61" i="8"/>
  <c r="X68" i="8"/>
  <c r="X69" i="8"/>
  <c r="X32" i="8"/>
  <c r="X33" i="8"/>
  <c r="X40" i="8"/>
  <c r="X41" i="8"/>
  <c r="X48" i="8"/>
  <c r="X49" i="8"/>
  <c r="X56" i="8"/>
  <c r="X57" i="8"/>
  <c r="X64" i="8"/>
  <c r="X65" i="8"/>
  <c r="X34" i="8"/>
  <c r="X35" i="8"/>
  <c r="X42" i="8"/>
  <c r="X43" i="8"/>
  <c r="X50" i="8"/>
  <c r="X51" i="8"/>
  <c r="X58" i="8"/>
  <c r="X59" i="8"/>
  <c r="X66" i="8"/>
  <c r="X67" i="8"/>
  <c r="X71" i="8"/>
  <c r="X73" i="8"/>
  <c r="X75" i="8"/>
  <c r="X30" i="8"/>
  <c r="X31" i="8"/>
  <c r="X38" i="8"/>
  <c r="X39" i="8"/>
  <c r="X46" i="8"/>
  <c r="X47" i="8"/>
  <c r="X54" i="8"/>
  <c r="X55" i="8"/>
  <c r="X62" i="8"/>
  <c r="X63" i="8"/>
  <c r="X72" i="8"/>
  <c r="X76" i="8"/>
  <c r="X74" i="8"/>
  <c r="X70" i="8"/>
  <c r="T74" i="8"/>
  <c r="U74" i="8"/>
  <c r="T75" i="8"/>
  <c r="U75" i="8"/>
  <c r="T76" i="8"/>
  <c r="U76" i="8"/>
  <c r="T64" i="8"/>
  <c r="T52" i="8"/>
  <c r="U39" i="8"/>
  <c r="V69" i="8"/>
  <c r="U43" i="8"/>
  <c r="V71" i="8"/>
  <c r="T72" i="8"/>
  <c r="U53" i="8"/>
  <c r="T65" i="8"/>
  <c r="T49" i="8"/>
  <c r="T53" i="8"/>
  <c r="T57" i="8"/>
  <c r="T61" i="8"/>
  <c r="T29" i="8"/>
  <c r="T33" i="8"/>
  <c r="T37" i="8"/>
  <c r="T41" i="8"/>
  <c r="T45" i="8"/>
  <c r="V58" i="8"/>
  <c r="T62" i="8"/>
  <c r="V32" i="8"/>
  <c r="U36" i="8"/>
  <c r="T40" i="8"/>
  <c r="U69" i="8"/>
  <c r="T60" i="8"/>
  <c r="U30" i="8"/>
  <c r="V34" i="8"/>
  <c r="T38" i="8"/>
  <c r="T66" i="8"/>
  <c r="T54" i="8"/>
  <c r="T69" i="8"/>
  <c r="V47" i="8"/>
  <c r="V51" i="8"/>
  <c r="V55" i="8"/>
  <c r="V59" i="8"/>
  <c r="V63" i="8"/>
  <c r="V31" i="8"/>
  <c r="V35" i="8"/>
  <c r="V39" i="8"/>
  <c r="V43" i="8"/>
  <c r="T68" i="8"/>
  <c r="T58" i="8"/>
  <c r="V28" i="8"/>
  <c r="T36" i="8"/>
  <c r="V44" i="8"/>
  <c r="V73" i="8"/>
  <c r="V30" i="8"/>
  <c r="T34" i="8"/>
  <c r="V46" i="8"/>
  <c r="U23" i="8"/>
  <c r="U48" i="8"/>
  <c r="U56" i="8"/>
  <c r="U64" i="8"/>
  <c r="U65" i="8"/>
  <c r="U52" i="8"/>
  <c r="U54" i="8"/>
  <c r="U70" i="8"/>
  <c r="U72" i="8"/>
  <c r="U33" i="8"/>
  <c r="U41" i="8"/>
  <c r="U49" i="8"/>
  <c r="U50" i="8"/>
  <c r="U57" i="8"/>
  <c r="U66" i="8"/>
  <c r="U71" i="8"/>
  <c r="U73" i="8"/>
  <c r="Z28" i="8"/>
  <c r="Z30" i="8"/>
  <c r="Z32" i="8"/>
  <c r="Z34" i="8"/>
  <c r="Z36" i="8"/>
  <c r="Z38" i="8"/>
  <c r="Z40" i="8"/>
  <c r="Z42" i="8"/>
  <c r="Z44" i="8"/>
  <c r="Z46" i="8"/>
  <c r="Z48" i="8"/>
  <c r="Z50" i="8"/>
  <c r="Z52" i="8"/>
  <c r="Z54" i="8"/>
  <c r="Z56" i="8"/>
  <c r="Z58" i="8"/>
  <c r="Z60" i="8"/>
  <c r="Z62" i="8"/>
  <c r="Z64" i="8"/>
  <c r="Z66" i="8"/>
  <c r="Z68" i="8"/>
  <c r="Z35" i="8"/>
  <c r="Z43" i="8"/>
  <c r="Z51" i="8"/>
  <c r="Z59" i="8"/>
  <c r="Z67" i="8"/>
  <c r="Z71" i="8"/>
  <c r="Z73" i="8"/>
  <c r="Z37" i="8"/>
  <c r="Z31" i="8"/>
  <c r="Z39" i="8"/>
  <c r="Z47" i="8"/>
  <c r="Z55" i="8"/>
  <c r="Z63" i="8"/>
  <c r="Z70" i="8"/>
  <c r="Z72" i="8"/>
  <c r="Z33" i="8"/>
  <c r="Z41" i="8"/>
  <c r="Z49" i="8"/>
  <c r="Z57" i="8"/>
  <c r="Z65" i="8"/>
  <c r="Z29" i="8"/>
  <c r="Z45" i="8"/>
  <c r="Z53" i="8"/>
  <c r="Z61" i="8"/>
  <c r="Z69" i="8"/>
  <c r="T48" i="8"/>
  <c r="T56" i="8"/>
  <c r="U55" i="8"/>
  <c r="T73" i="8"/>
  <c r="U59" i="8"/>
  <c r="U37" i="8"/>
  <c r="V68" i="8"/>
  <c r="T47" i="8"/>
  <c r="T51" i="8"/>
  <c r="T55" i="8"/>
  <c r="T59" i="8"/>
  <c r="T63" i="8"/>
  <c r="T31" i="8"/>
  <c r="T35" i="8"/>
  <c r="T39" i="8"/>
  <c r="T43" i="8"/>
  <c r="T71" i="8"/>
  <c r="U62" i="8"/>
  <c r="U28" i="8"/>
  <c r="T32" i="8"/>
  <c r="V40" i="8"/>
  <c r="U44" i="8"/>
  <c r="V60" i="8"/>
  <c r="V67" i="8"/>
  <c r="T30" i="8"/>
  <c r="U38" i="8"/>
  <c r="V42" i="8"/>
  <c r="P131" i="8"/>
  <c r="R140" i="8"/>
  <c r="P186" i="8"/>
  <c r="Z18" i="8"/>
  <c r="U20" i="8"/>
  <c r="V82" i="8"/>
  <c r="V23" i="8"/>
  <c r="V25" i="8"/>
  <c r="Z16" i="8"/>
  <c r="U21" i="8"/>
  <c r="V24" i="8"/>
  <c r="U19" i="8"/>
  <c r="Z24" i="8"/>
  <c r="V16" i="8"/>
  <c r="T27" i="8"/>
  <c r="Z21" i="8"/>
  <c r="V18" i="8"/>
  <c r="T20" i="8"/>
  <c r="Z23" i="8"/>
  <c r="U27" i="8"/>
  <c r="Z20" i="8"/>
  <c r="U77" i="8"/>
  <c r="T77" i="8"/>
  <c r="V20" i="8"/>
  <c r="Z25" i="8"/>
  <c r="T19" i="8"/>
  <c r="U24" i="8"/>
  <c r="V17" i="8"/>
  <c r="V22" i="8"/>
  <c r="U25" i="8"/>
  <c r="V27" i="8"/>
  <c r="X181" i="8"/>
  <c r="X23" i="8"/>
  <c r="X17" i="8"/>
  <c r="X16" i="8"/>
  <c r="X78" i="8"/>
  <c r="X25" i="8"/>
  <c r="X77" i="8"/>
  <c r="X80" i="8"/>
  <c r="X82" i="8"/>
  <c r="X24" i="8"/>
  <c r="X19" i="8"/>
  <c r="X18" i="8"/>
  <c r="X26" i="8"/>
  <c r="X15" i="8"/>
  <c r="X27" i="8"/>
  <c r="X22" i="8"/>
  <c r="X20" i="8"/>
  <c r="X21" i="8"/>
  <c r="T18" i="8"/>
  <c r="T78" i="8"/>
  <c r="T24" i="8"/>
  <c r="T17" i="8"/>
  <c r="T16" i="8"/>
  <c r="Y27" i="8"/>
  <c r="Y26" i="8"/>
  <c r="Y22" i="8"/>
  <c r="Y21" i="8"/>
  <c r="Y15" i="8"/>
  <c r="Y77" i="8"/>
  <c r="Y82" i="8"/>
  <c r="Y24" i="8"/>
  <c r="Y23" i="8"/>
  <c r="Y17" i="8"/>
  <c r="Y16" i="8"/>
  <c r="Y80" i="8"/>
  <c r="Y25" i="8"/>
  <c r="Y20" i="8"/>
  <c r="Y78" i="8"/>
  <c r="Y19" i="8"/>
  <c r="Y18" i="8"/>
  <c r="T22" i="8"/>
  <c r="T21" i="8"/>
  <c r="U78" i="8"/>
  <c r="U26" i="8"/>
  <c r="U22" i="8"/>
  <c r="U16" i="8"/>
  <c r="U15" i="8"/>
  <c r="Z78" i="8"/>
  <c r="Z27" i="8"/>
  <c r="Z22" i="8"/>
  <c r="Z77" i="8"/>
  <c r="Z82" i="8"/>
  <c r="Z19" i="8"/>
  <c r="Z17" i="8"/>
  <c r="T80" i="8"/>
  <c r="U80" i="8"/>
  <c r="AA132" i="8"/>
  <c r="AA80" i="8"/>
  <c r="AA82" i="8"/>
  <c r="AA25" i="8"/>
  <c r="AA20" i="8"/>
  <c r="AA19" i="8"/>
  <c r="AA27" i="8"/>
  <c r="AA23" i="8"/>
  <c r="AA22" i="8"/>
  <c r="AA78" i="8"/>
  <c r="AA26" i="8"/>
  <c r="AA21" i="8"/>
  <c r="AA15" i="8"/>
  <c r="AA24" i="8"/>
  <c r="AA18" i="8"/>
  <c r="AA17" i="8"/>
  <c r="AA16" i="8"/>
  <c r="U82" i="8"/>
  <c r="T82" i="8"/>
  <c r="V15" i="8"/>
  <c r="V21" i="8"/>
  <c r="V26" i="8"/>
  <c r="U18" i="8"/>
  <c r="T26" i="8"/>
  <c r="V19" i="8"/>
  <c r="T15" i="8"/>
  <c r="T25" i="8"/>
  <c r="Z26" i="8"/>
  <c r="T23" i="8"/>
  <c r="U17" i="8"/>
  <c r="Z15" i="8"/>
  <c r="R77" i="8"/>
  <c r="K14" i="8"/>
  <c r="R14" i="8" s="1"/>
  <c r="V14" i="8" s="1"/>
  <c r="X180" i="8"/>
  <c r="K7" i="8"/>
  <c r="R7" i="8" s="1"/>
  <c r="X7" i="8" s="1"/>
  <c r="Q204" i="8"/>
  <c r="Q207" i="8"/>
  <c r="U8" i="8"/>
  <c r="K11" i="8"/>
  <c r="R11" i="8" s="1"/>
  <c r="V11" i="8" s="1"/>
  <c r="Q136" i="8"/>
  <c r="R177" i="8"/>
  <c r="Q193" i="8"/>
  <c r="Q199" i="8"/>
  <c r="P112" i="8"/>
  <c r="K104" i="8"/>
  <c r="R104" i="8" s="1"/>
  <c r="U104" i="8" s="1"/>
  <c r="K107" i="8"/>
  <c r="R107" i="8" s="1"/>
  <c r="Z107" i="8" s="1"/>
  <c r="X108" i="8"/>
  <c r="P148" i="8"/>
  <c r="R199" i="8"/>
  <c r="P207" i="8"/>
  <c r="P228" i="8"/>
  <c r="AA9" i="8"/>
  <c r="K12" i="8"/>
  <c r="R12" i="8" s="1"/>
  <c r="Z12" i="8" s="1"/>
  <c r="K74" i="8"/>
  <c r="R74" i="8" s="1"/>
  <c r="Z74" i="8" s="1"/>
  <c r="K81" i="8"/>
  <c r="Z95" i="8"/>
  <c r="K109" i="8"/>
  <c r="R109" i="8" s="1"/>
  <c r="V109" i="8" s="1"/>
  <c r="K10" i="8"/>
  <c r="R10" i="8" s="1"/>
  <c r="V10" i="8" s="1"/>
  <c r="X10" i="8"/>
  <c r="K13" i="8"/>
  <c r="R13" i="8" s="1"/>
  <c r="Z13" i="8" s="1"/>
  <c r="V86" i="8"/>
  <c r="V88" i="8"/>
  <c r="V92" i="8"/>
  <c r="K105" i="8"/>
  <c r="R105" i="8" s="1"/>
  <c r="U105" i="8" s="1"/>
  <c r="X182" i="8"/>
  <c r="T13" i="8"/>
  <c r="T90" i="8"/>
  <c r="Y90" i="8"/>
  <c r="Y96" i="8"/>
  <c r="Y133" i="8"/>
  <c r="Y14" i="8"/>
  <c r="Y95" i="8"/>
  <c r="Y13" i="8"/>
  <c r="Y12" i="8"/>
  <c r="Y7" i="8"/>
  <c r="Y97" i="8"/>
  <c r="T7" i="8"/>
  <c r="T12" i="8"/>
  <c r="T14" i="8"/>
  <c r="Y8" i="8"/>
  <c r="K85" i="8"/>
  <c r="R85" i="8" s="1"/>
  <c r="R87" i="8" s="1"/>
  <c r="K93" i="8"/>
  <c r="R93" i="8" s="1"/>
  <c r="V93" i="8" s="1"/>
  <c r="P177" i="8"/>
  <c r="P193" i="8"/>
  <c r="V134" i="8"/>
  <c r="AA11" i="8"/>
  <c r="V83" i="8"/>
  <c r="V89" i="8"/>
  <c r="T89" i="8"/>
  <c r="K90" i="8"/>
  <c r="R90" i="8" s="1"/>
  <c r="AA90" i="8" s="1"/>
  <c r="K108" i="8"/>
  <c r="R108" i="8" s="1"/>
  <c r="U108" i="8" s="1"/>
  <c r="K110" i="8"/>
  <c r="R110" i="8" s="1"/>
  <c r="V110" i="8" s="1"/>
  <c r="Q128" i="8"/>
  <c r="P140" i="8"/>
  <c r="R148" i="8"/>
  <c r="Q169" i="8"/>
  <c r="P169" i="8"/>
  <c r="Q177" i="8"/>
  <c r="R186" i="8"/>
  <c r="Q225" i="8"/>
  <c r="T9" i="8"/>
  <c r="T10" i="8"/>
  <c r="T11" i="8"/>
  <c r="K75" i="8"/>
  <c r="R75" i="8" s="1"/>
  <c r="V75" i="8" s="1"/>
  <c r="K80" i="8"/>
  <c r="R80" i="8" s="1"/>
  <c r="V80" i="8" s="1"/>
  <c r="T83" i="8"/>
  <c r="U85" i="8"/>
  <c r="U87" i="8" s="1"/>
  <c r="V91" i="8"/>
  <c r="K94" i="8"/>
  <c r="R94" i="8" s="1"/>
  <c r="Z94" i="8" s="1"/>
  <c r="AA94" i="8"/>
  <c r="K99" i="8"/>
  <c r="R99" i="8" s="1"/>
  <c r="Y99" i="8" s="1"/>
  <c r="X119" i="8"/>
  <c r="X120" i="8" s="1"/>
  <c r="R128" i="8"/>
  <c r="Q131" i="8"/>
  <c r="P136" i="8"/>
  <c r="Q140" i="8"/>
  <c r="Q158" i="8"/>
  <c r="R169" i="8"/>
  <c r="X178" i="8"/>
  <c r="R193" i="8"/>
  <c r="P199" i="8"/>
  <c r="P204" i="8"/>
  <c r="R207" i="8"/>
  <c r="R228" i="8"/>
  <c r="T92" i="8"/>
  <c r="P128" i="8"/>
  <c r="R136" i="8"/>
  <c r="Q186" i="8"/>
  <c r="P231" i="8"/>
  <c r="P115" i="8"/>
  <c r="U236" i="8"/>
  <c r="U231" i="8"/>
  <c r="U242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2" i="8"/>
  <c r="U156" i="8"/>
  <c r="U154" i="8"/>
  <c r="U152" i="8"/>
  <c r="U150" i="8"/>
  <c r="U194" i="8"/>
  <c r="U187" i="8"/>
  <c r="U188" i="8" s="1"/>
  <c r="U157" i="8"/>
  <c r="U155" i="8"/>
  <c r="U153" i="8"/>
  <c r="U151" i="8"/>
  <c r="U149" i="8"/>
  <c r="U168" i="8"/>
  <c r="U166" i="8"/>
  <c r="U164" i="8"/>
  <c r="U162" i="8"/>
  <c r="U160" i="8"/>
  <c r="U119" i="8"/>
  <c r="U110" i="8"/>
  <c r="U106" i="8"/>
  <c r="U102" i="8"/>
  <c r="U100" i="8"/>
  <c r="U130" i="8"/>
  <c r="U129" i="8"/>
  <c r="U115" i="8"/>
  <c r="U109" i="8"/>
  <c r="U107" i="8"/>
  <c r="U92" i="8"/>
  <c r="U89" i="8"/>
  <c r="Z206" i="8"/>
  <c r="Z205" i="8"/>
  <c r="Z236" i="8"/>
  <c r="Z231" i="8"/>
  <c r="Z227" i="8"/>
  <c r="Z226" i="8"/>
  <c r="Z200" i="8"/>
  <c r="Z201" i="8" s="1"/>
  <c r="Z185" i="8"/>
  <c r="Z184" i="8"/>
  <c r="Z183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192" i="8"/>
  <c r="Z191" i="8"/>
  <c r="Z190" i="8"/>
  <c r="Z189" i="8"/>
  <c r="Z202" i="8"/>
  <c r="Z187" i="8"/>
  <c r="Z188" i="8" s="1"/>
  <c r="Z182" i="8"/>
  <c r="Z181" i="8"/>
  <c r="Z180" i="8"/>
  <c r="Z179" i="8"/>
  <c r="Z178" i="8"/>
  <c r="Z239" i="8"/>
  <c r="Z203" i="8"/>
  <c r="Z198" i="8"/>
  <c r="Z197" i="8"/>
  <c r="Z196" i="8"/>
  <c r="Z195" i="8"/>
  <c r="Z194" i="8"/>
  <c r="Z166" i="8"/>
  <c r="Z162" i="8"/>
  <c r="Z147" i="8"/>
  <c r="Z146" i="8"/>
  <c r="Z145" i="8"/>
  <c r="Z144" i="8"/>
  <c r="Z143" i="8"/>
  <c r="Z142" i="8"/>
  <c r="Z141" i="8"/>
  <c r="Z127" i="8"/>
  <c r="Z126" i="8"/>
  <c r="Z125" i="8"/>
  <c r="Z124" i="8"/>
  <c r="Z123" i="8"/>
  <c r="Z122" i="8"/>
  <c r="Z121" i="8"/>
  <c r="Z111" i="8"/>
  <c r="Z168" i="8"/>
  <c r="Z164" i="8"/>
  <c r="Z160" i="8"/>
  <c r="Z135" i="8"/>
  <c r="Z134" i="8"/>
  <c r="Z133" i="8"/>
  <c r="Z132" i="8"/>
  <c r="Z176" i="8"/>
  <c r="Z175" i="8"/>
  <c r="Z174" i="8"/>
  <c r="Z173" i="8"/>
  <c r="Z172" i="8"/>
  <c r="Z171" i="8"/>
  <c r="Z170" i="8"/>
  <c r="Z156" i="8"/>
  <c r="Z152" i="8"/>
  <c r="Z130" i="8"/>
  <c r="Z129" i="8"/>
  <c r="Z115" i="8"/>
  <c r="Z109" i="8"/>
  <c r="Z105" i="8"/>
  <c r="Z98" i="8"/>
  <c r="Z91" i="8"/>
  <c r="Z88" i="8"/>
  <c r="Z157" i="8"/>
  <c r="Z153" i="8"/>
  <c r="Z149" i="8"/>
  <c r="Z139" i="8"/>
  <c r="Z138" i="8"/>
  <c r="Z137" i="8"/>
  <c r="Z167" i="8"/>
  <c r="Z165" i="8"/>
  <c r="Z163" i="8"/>
  <c r="Z161" i="8"/>
  <c r="Z159" i="8"/>
  <c r="Z154" i="8"/>
  <c r="Z150" i="8"/>
  <c r="Z119" i="8"/>
  <c r="Z110" i="8"/>
  <c r="Z106" i="8"/>
  <c r="Z102" i="8"/>
  <c r="Z100" i="8"/>
  <c r="Z97" i="8"/>
  <c r="Z96" i="8"/>
  <c r="Z92" i="8"/>
  <c r="Z90" i="8"/>
  <c r="Z89" i="8"/>
  <c r="Z86" i="8"/>
  <c r="Z83" i="8"/>
  <c r="T86" i="8"/>
  <c r="Y89" i="8"/>
  <c r="Y92" i="8"/>
  <c r="Z99" i="8"/>
  <c r="Y100" i="8"/>
  <c r="Z101" i="8"/>
  <c r="Y102" i="8"/>
  <c r="Z103" i="8"/>
  <c r="Y104" i="8"/>
  <c r="X110" i="8"/>
  <c r="U122" i="8"/>
  <c r="V122" i="8"/>
  <c r="T122" i="8"/>
  <c r="Y124" i="8"/>
  <c r="U126" i="8"/>
  <c r="V126" i="8"/>
  <c r="T126" i="8"/>
  <c r="V137" i="8"/>
  <c r="U137" i="8"/>
  <c r="V139" i="8"/>
  <c r="U139" i="8"/>
  <c r="AA142" i="8"/>
  <c r="V144" i="8"/>
  <c r="AA146" i="8"/>
  <c r="P158" i="8"/>
  <c r="V150" i="8"/>
  <c r="Z155" i="8"/>
  <c r="V159" i="8"/>
  <c r="V161" i="8"/>
  <c r="V163" i="8"/>
  <c r="V165" i="8"/>
  <c r="V167" i="8"/>
  <c r="V206" i="8"/>
  <c r="U9" i="8"/>
  <c r="U88" i="8"/>
  <c r="T88" i="8"/>
  <c r="U98" i="8"/>
  <c r="U135" i="8"/>
  <c r="V135" i="8"/>
  <c r="Q84" i="8"/>
  <c r="U13" i="8"/>
  <c r="Y83" i="8"/>
  <c r="Y86" i="8"/>
  <c r="AA88" i="8"/>
  <c r="AA91" i="8"/>
  <c r="U96" i="8"/>
  <c r="V97" i="8"/>
  <c r="T98" i="8"/>
  <c r="P120" i="8"/>
  <c r="X179" i="8"/>
  <c r="T203" i="8"/>
  <c r="U203" i="8"/>
  <c r="V8" i="8"/>
  <c r="U11" i="8"/>
  <c r="T85" i="8"/>
  <c r="T87" i="8" s="1"/>
  <c r="U91" i="8"/>
  <c r="T91" i="8"/>
  <c r="T135" i="8"/>
  <c r="Q231" i="8"/>
  <c r="Q115" i="8"/>
  <c r="V242" i="8"/>
  <c r="V203" i="8"/>
  <c r="V202" i="8"/>
  <c r="V236" i="8"/>
  <c r="V231" i="8"/>
  <c r="V166" i="8"/>
  <c r="V162" i="8"/>
  <c r="V130" i="8"/>
  <c r="V129" i="8"/>
  <c r="V115" i="8"/>
  <c r="V192" i="8"/>
  <c r="V183" i="8"/>
  <c r="V155" i="8"/>
  <c r="V151" i="8"/>
  <c r="V147" i="8"/>
  <c r="V143" i="8"/>
  <c r="V133" i="8"/>
  <c r="V124" i="8"/>
  <c r="V226" i="8"/>
  <c r="V156" i="8"/>
  <c r="V152" i="8"/>
  <c r="V191" i="8"/>
  <c r="V184" i="8"/>
  <c r="V157" i="8"/>
  <c r="V153" i="8"/>
  <c r="V149" i="8"/>
  <c r="AA203" i="8"/>
  <c r="AA202" i="8"/>
  <c r="AA239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198" i="8"/>
  <c r="AA197" i="8"/>
  <c r="AA196" i="8"/>
  <c r="AA195" i="8"/>
  <c r="AA194" i="8"/>
  <c r="AA236" i="8"/>
  <c r="AA231" i="8"/>
  <c r="AA227" i="8"/>
  <c r="AA205" i="8"/>
  <c r="AA187" i="8"/>
  <c r="AA188" i="8" s="1"/>
  <c r="AA200" i="8"/>
  <c r="AA201" i="8" s="1"/>
  <c r="AA192" i="8"/>
  <c r="AA184" i="8"/>
  <c r="AA176" i="8"/>
  <c r="AA175" i="8"/>
  <c r="AA174" i="8"/>
  <c r="AA173" i="8"/>
  <c r="AA172" i="8"/>
  <c r="AA171" i="8"/>
  <c r="AA170" i="8"/>
  <c r="AA191" i="8"/>
  <c r="AA183" i="8"/>
  <c r="AA206" i="8"/>
  <c r="AA185" i="8"/>
  <c r="AA167" i="8"/>
  <c r="AA163" i="8"/>
  <c r="AA159" i="8"/>
  <c r="AA156" i="8"/>
  <c r="AA154" i="8"/>
  <c r="AA152" i="8"/>
  <c r="AA150" i="8"/>
  <c r="AA139" i="8"/>
  <c r="AA138" i="8"/>
  <c r="AA137" i="8"/>
  <c r="AA119" i="8"/>
  <c r="AA110" i="8"/>
  <c r="AA108" i="8"/>
  <c r="AA106" i="8"/>
  <c r="AA104" i="8"/>
  <c r="AA102" i="8"/>
  <c r="AA100" i="8"/>
  <c r="AA96" i="8"/>
  <c r="AA226" i="8"/>
  <c r="AA189" i="8"/>
  <c r="AA165" i="8"/>
  <c r="AA161" i="8"/>
  <c r="AA157" i="8"/>
  <c r="AA155" i="8"/>
  <c r="AA153" i="8"/>
  <c r="AA151" i="8"/>
  <c r="AA149" i="8"/>
  <c r="AA130" i="8"/>
  <c r="AA129" i="8"/>
  <c r="AA115" i="8"/>
  <c r="AA109" i="8"/>
  <c r="AA107" i="8"/>
  <c r="AA105" i="8"/>
  <c r="AA190" i="8"/>
  <c r="AA145" i="8"/>
  <c r="AA141" i="8"/>
  <c r="AA135" i="8"/>
  <c r="AA126" i="8"/>
  <c r="AA122" i="8"/>
  <c r="AA93" i="8"/>
  <c r="AA144" i="8"/>
  <c r="AA134" i="8"/>
  <c r="AA125" i="8"/>
  <c r="AA121" i="8"/>
  <c r="AA111" i="8"/>
  <c r="AA97" i="8"/>
  <c r="AA92" i="8"/>
  <c r="AA89" i="8"/>
  <c r="AA86" i="8"/>
  <c r="AA83" i="8"/>
  <c r="AA13" i="8"/>
  <c r="AA182" i="8"/>
  <c r="AA181" i="8"/>
  <c r="AA180" i="8"/>
  <c r="AA179" i="8"/>
  <c r="AA178" i="8"/>
  <c r="AA168" i="8"/>
  <c r="AA166" i="8"/>
  <c r="AA164" i="8"/>
  <c r="AA162" i="8"/>
  <c r="AA160" i="8"/>
  <c r="AA147" i="8"/>
  <c r="AA143" i="8"/>
  <c r="AA133" i="8"/>
  <c r="AA124" i="8"/>
  <c r="AA103" i="8"/>
  <c r="AA101" i="8"/>
  <c r="AA99" i="8"/>
  <c r="AA95" i="8"/>
  <c r="AA85" i="8"/>
  <c r="AA87" i="8" s="1"/>
  <c r="V9" i="8"/>
  <c r="AA12" i="8"/>
  <c r="R236" i="8"/>
  <c r="R231" i="8"/>
  <c r="R242" i="8"/>
  <c r="X239" i="8"/>
  <c r="X236" i="8"/>
  <c r="X231" i="8"/>
  <c r="X227" i="8"/>
  <c r="X226" i="8"/>
  <c r="X206" i="8"/>
  <c r="X205" i="8"/>
  <c r="X203" i="8"/>
  <c r="X202" i="8"/>
  <c r="X192" i="8"/>
  <c r="X191" i="8"/>
  <c r="X190" i="8"/>
  <c r="X189" i="8"/>
  <c r="X185" i="8"/>
  <c r="X184" i="8"/>
  <c r="X183" i="8"/>
  <c r="X168" i="8"/>
  <c r="X167" i="8"/>
  <c r="X166" i="8"/>
  <c r="X165" i="8"/>
  <c r="X164" i="8"/>
  <c r="X163" i="8"/>
  <c r="X162" i="8"/>
  <c r="X161" i="8"/>
  <c r="X160" i="8"/>
  <c r="X159" i="8"/>
  <c r="X223" i="8"/>
  <c r="X221" i="8"/>
  <c r="X219" i="8"/>
  <c r="X217" i="8"/>
  <c r="X215" i="8"/>
  <c r="X213" i="8"/>
  <c r="X211" i="8"/>
  <c r="X209" i="8"/>
  <c r="X200" i="8"/>
  <c r="X201" i="8" s="1"/>
  <c r="X187" i="8"/>
  <c r="X188" i="8" s="1"/>
  <c r="X220" i="8"/>
  <c r="X212" i="8"/>
  <c r="X197" i="8"/>
  <c r="X157" i="8"/>
  <c r="X155" i="8"/>
  <c r="X153" i="8"/>
  <c r="X151" i="8"/>
  <c r="X149" i="8"/>
  <c r="X135" i="8"/>
  <c r="X134" i="8"/>
  <c r="X133" i="8"/>
  <c r="X132" i="8"/>
  <c r="X98" i="8"/>
  <c r="X97" i="8"/>
  <c r="X93" i="8"/>
  <c r="X224" i="8"/>
  <c r="X216" i="8"/>
  <c r="X208" i="8"/>
  <c r="X195" i="8"/>
  <c r="X156" i="8"/>
  <c r="X154" i="8"/>
  <c r="X152" i="8"/>
  <c r="X150" i="8"/>
  <c r="X147" i="8"/>
  <c r="X146" i="8"/>
  <c r="X145" i="8"/>
  <c r="X144" i="8"/>
  <c r="X143" i="8"/>
  <c r="X142" i="8"/>
  <c r="X141" i="8"/>
  <c r="X127" i="8"/>
  <c r="X126" i="8"/>
  <c r="X125" i="8"/>
  <c r="X124" i="8"/>
  <c r="X123" i="8"/>
  <c r="X122" i="8"/>
  <c r="X121" i="8"/>
  <c r="X111" i="8"/>
  <c r="X210" i="8"/>
  <c r="X104" i="8"/>
  <c r="X103" i="8"/>
  <c r="X102" i="8"/>
  <c r="X101" i="8"/>
  <c r="X100" i="8"/>
  <c r="X99" i="8"/>
  <c r="X96" i="8"/>
  <c r="X95" i="8"/>
  <c r="X92" i="8"/>
  <c r="X90" i="8"/>
  <c r="X89" i="8"/>
  <c r="X86" i="8"/>
  <c r="X83" i="8"/>
  <c r="X222" i="8"/>
  <c r="X176" i="8"/>
  <c r="X175" i="8"/>
  <c r="X174" i="8"/>
  <c r="X173" i="8"/>
  <c r="X172" i="8"/>
  <c r="X171" i="8"/>
  <c r="X170" i="8"/>
  <c r="X130" i="8"/>
  <c r="X129" i="8"/>
  <c r="X115" i="8"/>
  <c r="X109" i="8"/>
  <c r="X107" i="8"/>
  <c r="X105" i="8"/>
  <c r="X94" i="8"/>
  <c r="X85" i="8"/>
  <c r="X87" i="8" s="1"/>
  <c r="X14" i="8"/>
  <c r="X8" i="8"/>
  <c r="X218" i="8"/>
  <c r="X198" i="8"/>
  <c r="X196" i="8"/>
  <c r="X194" i="8"/>
  <c r="X139" i="8"/>
  <c r="X138" i="8"/>
  <c r="X137" i="8"/>
  <c r="X91" i="8"/>
  <c r="X88" i="8"/>
  <c r="U7" i="8"/>
  <c r="Z7" i="8"/>
  <c r="T8" i="8"/>
  <c r="Z8" i="8"/>
  <c r="X9" i="8"/>
  <c r="U10" i="8"/>
  <c r="AA10" i="8"/>
  <c r="X11" i="8"/>
  <c r="U12" i="8"/>
  <c r="U14" i="8"/>
  <c r="AA14" i="8"/>
  <c r="P84" i="8"/>
  <c r="T242" i="8"/>
  <c r="T236" i="8"/>
  <c r="T231" i="8"/>
  <c r="T115" i="8"/>
  <c r="T110" i="8"/>
  <c r="T108" i="8"/>
  <c r="T106" i="8"/>
  <c r="T111" i="8"/>
  <c r="T104" i="8"/>
  <c r="T102" i="8"/>
  <c r="T100" i="8"/>
  <c r="T95" i="8"/>
  <c r="Y224" i="8"/>
  <c r="Y223" i="8"/>
  <c r="Y222" i="8"/>
  <c r="Y221" i="8"/>
  <c r="Y220" i="8"/>
  <c r="Y219" i="8"/>
  <c r="Y218" i="8"/>
  <c r="Y217" i="8"/>
  <c r="Y216" i="8"/>
  <c r="Y215" i="8"/>
  <c r="Y214" i="8"/>
  <c r="Y213" i="8"/>
  <c r="Y212" i="8"/>
  <c r="Y211" i="8"/>
  <c r="Y210" i="8"/>
  <c r="Y209" i="8"/>
  <c r="Y208" i="8"/>
  <c r="Y203" i="8"/>
  <c r="Y202" i="8"/>
  <c r="Y197" i="8"/>
  <c r="Y195" i="8"/>
  <c r="Y187" i="8"/>
  <c r="Y188" i="8" s="1"/>
  <c r="Y226" i="8"/>
  <c r="Y206" i="8"/>
  <c r="Y200" i="8"/>
  <c r="Y201" i="8" s="1"/>
  <c r="Y198" i="8"/>
  <c r="Y196" i="8"/>
  <c r="Y194" i="8"/>
  <c r="Y189" i="8"/>
  <c r="Y185" i="8"/>
  <c r="Y157" i="8"/>
  <c r="Y156" i="8"/>
  <c r="Y155" i="8"/>
  <c r="Y154" i="8"/>
  <c r="Y153" i="8"/>
  <c r="Y152" i="8"/>
  <c r="Y151" i="8"/>
  <c r="Y150" i="8"/>
  <c r="Y149" i="8"/>
  <c r="Y205" i="8"/>
  <c r="Y192" i="8"/>
  <c r="Y184" i="8"/>
  <c r="Y231" i="8"/>
  <c r="Y227" i="8"/>
  <c r="Y191" i="8"/>
  <c r="Y190" i="8"/>
  <c r="Y181" i="8"/>
  <c r="Y179" i="8"/>
  <c r="Y175" i="8"/>
  <c r="Y173" i="8"/>
  <c r="Y171" i="8"/>
  <c r="Y165" i="8"/>
  <c r="Y161" i="8"/>
  <c r="Y130" i="8"/>
  <c r="Y129" i="8"/>
  <c r="Y115" i="8"/>
  <c r="Y107" i="8"/>
  <c r="Y105" i="8"/>
  <c r="Y103" i="8"/>
  <c r="Y101" i="8"/>
  <c r="Y94" i="8"/>
  <c r="Y236" i="8"/>
  <c r="Y183" i="8"/>
  <c r="Y182" i="8"/>
  <c r="Y180" i="8"/>
  <c r="Y178" i="8"/>
  <c r="Y176" i="8"/>
  <c r="Y174" i="8"/>
  <c r="Y172" i="8"/>
  <c r="Y170" i="8"/>
  <c r="Y167" i="8"/>
  <c r="Y163" i="8"/>
  <c r="Y159" i="8"/>
  <c r="Y139" i="8"/>
  <c r="Y138" i="8"/>
  <c r="Y137" i="8"/>
  <c r="Y119" i="8"/>
  <c r="Y108" i="8"/>
  <c r="Y106" i="8"/>
  <c r="Y146" i="8"/>
  <c r="Y142" i="8"/>
  <c r="Y132" i="8"/>
  <c r="Y127" i="8"/>
  <c r="Y123" i="8"/>
  <c r="Y85" i="8"/>
  <c r="Y87" i="8" s="1"/>
  <c r="Y145" i="8"/>
  <c r="Y141" i="8"/>
  <c r="Y135" i="8"/>
  <c r="Y126" i="8"/>
  <c r="Y122" i="8"/>
  <c r="Y98" i="8"/>
  <c r="Y91" i="8"/>
  <c r="Y88" i="8"/>
  <c r="Y11" i="8"/>
  <c r="Y10" i="8"/>
  <c r="Y9" i="8"/>
  <c r="Y144" i="8"/>
  <c r="Y134" i="8"/>
  <c r="Y125" i="8"/>
  <c r="Y121" i="8"/>
  <c r="Y111" i="8"/>
  <c r="Y93" i="8"/>
  <c r="AA7" i="8"/>
  <c r="AA8" i="8"/>
  <c r="Z9" i="8"/>
  <c r="X12" i="8"/>
  <c r="X13" i="8"/>
  <c r="K76" i="8"/>
  <c r="R76" i="8" s="1"/>
  <c r="V76" i="8" s="1"/>
  <c r="U90" i="8"/>
  <c r="U93" i="8"/>
  <c r="T93" i="8"/>
  <c r="U94" i="8"/>
  <c r="K98" i="8"/>
  <c r="R98" i="8" s="1"/>
  <c r="V98" i="8" s="1"/>
  <c r="U99" i="8"/>
  <c r="V101" i="8"/>
  <c r="V103" i="8"/>
  <c r="X106" i="8"/>
  <c r="V111" i="8"/>
  <c r="V121" i="8"/>
  <c r="AA123" i="8"/>
  <c r="V125" i="8"/>
  <c r="AA127" i="8"/>
  <c r="R131" i="8"/>
  <c r="V138" i="8"/>
  <c r="U138" i="8"/>
  <c r="U141" i="8"/>
  <c r="V141" i="8"/>
  <c r="T141" i="8"/>
  <c r="Q148" i="8"/>
  <c r="Y143" i="8"/>
  <c r="U145" i="8"/>
  <c r="V145" i="8"/>
  <c r="T145" i="8"/>
  <c r="Y147" i="8"/>
  <c r="R158" i="8"/>
  <c r="Z151" i="8"/>
  <c r="V154" i="8"/>
  <c r="Y160" i="8"/>
  <c r="Y162" i="8"/>
  <c r="Y164" i="8"/>
  <c r="Y166" i="8"/>
  <c r="Y168" i="8"/>
  <c r="X214" i="8"/>
  <c r="U83" i="8"/>
  <c r="U86" i="8"/>
  <c r="T94" i="8"/>
  <c r="T96" i="8"/>
  <c r="T97" i="8"/>
  <c r="U101" i="8"/>
  <c r="U103" i="8"/>
  <c r="V106" i="8"/>
  <c r="V108" i="8"/>
  <c r="U123" i="8"/>
  <c r="T123" i="8"/>
  <c r="U127" i="8"/>
  <c r="T127" i="8"/>
  <c r="T129" i="8"/>
  <c r="T130" i="8"/>
  <c r="U132" i="8"/>
  <c r="T132" i="8"/>
  <c r="U142" i="8"/>
  <c r="T142" i="8"/>
  <c r="U146" i="8"/>
  <c r="T146" i="8"/>
  <c r="V170" i="8"/>
  <c r="U170" i="8"/>
  <c r="T170" i="8"/>
  <c r="V171" i="8"/>
  <c r="U171" i="8"/>
  <c r="T171" i="8"/>
  <c r="V172" i="8"/>
  <c r="U172" i="8"/>
  <c r="T172" i="8"/>
  <c r="V173" i="8"/>
  <c r="U173" i="8"/>
  <c r="T173" i="8"/>
  <c r="V174" i="8"/>
  <c r="U174" i="8"/>
  <c r="T174" i="8"/>
  <c r="V175" i="8"/>
  <c r="U175" i="8"/>
  <c r="T175" i="8"/>
  <c r="V176" i="8"/>
  <c r="U176" i="8"/>
  <c r="T176" i="8"/>
  <c r="U189" i="8"/>
  <c r="V189" i="8"/>
  <c r="T189" i="8"/>
  <c r="Q112" i="8"/>
  <c r="U95" i="8"/>
  <c r="U97" i="8"/>
  <c r="V99" i="8"/>
  <c r="V123" i="8"/>
  <c r="U124" i="8"/>
  <c r="T124" i="8"/>
  <c r="V127" i="8"/>
  <c r="V132" i="8"/>
  <c r="U133" i="8"/>
  <c r="T133" i="8"/>
  <c r="V142" i="8"/>
  <c r="U143" i="8"/>
  <c r="T143" i="8"/>
  <c r="V146" i="8"/>
  <c r="U147" i="8"/>
  <c r="T147" i="8"/>
  <c r="U200" i="8"/>
  <c r="U201" i="8" s="1"/>
  <c r="V200" i="8"/>
  <c r="V201" i="8" s="1"/>
  <c r="T200" i="8"/>
  <c r="T201" i="8" s="1"/>
  <c r="U205" i="8"/>
  <c r="V205" i="8"/>
  <c r="T205" i="8"/>
  <c r="P225" i="8"/>
  <c r="V96" i="8"/>
  <c r="V100" i="8"/>
  <c r="T101" i="8"/>
  <c r="V102" i="8"/>
  <c r="T103" i="8"/>
  <c r="V104" i="8"/>
  <c r="T105" i="8"/>
  <c r="T107" i="8"/>
  <c r="T109" i="8"/>
  <c r="U111" i="8"/>
  <c r="V119" i="8"/>
  <c r="U121" i="8"/>
  <c r="T121" i="8"/>
  <c r="U125" i="8"/>
  <c r="T125" i="8"/>
  <c r="U134" i="8"/>
  <c r="T134" i="8"/>
  <c r="U144" i="8"/>
  <c r="T144" i="8"/>
  <c r="U159" i="8"/>
  <c r="T159" i="8"/>
  <c r="V160" i="8"/>
  <c r="U161" i="8"/>
  <c r="T161" i="8"/>
  <c r="T162" i="8"/>
  <c r="U163" i="8"/>
  <c r="T163" i="8"/>
  <c r="V164" i="8"/>
  <c r="U165" i="8"/>
  <c r="T165" i="8"/>
  <c r="T166" i="8"/>
  <c r="U167" i="8"/>
  <c r="T167" i="8"/>
  <c r="V168" i="8"/>
  <c r="U178" i="8"/>
  <c r="V178" i="8"/>
  <c r="T178" i="8"/>
  <c r="U179" i="8"/>
  <c r="V179" i="8"/>
  <c r="T179" i="8"/>
  <c r="U180" i="8"/>
  <c r="V180" i="8"/>
  <c r="T180" i="8"/>
  <c r="U181" i="8"/>
  <c r="V181" i="8"/>
  <c r="T181" i="8"/>
  <c r="U182" i="8"/>
  <c r="V182" i="8"/>
  <c r="T182" i="8"/>
  <c r="U183" i="8"/>
  <c r="U185" i="8"/>
  <c r="V185" i="8"/>
  <c r="T185" i="8"/>
  <c r="V195" i="8"/>
  <c r="U195" i="8"/>
  <c r="T195" i="8"/>
  <c r="V197" i="8"/>
  <c r="U197" i="8"/>
  <c r="T197" i="8"/>
  <c r="V105" i="8"/>
  <c r="T119" i="8"/>
  <c r="T137" i="8"/>
  <c r="T138" i="8"/>
  <c r="T139" i="8"/>
  <c r="T149" i="8"/>
  <c r="T151" i="8"/>
  <c r="T153" i="8"/>
  <c r="T155" i="8"/>
  <c r="T157" i="8"/>
  <c r="T160" i="8"/>
  <c r="T164" i="8"/>
  <c r="T168" i="8"/>
  <c r="T187" i="8"/>
  <c r="T188" i="8" s="1"/>
  <c r="U192" i="8"/>
  <c r="T192" i="8"/>
  <c r="V194" i="8"/>
  <c r="V198" i="8"/>
  <c r="U198" i="8"/>
  <c r="T198" i="8"/>
  <c r="T150" i="8"/>
  <c r="T152" i="8"/>
  <c r="T154" i="8"/>
  <c r="T156" i="8"/>
  <c r="U184" i="8"/>
  <c r="T184" i="8"/>
  <c r="V196" i="8"/>
  <c r="U196" i="8"/>
  <c r="T196" i="8"/>
  <c r="T183" i="8"/>
  <c r="U190" i="8"/>
  <c r="T190" i="8"/>
  <c r="T202" i="8"/>
  <c r="Q228" i="8"/>
  <c r="V190" i="8"/>
  <c r="U191" i="8"/>
  <c r="T191" i="8"/>
  <c r="R225" i="8"/>
  <c r="U227" i="8"/>
  <c r="V227" i="8"/>
  <c r="T227" i="8"/>
  <c r="V187" i="8"/>
  <c r="V188" i="8" s="1"/>
  <c r="T194" i="8"/>
  <c r="U206" i="8"/>
  <c r="T206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U226" i="8"/>
  <c r="U228" i="8" s="1"/>
  <c r="T226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P67" i="4"/>
  <c r="P68" i="4"/>
  <c r="P69" i="4"/>
  <c r="P70" i="4"/>
  <c r="L16" i="4"/>
  <c r="M16" i="4"/>
  <c r="P16" i="4"/>
  <c r="Q16" i="4"/>
  <c r="E16" i="4"/>
  <c r="D16" i="4"/>
  <c r="R58" i="4"/>
  <c r="L58" i="4"/>
  <c r="P58" i="4"/>
  <c r="Q58" i="4"/>
  <c r="D58" i="4"/>
  <c r="E58" i="4"/>
  <c r="P20" i="4"/>
  <c r="Q20" i="4"/>
  <c r="R20" i="4"/>
  <c r="L20" i="4"/>
  <c r="D20" i="4"/>
  <c r="E20" i="4"/>
  <c r="P11" i="4"/>
  <c r="Q11" i="4"/>
  <c r="P12" i="4"/>
  <c r="Q12" i="4"/>
  <c r="P13" i="4"/>
  <c r="Q13" i="4"/>
  <c r="P14" i="4"/>
  <c r="Q14" i="4"/>
  <c r="P15" i="4"/>
  <c r="Q15" i="4"/>
  <c r="P17" i="4"/>
  <c r="Q17" i="4"/>
  <c r="P18" i="4"/>
  <c r="Q18" i="4"/>
  <c r="R18" i="4"/>
  <c r="P19" i="4"/>
  <c r="Q19" i="4"/>
  <c r="R19" i="4"/>
  <c r="L19" i="4"/>
  <c r="E19" i="4"/>
  <c r="D19" i="4"/>
  <c r="E17" i="4"/>
  <c r="D17" i="4"/>
  <c r="L17" i="4"/>
  <c r="M17" i="4"/>
  <c r="L18" i="4"/>
  <c r="E18" i="4"/>
  <c r="D18" i="4"/>
  <c r="L11" i="4"/>
  <c r="M11" i="4"/>
  <c r="L12" i="4"/>
  <c r="M12" i="4"/>
  <c r="L13" i="4"/>
  <c r="M13" i="4"/>
  <c r="L14" i="4"/>
  <c r="M14" i="4"/>
  <c r="L15" i="4"/>
  <c r="M15" i="4"/>
  <c r="D11" i="4"/>
  <c r="E11" i="4"/>
  <c r="D12" i="4"/>
  <c r="E12" i="4"/>
  <c r="D13" i="4"/>
  <c r="E13" i="4"/>
  <c r="D14" i="4"/>
  <c r="E14" i="4"/>
  <c r="D15" i="4"/>
  <c r="E15" i="4"/>
  <c r="Z104" i="8" l="1"/>
  <c r="Y109" i="8"/>
  <c r="Z108" i="8"/>
  <c r="K16" i="4"/>
  <c r="R16" i="4" s="1"/>
  <c r="Z76" i="8"/>
  <c r="Z75" i="8"/>
  <c r="V74" i="8"/>
  <c r="Q230" i="8"/>
  <c r="Y207" i="8"/>
  <c r="Z80" i="8"/>
  <c r="V94" i="8"/>
  <c r="Z14" i="8"/>
  <c r="V77" i="8"/>
  <c r="AA77" i="8"/>
  <c r="V107" i="8"/>
  <c r="T99" i="8"/>
  <c r="T112" i="8" s="1"/>
  <c r="Z85" i="8"/>
  <c r="Z87" i="8" s="1"/>
  <c r="V7" i="8"/>
  <c r="V13" i="8"/>
  <c r="Z10" i="8"/>
  <c r="Z11" i="8"/>
  <c r="AA136" i="8"/>
  <c r="R84" i="8"/>
  <c r="V12" i="8"/>
  <c r="P230" i="8"/>
  <c r="T131" i="8"/>
  <c r="P114" i="8"/>
  <c r="Y110" i="8"/>
  <c r="T204" i="8"/>
  <c r="V199" i="8"/>
  <c r="V207" i="8"/>
  <c r="V95" i="8"/>
  <c r="V85" i="8"/>
  <c r="V87" i="8" s="1"/>
  <c r="T228" i="8"/>
  <c r="V90" i="8"/>
  <c r="Y84" i="8"/>
  <c r="X204" i="8"/>
  <c r="X228" i="8"/>
  <c r="X84" i="8"/>
  <c r="X186" i="8"/>
  <c r="X207" i="8"/>
  <c r="Q114" i="8"/>
  <c r="Y131" i="8"/>
  <c r="Y204" i="8"/>
  <c r="X131" i="8"/>
  <c r="AA140" i="8"/>
  <c r="AA204" i="8"/>
  <c r="Z169" i="8"/>
  <c r="Z193" i="8"/>
  <c r="Z225" i="8"/>
  <c r="AA186" i="8"/>
  <c r="AA207" i="8"/>
  <c r="T199" i="8"/>
  <c r="T128" i="8"/>
  <c r="V136" i="8"/>
  <c r="R112" i="8"/>
  <c r="Y136" i="8"/>
  <c r="Y225" i="8"/>
  <c r="T84" i="8"/>
  <c r="AA98" i="8"/>
  <c r="AA112" i="8" s="1"/>
  <c r="Z93" i="8"/>
  <c r="Z131" i="8"/>
  <c r="T193" i="8"/>
  <c r="V128" i="8"/>
  <c r="Y186" i="8"/>
  <c r="X112" i="8"/>
  <c r="X148" i="8"/>
  <c r="X225" i="8"/>
  <c r="X169" i="8"/>
  <c r="AA84" i="8"/>
  <c r="AA131" i="8"/>
  <c r="AA199" i="8"/>
  <c r="V131" i="8"/>
  <c r="U112" i="8"/>
  <c r="Z120" i="8"/>
  <c r="Z136" i="8"/>
  <c r="Z148" i="8"/>
  <c r="Z186" i="8"/>
  <c r="Z228" i="8"/>
  <c r="Z207" i="8"/>
  <c r="U131" i="8"/>
  <c r="U120" i="8"/>
  <c r="U199" i="8"/>
  <c r="T148" i="8"/>
  <c r="T186" i="8"/>
  <c r="U207" i="8"/>
  <c r="T136" i="8"/>
  <c r="Y169" i="8"/>
  <c r="Y158" i="8"/>
  <c r="Y228" i="8"/>
  <c r="U84" i="8"/>
  <c r="AA148" i="8"/>
  <c r="AA193" i="8"/>
  <c r="AA177" i="8"/>
  <c r="AA225" i="8"/>
  <c r="V158" i="8"/>
  <c r="V228" i="8"/>
  <c r="V84" i="8"/>
  <c r="V169" i="8"/>
  <c r="Z158" i="8"/>
  <c r="Z177" i="8"/>
  <c r="Z128" i="8"/>
  <c r="Z199" i="8"/>
  <c r="U204" i="8"/>
  <c r="V177" i="8"/>
  <c r="Y148" i="8"/>
  <c r="Y193" i="8"/>
  <c r="V140" i="8"/>
  <c r="T169" i="8"/>
  <c r="V148" i="8"/>
  <c r="Y128" i="8"/>
  <c r="Y177" i="8"/>
  <c r="Y199" i="8"/>
  <c r="T225" i="8"/>
  <c r="T140" i="8"/>
  <c r="V186" i="8"/>
  <c r="U169" i="8"/>
  <c r="U128" i="8"/>
  <c r="R230" i="8"/>
  <c r="R235" i="8" s="1"/>
  <c r="R241" i="8" s="1"/>
  <c r="V193" i="8"/>
  <c r="T177" i="8"/>
  <c r="U136" i="8"/>
  <c r="U148" i="8"/>
  <c r="Y120" i="8"/>
  <c r="X199" i="8"/>
  <c r="X128" i="8"/>
  <c r="X193" i="8"/>
  <c r="V225" i="8"/>
  <c r="T158" i="8"/>
  <c r="T120" i="8"/>
  <c r="U186" i="8"/>
  <c r="V120" i="8"/>
  <c r="T207" i="8"/>
  <c r="U193" i="8"/>
  <c r="U177" i="8"/>
  <c r="Y140" i="8"/>
  <c r="X140" i="8"/>
  <c r="X177" i="8"/>
  <c r="X136" i="8"/>
  <c r="X158" i="8"/>
  <c r="AA128" i="8"/>
  <c r="AA158" i="8"/>
  <c r="AA228" i="8"/>
  <c r="AA120" i="8"/>
  <c r="AA169" i="8"/>
  <c r="V204" i="8"/>
  <c r="U140" i="8"/>
  <c r="Z140" i="8"/>
  <c r="Z204" i="8"/>
  <c r="U158" i="8"/>
  <c r="U225" i="8"/>
  <c r="K17" i="4"/>
  <c r="R17" i="4" s="1"/>
  <c r="K15" i="4"/>
  <c r="R15" i="4" s="1"/>
  <c r="K12" i="4"/>
  <c r="R12" i="4" s="1"/>
  <c r="K14" i="4"/>
  <c r="R14" i="4" s="1"/>
  <c r="K11" i="4"/>
  <c r="R11" i="4" s="1"/>
  <c r="K13" i="4"/>
  <c r="R13" i="4" s="1"/>
  <c r="Z112" i="8" l="1"/>
  <c r="Y112" i="8"/>
  <c r="Y114" i="8" s="1"/>
  <c r="Y235" i="8" s="1"/>
  <c r="Y238" i="8" s="1"/>
  <c r="Z84" i="8"/>
  <c r="V112" i="8"/>
  <c r="Y230" i="8"/>
  <c r="R114" i="8"/>
  <c r="AA230" i="8"/>
  <c r="AA114" i="8"/>
  <c r="V230" i="8"/>
  <c r="X114" i="8"/>
  <c r="Z230" i="8"/>
  <c r="U230" i="8"/>
  <c r="U114" i="8"/>
  <c r="X230" i="8"/>
  <c r="T230" i="8"/>
  <c r="T114" i="8"/>
  <c r="I173" i="1" s="1"/>
  <c r="X52" i="1"/>
  <c r="X53" i="1"/>
  <c r="X54" i="1"/>
  <c r="X51" i="1"/>
  <c r="O11" i="1"/>
  <c r="N11" i="1"/>
  <c r="O31" i="1"/>
  <c r="N31" i="1"/>
  <c r="G173" i="1" l="1"/>
  <c r="Z114" i="8"/>
  <c r="Z235" i="8" s="1"/>
  <c r="Z238" i="8" s="1"/>
  <c r="V114" i="8"/>
  <c r="V235" i="8" s="1"/>
  <c r="V241" i="8" s="1"/>
  <c r="AA235" i="8"/>
  <c r="T235" i="8"/>
  <c r="T241" i="8" s="1"/>
  <c r="X235" i="8"/>
  <c r="U235" i="8"/>
  <c r="U241" i="8" s="1"/>
  <c r="X108" i="1"/>
  <c r="X101" i="1"/>
  <c r="X100" i="1"/>
  <c r="X99" i="1"/>
  <c r="X241" i="8" l="1"/>
  <c r="AA238" i="8"/>
  <c r="AA241" i="8"/>
  <c r="X238" i="8"/>
  <c r="AA4" i="4"/>
  <c r="AA57" i="4" s="1"/>
  <c r="Z4" i="4"/>
  <c r="Z57" i="4" s="1"/>
  <c r="Y4" i="4"/>
  <c r="Y57" i="4" s="1"/>
  <c r="X4" i="4"/>
  <c r="X57" i="4" s="1"/>
  <c r="V4" i="4"/>
  <c r="U4" i="4"/>
  <c r="T4" i="4"/>
  <c r="P66" i="4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2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P17" i="1"/>
  <c r="Y71" i="1" s="1"/>
  <c r="Z71" i="1" s="1"/>
  <c r="AA71" i="1" s="1"/>
  <c r="X50" i="1"/>
  <c r="X55" i="1"/>
  <c r="X56" i="1"/>
  <c r="X57" i="1"/>
  <c r="X58" i="1"/>
  <c r="X59" i="1"/>
  <c r="G4" i="5"/>
  <c r="Q64" i="4"/>
  <c r="P64" i="4"/>
  <c r="Q63" i="4"/>
  <c r="P63" i="4"/>
  <c r="P62" i="4"/>
  <c r="P61" i="4"/>
  <c r="P8" i="4"/>
  <c r="P7" i="4"/>
  <c r="Q10" i="4"/>
  <c r="P10" i="4"/>
  <c r="Q9" i="4"/>
  <c r="P9" i="4"/>
  <c r="K157" i="1"/>
  <c r="O17" i="1" s="1"/>
  <c r="F187" i="1"/>
  <c r="C187" i="1"/>
  <c r="I157" i="1"/>
  <c r="O16" i="1" s="1"/>
  <c r="C186" i="1"/>
  <c r="B192" i="1"/>
  <c r="B25" i="6"/>
  <c r="J7" i="2"/>
  <c r="L7" i="2" s="1"/>
  <c r="L24" i="2" s="1"/>
  <c r="J16" i="2"/>
  <c r="L16" i="2"/>
  <c r="J9" i="2"/>
  <c r="L9" i="2" s="1"/>
  <c r="M24" i="2"/>
  <c r="B227" i="1"/>
  <c r="P5" i="1"/>
  <c r="B220" i="1"/>
  <c r="E13" i="5"/>
  <c r="E22" i="5"/>
  <c r="E64" i="5"/>
  <c r="E71" i="5"/>
  <c r="E72" i="5"/>
  <c r="E73" i="5"/>
  <c r="G5" i="5"/>
  <c r="G6" i="5"/>
  <c r="G7" i="5"/>
  <c r="G8" i="5"/>
  <c r="G9" i="5"/>
  <c r="G10" i="5"/>
  <c r="G11" i="5"/>
  <c r="G12" i="5"/>
  <c r="F13" i="5"/>
  <c r="G13" i="5" s="1"/>
  <c r="G14" i="5"/>
  <c r="G15" i="5"/>
  <c r="G16" i="5"/>
  <c r="G17" i="5"/>
  <c r="G18" i="5"/>
  <c r="G19" i="5"/>
  <c r="G20" i="5"/>
  <c r="G21" i="5"/>
  <c r="F22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F64" i="5"/>
  <c r="G64" i="5"/>
  <c r="G65" i="5"/>
  <c r="G66" i="5"/>
  <c r="G67" i="5"/>
  <c r="G68" i="5"/>
  <c r="G69" i="5"/>
  <c r="G70" i="5"/>
  <c r="F71" i="5"/>
  <c r="G71" i="5"/>
  <c r="F72" i="5"/>
  <c r="G72" i="5" s="1"/>
  <c r="F73" i="5"/>
  <c r="G73" i="5"/>
  <c r="E74" i="5"/>
  <c r="F74" i="5"/>
  <c r="G74" i="5"/>
  <c r="G75" i="5"/>
  <c r="G76" i="5"/>
  <c r="G77" i="5"/>
  <c r="G78" i="5"/>
  <c r="G79" i="5"/>
  <c r="G80" i="5"/>
  <c r="E81" i="5"/>
  <c r="F81" i="5"/>
  <c r="G81" i="5"/>
  <c r="E82" i="5"/>
  <c r="F82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E112" i="5"/>
  <c r="F112" i="5"/>
  <c r="G112" i="5"/>
  <c r="G113" i="5"/>
  <c r="G114" i="5"/>
  <c r="G115" i="5"/>
  <c r="G116" i="5"/>
  <c r="E117" i="5"/>
  <c r="F117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L132" i="5"/>
  <c r="G133" i="5"/>
  <c r="G134" i="5"/>
  <c r="G135" i="5"/>
  <c r="G136" i="5"/>
  <c r="E137" i="5"/>
  <c r="F137" i="5"/>
  <c r="G137" i="5" s="1"/>
  <c r="E138" i="5"/>
  <c r="F138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E152" i="5"/>
  <c r="F152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E174" i="5"/>
  <c r="F174" i="5"/>
  <c r="G174" i="5"/>
  <c r="G175" i="5"/>
  <c r="G176" i="5"/>
  <c r="G177" i="5"/>
  <c r="G178" i="5"/>
  <c r="G179" i="5"/>
  <c r="G180" i="5"/>
  <c r="G181" i="5"/>
  <c r="G182" i="5"/>
  <c r="G183" i="5"/>
  <c r="E184" i="5"/>
  <c r="F184" i="5"/>
  <c r="G184" i="5"/>
  <c r="E185" i="5"/>
  <c r="F185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E198" i="5"/>
  <c r="F198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E214" i="5"/>
  <c r="F214" i="5"/>
  <c r="G214" i="5"/>
  <c r="O8" i="1"/>
  <c r="D183" i="1" s="1"/>
  <c r="G183" i="1" s="1"/>
  <c r="D184" i="1"/>
  <c r="G184" i="1" s="1"/>
  <c r="O21" i="1"/>
  <c r="R21" i="1" s="1"/>
  <c r="O22" i="1"/>
  <c r="R22" i="1" s="1"/>
  <c r="S22" i="1" s="1"/>
  <c r="O23" i="1"/>
  <c r="R23" i="1" s="1"/>
  <c r="S23" i="1" s="1"/>
  <c r="O24" i="1"/>
  <c r="R24" i="1" s="1"/>
  <c r="S24" i="1" s="1"/>
  <c r="D189" i="1"/>
  <c r="G189" i="1" s="1"/>
  <c r="O34" i="1"/>
  <c r="D190" i="1" s="1"/>
  <c r="G190" i="1" s="1"/>
  <c r="N195" i="1"/>
  <c r="N209" i="1"/>
  <c r="N210" i="1"/>
  <c r="M195" i="1"/>
  <c r="M209" i="1"/>
  <c r="M210" i="1"/>
  <c r="L195" i="1"/>
  <c r="L209" i="1"/>
  <c r="L210" i="1"/>
  <c r="B217" i="1"/>
  <c r="B214" i="1"/>
  <c r="B177" i="1"/>
  <c r="E200" i="1"/>
  <c r="N8" i="1"/>
  <c r="H157" i="1"/>
  <c r="N16" i="1" s="1"/>
  <c r="J157" i="1"/>
  <c r="N17" i="1" s="1"/>
  <c r="N21" i="1"/>
  <c r="N22" i="1"/>
  <c r="N23" i="1"/>
  <c r="N24" i="1"/>
  <c r="N34" i="1"/>
  <c r="N37" i="1" s="1"/>
  <c r="R11" i="1"/>
  <c r="S11" i="1" s="1"/>
  <c r="R31" i="1"/>
  <c r="S31" i="1" s="1"/>
  <c r="D15" i="5"/>
  <c r="C15" i="5"/>
  <c r="C16" i="5"/>
  <c r="C17" i="5" s="1"/>
  <c r="R94" i="4"/>
  <c r="R98" i="4"/>
  <c r="R105" i="4"/>
  <c r="R106" i="4"/>
  <c r="R127" i="4"/>
  <c r="R135" i="4"/>
  <c r="R143" i="4"/>
  <c r="R144" i="4"/>
  <c r="R151" i="4"/>
  <c r="R156" i="4"/>
  <c r="R157" i="4"/>
  <c r="R180" i="4"/>
  <c r="R181" i="4"/>
  <c r="R182" i="4"/>
  <c r="R183" i="4"/>
  <c r="R84" i="4"/>
  <c r="R85" i="4"/>
  <c r="R86" i="4"/>
  <c r="R93" i="4"/>
  <c r="R102" i="4"/>
  <c r="R103" i="4"/>
  <c r="R104" i="4"/>
  <c r="R110" i="4"/>
  <c r="R111" i="4"/>
  <c r="R112" i="4"/>
  <c r="R113" i="4"/>
  <c r="R114" i="4"/>
  <c r="R115" i="4"/>
  <c r="R116" i="4"/>
  <c r="R120" i="4"/>
  <c r="R121" i="4"/>
  <c r="R122" i="4"/>
  <c r="R123" i="4"/>
  <c r="R124" i="4"/>
  <c r="R125" i="4"/>
  <c r="R131" i="4"/>
  <c r="R132" i="4"/>
  <c r="R133" i="4"/>
  <c r="R134" i="4"/>
  <c r="R141" i="4"/>
  <c r="R142" i="4"/>
  <c r="R149" i="4"/>
  <c r="R150" i="4"/>
  <c r="R154" i="4"/>
  <c r="R155" i="4"/>
  <c r="R159" i="4"/>
  <c r="R160" i="4" s="1"/>
  <c r="R162" i="4"/>
  <c r="R169" i="4"/>
  <c r="R170" i="4"/>
  <c r="R173" i="4"/>
  <c r="R174" i="4"/>
  <c r="R175" i="4"/>
  <c r="R178" i="4"/>
  <c r="R179" i="4"/>
  <c r="R185" i="4"/>
  <c r="R186" i="4"/>
  <c r="R78" i="4"/>
  <c r="R79" i="4" s="1"/>
  <c r="R80" i="4"/>
  <c r="R81" i="4"/>
  <c r="R82" i="4"/>
  <c r="R83" i="4"/>
  <c r="R88" i="4"/>
  <c r="R89" i="4"/>
  <c r="R91" i="4"/>
  <c r="R92" i="4"/>
  <c r="R96" i="4"/>
  <c r="R97" i="4"/>
  <c r="R100" i="4"/>
  <c r="R101" i="4"/>
  <c r="R108" i="4"/>
  <c r="R109" i="4"/>
  <c r="R118" i="4"/>
  <c r="R119" i="4"/>
  <c r="R126" i="4"/>
  <c r="R129" i="4"/>
  <c r="R130" i="4"/>
  <c r="R137" i="4"/>
  <c r="R138" i="4"/>
  <c r="R139" i="4"/>
  <c r="R140" i="4"/>
  <c r="R146" i="4"/>
  <c r="R147" i="4" s="1"/>
  <c r="R148" i="4"/>
  <c r="R153" i="4"/>
  <c r="R161" i="4"/>
  <c r="R164" i="4"/>
  <c r="R165" i="4"/>
  <c r="R167" i="4"/>
  <c r="R168" i="4"/>
  <c r="R171" i="4"/>
  <c r="R172" i="4"/>
  <c r="R176" i="4"/>
  <c r="R177" i="4"/>
  <c r="E78" i="4"/>
  <c r="E80" i="4"/>
  <c r="E81" i="4"/>
  <c r="E82" i="4"/>
  <c r="E83" i="4"/>
  <c r="E84" i="4"/>
  <c r="E85" i="4"/>
  <c r="E86" i="4"/>
  <c r="E88" i="4"/>
  <c r="E89" i="4"/>
  <c r="E91" i="4"/>
  <c r="E92" i="4"/>
  <c r="E93" i="4"/>
  <c r="E94" i="4"/>
  <c r="E96" i="4"/>
  <c r="E97" i="4"/>
  <c r="E98" i="4"/>
  <c r="E100" i="4"/>
  <c r="E101" i="4"/>
  <c r="E102" i="4"/>
  <c r="E103" i="4"/>
  <c r="E104" i="4"/>
  <c r="E105" i="4"/>
  <c r="E106" i="4"/>
  <c r="E108" i="4"/>
  <c r="E109" i="4"/>
  <c r="E110" i="4"/>
  <c r="E111" i="4"/>
  <c r="E112" i="4"/>
  <c r="E113" i="4"/>
  <c r="E114" i="4"/>
  <c r="E115" i="4"/>
  <c r="E116" i="4"/>
  <c r="E118" i="4"/>
  <c r="E119" i="4"/>
  <c r="E120" i="4"/>
  <c r="E121" i="4"/>
  <c r="E122" i="4"/>
  <c r="E123" i="4"/>
  <c r="E124" i="4"/>
  <c r="E125" i="4"/>
  <c r="E126" i="4"/>
  <c r="E127" i="4"/>
  <c r="E129" i="4"/>
  <c r="E130" i="4"/>
  <c r="E131" i="4"/>
  <c r="E132" i="4"/>
  <c r="E133" i="4"/>
  <c r="E134" i="4"/>
  <c r="E135" i="4"/>
  <c r="E137" i="4"/>
  <c r="E138" i="4"/>
  <c r="E139" i="4"/>
  <c r="E140" i="4"/>
  <c r="E141" i="4"/>
  <c r="E142" i="4"/>
  <c r="E143" i="4"/>
  <c r="E144" i="4"/>
  <c r="E146" i="4"/>
  <c r="E148" i="4"/>
  <c r="E149" i="4"/>
  <c r="E150" i="4"/>
  <c r="E151" i="4"/>
  <c r="E153" i="4"/>
  <c r="E154" i="4"/>
  <c r="E155" i="4"/>
  <c r="E156" i="4"/>
  <c r="E157" i="4"/>
  <c r="E159" i="4"/>
  <c r="E161" i="4"/>
  <c r="E162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5" i="4"/>
  <c r="E186" i="4"/>
  <c r="X61" i="1"/>
  <c r="X60" i="1"/>
  <c r="X49" i="1"/>
  <c r="G157" i="1"/>
  <c r="H47" i="1"/>
  <c r="J47" i="1"/>
  <c r="G48" i="1"/>
  <c r="I48" i="1" s="1"/>
  <c r="F48" i="1"/>
  <c r="H48" i="1" s="1"/>
  <c r="C190" i="1"/>
  <c r="C189" i="1"/>
  <c r="C188" i="1"/>
  <c r="C185" i="1"/>
  <c r="C184" i="1"/>
  <c r="C183" i="1"/>
  <c r="A1" i="1"/>
  <c r="A1" i="2"/>
  <c r="A1" i="4"/>
  <c r="A1" i="3"/>
  <c r="D12" i="3"/>
  <c r="D13" i="3"/>
  <c r="D14" i="3"/>
  <c r="D15" i="3"/>
  <c r="D16" i="3"/>
  <c r="D17" i="3"/>
  <c r="D18" i="3"/>
  <c r="D19" i="3"/>
  <c r="D20" i="3"/>
  <c r="D21" i="3"/>
  <c r="R47" i="1"/>
  <c r="S157" i="1"/>
  <c r="R157" i="1"/>
  <c r="P47" i="1"/>
  <c r="Q157" i="1"/>
  <c r="P157" i="1"/>
  <c r="O157" i="1"/>
  <c r="N157" i="1"/>
  <c r="N47" i="1"/>
  <c r="L47" i="1"/>
  <c r="AE3" i="3"/>
  <c r="AD3" i="3"/>
  <c r="AC3" i="3"/>
  <c r="AB3" i="3"/>
  <c r="AA3" i="3"/>
  <c r="Z3" i="3"/>
  <c r="Y3" i="3"/>
  <c r="X3" i="3"/>
  <c r="W3" i="3"/>
  <c r="C21" i="3"/>
  <c r="C20" i="3"/>
  <c r="A208" i="8" s="1"/>
  <c r="A225" i="8" s="1"/>
  <c r="C19" i="3"/>
  <c r="C18" i="3"/>
  <c r="A202" i="8" s="1"/>
  <c r="A204" i="8" s="1"/>
  <c r="C17" i="3"/>
  <c r="A200" i="8" s="1"/>
  <c r="A201" i="8" s="1"/>
  <c r="C16" i="3"/>
  <c r="A194" i="8" s="1"/>
  <c r="A199" i="8" s="1"/>
  <c r="C15" i="3"/>
  <c r="C14" i="3"/>
  <c r="A187" i="8" s="1"/>
  <c r="A188" i="8" s="1"/>
  <c r="C13" i="3"/>
  <c r="C12" i="3"/>
  <c r="A170" i="8" s="1"/>
  <c r="A177" i="8" s="1"/>
  <c r="C11" i="3"/>
  <c r="C10" i="3"/>
  <c r="C9" i="3"/>
  <c r="C8" i="3"/>
  <c r="C7" i="3"/>
  <c r="C6" i="3"/>
  <c r="C5" i="3"/>
  <c r="C4" i="3"/>
  <c r="C212" i="5"/>
  <c r="D212" i="5"/>
  <c r="D28" i="5"/>
  <c r="D29" i="5"/>
  <c r="D30" i="5" s="1"/>
  <c r="D31" i="5" s="1"/>
  <c r="D32" i="5" s="1"/>
  <c r="D33" i="5" s="1"/>
  <c r="D34" i="5" s="1"/>
  <c r="C28" i="5"/>
  <c r="C29" i="5" s="1"/>
  <c r="C30" i="5" s="1"/>
  <c r="C31" i="5" s="1"/>
  <c r="C32" i="5" s="1"/>
  <c r="C33" i="5" s="1"/>
  <c r="C34" i="5" s="1"/>
  <c r="H3" i="4"/>
  <c r="D78" i="4"/>
  <c r="D59" i="5"/>
  <c r="D60" i="5"/>
  <c r="D61" i="5" s="1"/>
  <c r="D62" i="5" s="1"/>
  <c r="D63" i="5" s="1"/>
  <c r="C59" i="5"/>
  <c r="C60" i="5" s="1"/>
  <c r="C61" i="5" s="1"/>
  <c r="C62" i="5" s="1"/>
  <c r="C63" i="5"/>
  <c r="D56" i="5"/>
  <c r="D57" i="5" s="1"/>
  <c r="C56" i="5"/>
  <c r="C57" i="5"/>
  <c r="D54" i="5"/>
  <c r="C54" i="5"/>
  <c r="D46" i="5"/>
  <c r="D47" i="5"/>
  <c r="D48" i="5" s="1"/>
  <c r="D49" i="5" s="1"/>
  <c r="D52" i="5" s="1"/>
  <c r="C46" i="5"/>
  <c r="C47" i="5" s="1"/>
  <c r="C48" i="5" s="1"/>
  <c r="C49" i="5" s="1"/>
  <c r="C50" i="5" s="1"/>
  <c r="D43" i="5"/>
  <c r="D44" i="5" s="1"/>
  <c r="C43" i="5"/>
  <c r="C44" i="5"/>
  <c r="D37" i="5"/>
  <c r="D38" i="5" s="1"/>
  <c r="D39" i="5" s="1"/>
  <c r="D40" i="5"/>
  <c r="D41" i="5" s="1"/>
  <c r="C37" i="5"/>
  <c r="C38" i="5" s="1"/>
  <c r="C39" i="5"/>
  <c r="C40" i="5" s="1"/>
  <c r="C41" i="5" s="1"/>
  <c r="D35" i="5"/>
  <c r="C35" i="5"/>
  <c r="D24" i="5"/>
  <c r="D25" i="5" s="1"/>
  <c r="D26" i="5" s="1"/>
  <c r="C24" i="5"/>
  <c r="C25" i="5" s="1"/>
  <c r="C26" i="5" s="1"/>
  <c r="D68" i="5"/>
  <c r="D69" i="5"/>
  <c r="D70" i="5" s="1"/>
  <c r="C68" i="5"/>
  <c r="C69" i="5" s="1"/>
  <c r="C70" i="5"/>
  <c r="D66" i="5"/>
  <c r="C66" i="5"/>
  <c r="D84" i="5"/>
  <c r="C84" i="5"/>
  <c r="D78" i="5"/>
  <c r="C78" i="5"/>
  <c r="D76" i="5"/>
  <c r="C76" i="5"/>
  <c r="D119" i="5"/>
  <c r="C119" i="5"/>
  <c r="D122" i="5"/>
  <c r="C122" i="5"/>
  <c r="C123" i="5" s="1"/>
  <c r="D125" i="5"/>
  <c r="C125" i="5"/>
  <c r="D128" i="5"/>
  <c r="C128" i="5"/>
  <c r="C129" i="5" s="1"/>
  <c r="D131" i="5"/>
  <c r="C131" i="5"/>
  <c r="D133" i="5"/>
  <c r="C133" i="5"/>
  <c r="D135" i="5"/>
  <c r="C135" i="5"/>
  <c r="D151" i="5"/>
  <c r="C151" i="5"/>
  <c r="D147" i="5"/>
  <c r="C147" i="5"/>
  <c r="D143" i="5"/>
  <c r="C143" i="5"/>
  <c r="C144" i="5" s="1"/>
  <c r="C145" i="5" s="1"/>
  <c r="D140" i="5"/>
  <c r="C140" i="5"/>
  <c r="D172" i="5"/>
  <c r="C172" i="5"/>
  <c r="D168" i="5"/>
  <c r="C168" i="5"/>
  <c r="D163" i="5"/>
  <c r="C163" i="5"/>
  <c r="C164" i="5" s="1"/>
  <c r="D161" i="5"/>
  <c r="C161" i="5"/>
  <c r="D158" i="5"/>
  <c r="C158" i="5"/>
  <c r="C159" i="5" s="1"/>
  <c r="D154" i="5"/>
  <c r="C154" i="5"/>
  <c r="D176" i="5"/>
  <c r="C176" i="5"/>
  <c r="C177" i="5" s="1"/>
  <c r="C178" i="5" s="1"/>
  <c r="D180" i="5"/>
  <c r="C180" i="5"/>
  <c r="D197" i="5"/>
  <c r="C197" i="5"/>
  <c r="D193" i="5"/>
  <c r="C193" i="5"/>
  <c r="D190" i="5"/>
  <c r="C190" i="5"/>
  <c r="D187" i="5"/>
  <c r="C187" i="5"/>
  <c r="D200" i="5"/>
  <c r="C200" i="5"/>
  <c r="C201" i="5" s="1"/>
  <c r="C202" i="5" s="1"/>
  <c r="C203" i="5" s="1"/>
  <c r="D205" i="5"/>
  <c r="C205" i="5"/>
  <c r="D209" i="5"/>
  <c r="C209" i="5"/>
  <c r="B200" i="5"/>
  <c r="A200" i="5"/>
  <c r="B187" i="5"/>
  <c r="A187" i="5"/>
  <c r="A188" i="5" s="1"/>
  <c r="B176" i="5"/>
  <c r="B177" i="5" s="1"/>
  <c r="A176" i="5"/>
  <c r="B154" i="5"/>
  <c r="A154" i="5"/>
  <c r="B140" i="5"/>
  <c r="A140" i="5"/>
  <c r="B119" i="5"/>
  <c r="A119" i="5"/>
  <c r="A120" i="5" s="1"/>
  <c r="B114" i="5"/>
  <c r="B115" i="5" s="1"/>
  <c r="B116" i="5" s="1"/>
  <c r="B117" i="5" s="1"/>
  <c r="A114" i="5"/>
  <c r="B84" i="5"/>
  <c r="A84" i="5"/>
  <c r="B76" i="5"/>
  <c r="B77" i="5" s="1"/>
  <c r="A76" i="5"/>
  <c r="A77" i="5"/>
  <c r="A78" i="5"/>
  <c r="A79" i="5" s="1"/>
  <c r="A80" i="5" s="1"/>
  <c r="A81" i="5" s="1"/>
  <c r="A82" i="5" s="1"/>
  <c r="B66" i="5"/>
  <c r="B67" i="5"/>
  <c r="B68" i="5" s="1"/>
  <c r="B69" i="5" s="1"/>
  <c r="B70" i="5" s="1"/>
  <c r="B71" i="5" s="1"/>
  <c r="B72" i="5" s="1"/>
  <c r="B73" i="5" s="1"/>
  <c r="B74" i="5" s="1"/>
  <c r="A66" i="5"/>
  <c r="A67" i="5" s="1"/>
  <c r="A68" i="5" s="1"/>
  <c r="A69" i="5" s="1"/>
  <c r="A70" i="5" s="1"/>
  <c r="A71" i="5" s="1"/>
  <c r="A72" i="5" s="1"/>
  <c r="A73" i="5" s="1"/>
  <c r="A74" i="5" s="1"/>
  <c r="B24" i="5"/>
  <c r="B25" i="5" s="1"/>
  <c r="B26" i="5" s="1"/>
  <c r="B27" i="5"/>
  <c r="B28" i="5" s="1"/>
  <c r="B29" i="5" s="1"/>
  <c r="A24" i="5"/>
  <c r="A25" i="5" s="1"/>
  <c r="A26" i="5" s="1"/>
  <c r="A27" i="5"/>
  <c r="A28" i="5" s="1"/>
  <c r="A29" i="5" s="1"/>
  <c r="A30" i="5" s="1"/>
  <c r="A31" i="5" s="1"/>
  <c r="A32" i="5" s="1"/>
  <c r="A33" i="5" s="1"/>
  <c r="A34" i="5" s="1"/>
  <c r="D20" i="5"/>
  <c r="D21" i="5" s="1"/>
  <c r="C20" i="5"/>
  <c r="C21" i="5"/>
  <c r="D5" i="5"/>
  <c r="D6" i="5" s="1"/>
  <c r="D7" i="5" s="1"/>
  <c r="D8" i="5" s="1"/>
  <c r="D9" i="5" s="1"/>
  <c r="D10" i="5" s="1"/>
  <c r="D11" i="5" s="1"/>
  <c r="C18" i="5"/>
  <c r="C5" i="5"/>
  <c r="C6" i="5" s="1"/>
  <c r="C7" i="5" s="1"/>
  <c r="C8" i="5" s="1"/>
  <c r="C9" i="5" s="1"/>
  <c r="C10" i="5" s="1"/>
  <c r="C11" i="5" s="1"/>
  <c r="C12" i="5"/>
  <c r="C51" i="5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B30" i="5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D186" i="4"/>
  <c r="D185" i="4"/>
  <c r="D179" i="4"/>
  <c r="D178" i="4"/>
  <c r="D175" i="4"/>
  <c r="D174" i="4"/>
  <c r="D173" i="4"/>
  <c r="D170" i="4"/>
  <c r="D169" i="4"/>
  <c r="D162" i="4"/>
  <c r="D159" i="4"/>
  <c r="D155" i="4"/>
  <c r="D154" i="4"/>
  <c r="D150" i="4"/>
  <c r="D149" i="4"/>
  <c r="D142" i="4"/>
  <c r="D141" i="4"/>
  <c r="D134" i="4"/>
  <c r="D133" i="4"/>
  <c r="D132" i="4"/>
  <c r="D131" i="4"/>
  <c r="D125" i="4"/>
  <c r="D124" i="4"/>
  <c r="D123" i="4"/>
  <c r="D122" i="4"/>
  <c r="D121" i="4"/>
  <c r="D120" i="4"/>
  <c r="D116" i="4"/>
  <c r="D115" i="4"/>
  <c r="D114" i="4"/>
  <c r="D113" i="4"/>
  <c r="D112" i="4"/>
  <c r="D111" i="4"/>
  <c r="D110" i="4"/>
  <c r="D104" i="4"/>
  <c r="D103" i="4"/>
  <c r="D102" i="4"/>
  <c r="D93" i="4"/>
  <c r="D86" i="4"/>
  <c r="D177" i="4"/>
  <c r="D176" i="4"/>
  <c r="D172" i="4"/>
  <c r="D171" i="4"/>
  <c r="D168" i="4"/>
  <c r="D167" i="4"/>
  <c r="D165" i="4"/>
  <c r="D164" i="4"/>
  <c r="D161" i="4"/>
  <c r="D153" i="4"/>
  <c r="D148" i="4"/>
  <c r="D146" i="4"/>
  <c r="D140" i="4"/>
  <c r="D139" i="4"/>
  <c r="D138" i="4"/>
  <c r="D137" i="4"/>
  <c r="D130" i="4"/>
  <c r="D129" i="4"/>
  <c r="D126" i="4"/>
  <c r="D119" i="4"/>
  <c r="D118" i="4"/>
  <c r="D109" i="4"/>
  <c r="D108" i="4"/>
  <c r="D105" i="4"/>
  <c r="D101" i="4"/>
  <c r="D100" i="4"/>
  <c r="D97" i="4"/>
  <c r="D96" i="4"/>
  <c r="D92" i="4"/>
  <c r="D91" i="4"/>
  <c r="D89" i="4"/>
  <c r="D88" i="4"/>
  <c r="D80" i="4"/>
  <c r="D81" i="4"/>
  <c r="D82" i="4"/>
  <c r="D83" i="4"/>
  <c r="D84" i="4"/>
  <c r="D85" i="4"/>
  <c r="D50" i="5"/>
  <c r="D51" i="5"/>
  <c r="A85" i="5"/>
  <c r="A86" i="5" s="1"/>
  <c r="A87" i="5" s="1"/>
  <c r="A88" i="5" s="1"/>
  <c r="A115" i="5"/>
  <c r="A141" i="5"/>
  <c r="A155" i="5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7" i="5"/>
  <c r="A201" i="5"/>
  <c r="C210" i="5"/>
  <c r="C206" i="5"/>
  <c r="C188" i="5"/>
  <c r="C191" i="5"/>
  <c r="C194" i="5"/>
  <c r="C181" i="5"/>
  <c r="C182" i="5" s="1"/>
  <c r="C183" i="5" s="1"/>
  <c r="C155" i="5"/>
  <c r="C156" i="5" s="1"/>
  <c r="C169" i="5"/>
  <c r="C173" i="5"/>
  <c r="C141" i="5"/>
  <c r="C148" i="5"/>
  <c r="C136" i="5"/>
  <c r="C126" i="5"/>
  <c r="C79" i="5"/>
  <c r="B78" i="5"/>
  <c r="B85" i="5"/>
  <c r="B120" i="5"/>
  <c r="B121" i="5" s="1"/>
  <c r="B122" i="5" s="1"/>
  <c r="B123" i="5" s="1"/>
  <c r="B124" i="5" s="1"/>
  <c r="B125" i="5" s="1"/>
  <c r="B126" i="5" s="1"/>
  <c r="B141" i="5"/>
  <c r="B155" i="5"/>
  <c r="B188" i="5"/>
  <c r="B189" i="5" s="1"/>
  <c r="B190" i="5" s="1"/>
  <c r="B201" i="5"/>
  <c r="D210" i="5"/>
  <c r="D206" i="5"/>
  <c r="D201" i="5"/>
  <c r="D202" i="5" s="1"/>
  <c r="D203" i="5" s="1"/>
  <c r="D188" i="5"/>
  <c r="D191" i="5"/>
  <c r="D194" i="5"/>
  <c r="D181" i="5"/>
  <c r="D182" i="5" s="1"/>
  <c r="D183" i="5" s="1"/>
  <c r="D177" i="5"/>
  <c r="D155" i="5"/>
  <c r="D159" i="5"/>
  <c r="D164" i="5"/>
  <c r="D165" i="5" s="1"/>
  <c r="D166" i="5" s="1"/>
  <c r="D169" i="5"/>
  <c r="D173" i="5"/>
  <c r="D141" i="5"/>
  <c r="D144" i="5"/>
  <c r="D145" i="5" s="1"/>
  <c r="D148" i="5"/>
  <c r="D136" i="5"/>
  <c r="D129" i="5"/>
  <c r="D126" i="5"/>
  <c r="D123" i="5"/>
  <c r="D79" i="5"/>
  <c r="D80" i="5" s="1"/>
  <c r="A1" i="5"/>
  <c r="D86" i="5"/>
  <c r="C86" i="5"/>
  <c r="D94" i="5"/>
  <c r="D95" i="5" s="1"/>
  <c r="D96" i="5" s="1"/>
  <c r="D97" i="5" s="1"/>
  <c r="C94" i="5"/>
  <c r="D99" i="5"/>
  <c r="D100" i="5" s="1"/>
  <c r="D101" i="5" s="1"/>
  <c r="C99" i="5"/>
  <c r="D103" i="5"/>
  <c r="C103" i="5"/>
  <c r="D110" i="5"/>
  <c r="C110" i="5"/>
  <c r="D108" i="5"/>
  <c r="C108" i="5"/>
  <c r="D106" i="5"/>
  <c r="C106" i="5"/>
  <c r="D114" i="5"/>
  <c r="D115" i="5" s="1"/>
  <c r="D116" i="5" s="1"/>
  <c r="C114" i="5"/>
  <c r="D120" i="5"/>
  <c r="C120" i="5"/>
  <c r="B160" i="1"/>
  <c r="A1" i="6"/>
  <c r="A71" i="4"/>
  <c r="B71" i="4"/>
  <c r="A65" i="4"/>
  <c r="B65" i="4"/>
  <c r="A60" i="4"/>
  <c r="B60" i="4"/>
  <c r="B187" i="4"/>
  <c r="B184" i="4"/>
  <c r="Q186" i="4"/>
  <c r="Q185" i="4"/>
  <c r="P186" i="4"/>
  <c r="P185" i="4"/>
  <c r="Q183" i="4"/>
  <c r="P183" i="4"/>
  <c r="Q182" i="4"/>
  <c r="P182" i="4"/>
  <c r="Q181" i="4"/>
  <c r="P181" i="4"/>
  <c r="Q180" i="4"/>
  <c r="P180" i="4"/>
  <c r="Q179" i="4"/>
  <c r="P179" i="4"/>
  <c r="Q178" i="4"/>
  <c r="P178" i="4"/>
  <c r="Q177" i="4"/>
  <c r="P177" i="4"/>
  <c r="Q176" i="4"/>
  <c r="P176" i="4"/>
  <c r="Q175" i="4"/>
  <c r="P175" i="4"/>
  <c r="Q174" i="4"/>
  <c r="P174" i="4"/>
  <c r="Q173" i="4"/>
  <c r="P173" i="4"/>
  <c r="Q172" i="4"/>
  <c r="P172" i="4"/>
  <c r="Q171" i="4"/>
  <c r="P171" i="4"/>
  <c r="Q170" i="4"/>
  <c r="P170" i="4"/>
  <c r="Q169" i="4"/>
  <c r="Q167" i="4"/>
  <c r="Q168" i="4"/>
  <c r="P169" i="4"/>
  <c r="P168" i="4"/>
  <c r="P167" i="4"/>
  <c r="Q165" i="4"/>
  <c r="Q164" i="4"/>
  <c r="P165" i="4"/>
  <c r="P164" i="4"/>
  <c r="B166" i="4"/>
  <c r="Q162" i="4"/>
  <c r="P162" i="4"/>
  <c r="Q161" i="4"/>
  <c r="P161" i="4"/>
  <c r="B163" i="4"/>
  <c r="B160" i="4"/>
  <c r="Q159" i="4"/>
  <c r="Q160" i="4" s="1"/>
  <c r="P159" i="4"/>
  <c r="P160" i="4" s="1"/>
  <c r="B158" i="4"/>
  <c r="Q157" i="4"/>
  <c r="P157" i="4"/>
  <c r="Q156" i="4"/>
  <c r="P156" i="4"/>
  <c r="P153" i="4"/>
  <c r="P154" i="4"/>
  <c r="P155" i="4"/>
  <c r="Q155" i="4"/>
  <c r="Q154" i="4"/>
  <c r="Q153" i="4"/>
  <c r="B152" i="4"/>
  <c r="Q151" i="4"/>
  <c r="P151" i="4"/>
  <c r="Q150" i="4"/>
  <c r="P150" i="4"/>
  <c r="Q149" i="4"/>
  <c r="P149" i="4"/>
  <c r="Q148" i="4"/>
  <c r="P148" i="4"/>
  <c r="Q146" i="4"/>
  <c r="Q147" i="4" s="1"/>
  <c r="P146" i="4"/>
  <c r="P147" i="4" s="1"/>
  <c r="B147" i="4"/>
  <c r="B145" i="4"/>
  <c r="Q144" i="4"/>
  <c r="P144" i="4"/>
  <c r="Q143" i="4"/>
  <c r="P143" i="4"/>
  <c r="Q142" i="4"/>
  <c r="P142" i="4"/>
  <c r="Q141" i="4"/>
  <c r="P141" i="4"/>
  <c r="Q140" i="4"/>
  <c r="P140" i="4"/>
  <c r="Q139" i="4"/>
  <c r="P139" i="4"/>
  <c r="P137" i="4"/>
  <c r="P138" i="4"/>
  <c r="Q138" i="4"/>
  <c r="Q137" i="4"/>
  <c r="B136" i="4"/>
  <c r="Q135" i="4"/>
  <c r="P135" i="4"/>
  <c r="Q134" i="4"/>
  <c r="P134" i="4"/>
  <c r="Q133" i="4"/>
  <c r="P133" i="4"/>
  <c r="Q132" i="4"/>
  <c r="P132" i="4"/>
  <c r="Q131" i="4"/>
  <c r="P131" i="4"/>
  <c r="Q130" i="4"/>
  <c r="P130" i="4"/>
  <c r="P129" i="4"/>
  <c r="Q129" i="4"/>
  <c r="B128" i="4"/>
  <c r="Q127" i="4"/>
  <c r="P127" i="4"/>
  <c r="Q126" i="4"/>
  <c r="P126" i="4"/>
  <c r="Q125" i="4"/>
  <c r="P125" i="4"/>
  <c r="Q124" i="4"/>
  <c r="P124" i="4"/>
  <c r="Q123" i="4"/>
  <c r="P123" i="4"/>
  <c r="Q122" i="4"/>
  <c r="P122" i="4"/>
  <c r="Q121" i="4"/>
  <c r="P121" i="4"/>
  <c r="Q120" i="4"/>
  <c r="P120" i="4"/>
  <c r="Q119" i="4"/>
  <c r="P119" i="4"/>
  <c r="Q118" i="4"/>
  <c r="P118" i="4"/>
  <c r="Q116" i="4"/>
  <c r="P116" i="4"/>
  <c r="Q115" i="4"/>
  <c r="P115" i="4"/>
  <c r="Q114" i="4"/>
  <c r="P114" i="4"/>
  <c r="Q113" i="4"/>
  <c r="P113" i="4"/>
  <c r="Q112" i="4"/>
  <c r="Q108" i="4"/>
  <c r="Q109" i="4"/>
  <c r="Q110" i="4"/>
  <c r="Q111" i="4"/>
  <c r="P112" i="4"/>
  <c r="P111" i="4"/>
  <c r="P110" i="4"/>
  <c r="P108" i="4"/>
  <c r="P109" i="4"/>
  <c r="B117" i="4"/>
  <c r="Q106" i="4"/>
  <c r="P106" i="4"/>
  <c r="Q105" i="4"/>
  <c r="P105" i="4"/>
  <c r="Q104" i="4"/>
  <c r="P104" i="4"/>
  <c r="Q103" i="4"/>
  <c r="P103" i="4"/>
  <c r="Q102" i="4"/>
  <c r="P102" i="4"/>
  <c r="Q101" i="4"/>
  <c r="P101" i="4"/>
  <c r="P100" i="4"/>
  <c r="Q100" i="4"/>
  <c r="B107" i="4"/>
  <c r="B99" i="4"/>
  <c r="B95" i="4"/>
  <c r="B90" i="4"/>
  <c r="B87" i="4"/>
  <c r="Q98" i="4"/>
  <c r="P98" i="4"/>
  <c r="Q97" i="4"/>
  <c r="P97" i="4"/>
  <c r="P96" i="4"/>
  <c r="Q96" i="4"/>
  <c r="Q94" i="4"/>
  <c r="P94" i="4"/>
  <c r="Q93" i="4"/>
  <c r="P93" i="4"/>
  <c r="Q92" i="4"/>
  <c r="P92" i="4"/>
  <c r="Q91" i="4"/>
  <c r="P91" i="4"/>
  <c r="Q89" i="4"/>
  <c r="P89" i="4"/>
  <c r="P88" i="4"/>
  <c r="Q88" i="4"/>
  <c r="Q86" i="4"/>
  <c r="P86" i="4"/>
  <c r="Q85" i="4"/>
  <c r="P85" i="4"/>
  <c r="Q84" i="4"/>
  <c r="P84" i="4"/>
  <c r="Q83" i="4"/>
  <c r="P83" i="4"/>
  <c r="Q82" i="4"/>
  <c r="P82" i="4"/>
  <c r="Q81" i="4"/>
  <c r="P81" i="4"/>
  <c r="Q80" i="4"/>
  <c r="P80" i="4"/>
  <c r="Q78" i="4"/>
  <c r="Q79" i="4" s="1"/>
  <c r="P78" i="4"/>
  <c r="P79" i="4" s="1"/>
  <c r="D157" i="1"/>
  <c r="F157" i="1"/>
  <c r="L157" i="1"/>
  <c r="V157" i="1"/>
  <c r="M157" i="1"/>
  <c r="W157" i="1"/>
  <c r="U157" i="1"/>
  <c r="T157" i="1"/>
  <c r="E157" i="1"/>
  <c r="C48" i="1"/>
  <c r="V47" i="1"/>
  <c r="B3" i="1"/>
  <c r="B5" i="1"/>
  <c r="F5" i="1"/>
  <c r="Q5" i="1"/>
  <c r="B45" i="1"/>
  <c r="D47" i="1"/>
  <c r="F47" i="1"/>
  <c r="T47" i="1"/>
  <c r="B162" i="1"/>
  <c r="B169" i="1"/>
  <c r="M218" i="1"/>
  <c r="D221" i="1"/>
  <c r="I221" i="1"/>
  <c r="K221" i="1"/>
  <c r="X3" i="4"/>
  <c r="T3" i="4"/>
  <c r="F3" i="4"/>
  <c r="P4" i="4"/>
  <c r="P190" i="4" s="1"/>
  <c r="Q4" i="4"/>
  <c r="R4" i="4"/>
  <c r="R201" i="4" s="1"/>
  <c r="B78" i="4"/>
  <c r="B79" i="4" s="1"/>
  <c r="E3" i="4"/>
  <c r="D143" i="4"/>
  <c r="D180" i="4"/>
  <c r="D182" i="4"/>
  <c r="D135" i="4"/>
  <c r="D156" i="4"/>
  <c r="D181" i="4"/>
  <c r="D183" i="4"/>
  <c r="D157" i="4"/>
  <c r="D151" i="4"/>
  <c r="D144" i="4"/>
  <c r="D127" i="4"/>
  <c r="D106" i="4"/>
  <c r="D98" i="4"/>
  <c r="D94" i="4"/>
  <c r="C115" i="5"/>
  <c r="C111" i="5"/>
  <c r="C104" i="5"/>
  <c r="C100" i="5"/>
  <c r="C95" i="5"/>
  <c r="D149" i="5"/>
  <c r="D170" i="5"/>
  <c r="D156" i="5"/>
  <c r="D178" i="5"/>
  <c r="D195" i="5"/>
  <c r="D207" i="5"/>
  <c r="B202" i="5"/>
  <c r="B178" i="5"/>
  <c r="B179" i="5" s="1"/>
  <c r="B180" i="5" s="1"/>
  <c r="B181" i="5" s="1"/>
  <c r="B182" i="5" s="1"/>
  <c r="B183" i="5" s="1"/>
  <c r="B184" i="5" s="1"/>
  <c r="B185" i="5" s="1"/>
  <c r="B156" i="5"/>
  <c r="B142" i="5"/>
  <c r="B86" i="5"/>
  <c r="B79" i="5"/>
  <c r="D111" i="5"/>
  <c r="D104" i="5"/>
  <c r="C80" i="5"/>
  <c r="C149" i="5"/>
  <c r="C170" i="5"/>
  <c r="C165" i="5"/>
  <c r="C195" i="5"/>
  <c r="C207" i="5"/>
  <c r="A202" i="5"/>
  <c r="A189" i="5"/>
  <c r="A178" i="5"/>
  <c r="A179" i="5" s="1"/>
  <c r="A180" i="5" s="1"/>
  <c r="A181" i="5" s="1"/>
  <c r="A182" i="5" s="1"/>
  <c r="A142" i="5"/>
  <c r="A121" i="5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16" i="5"/>
  <c r="A117" i="5" s="1"/>
  <c r="A143" i="5"/>
  <c r="A190" i="5"/>
  <c r="A191" i="5" s="1"/>
  <c r="A192" i="5" s="1"/>
  <c r="A203" i="5"/>
  <c r="C166" i="5"/>
  <c r="B80" i="5"/>
  <c r="B81" i="5" s="1"/>
  <c r="B82" i="5" s="1"/>
  <c r="B87" i="5"/>
  <c r="B143" i="5"/>
  <c r="B157" i="5"/>
  <c r="B203" i="5"/>
  <c r="B204" i="5" s="1"/>
  <c r="B205" i="5" s="1"/>
  <c r="B206" i="5" s="1"/>
  <c r="B207" i="5" s="1"/>
  <c r="B208" i="5" s="1"/>
  <c r="B209" i="5" s="1"/>
  <c r="B210" i="5" s="1"/>
  <c r="B211" i="5" s="1"/>
  <c r="B212" i="5" s="1"/>
  <c r="C96" i="5"/>
  <c r="C97" i="5" s="1"/>
  <c r="C101" i="5"/>
  <c r="C116" i="5"/>
  <c r="B191" i="5"/>
  <c r="B158" i="5"/>
  <c r="B159" i="5" s="1"/>
  <c r="B160" i="5" s="1"/>
  <c r="B144" i="5"/>
  <c r="B145" i="5" s="1"/>
  <c r="B146" i="5" s="1"/>
  <c r="B147" i="5" s="1"/>
  <c r="B148" i="5" s="1"/>
  <c r="B149" i="5" s="1"/>
  <c r="B150" i="5" s="1"/>
  <c r="B151" i="5" s="1"/>
  <c r="B152" i="5" s="1"/>
  <c r="B88" i="5"/>
  <c r="B89" i="5" s="1"/>
  <c r="B90" i="5"/>
  <c r="B91" i="5" s="1"/>
  <c r="A204" i="5"/>
  <c r="A144" i="5"/>
  <c r="A145" i="5" s="1"/>
  <c r="A146" i="5" s="1"/>
  <c r="A147" i="5" s="1"/>
  <c r="A148" i="5" s="1"/>
  <c r="A149" i="5" s="1"/>
  <c r="A150" i="5" s="1"/>
  <c r="A151" i="5" s="1"/>
  <c r="A152" i="5" s="1"/>
  <c r="A205" i="5"/>
  <c r="A206" i="5" s="1"/>
  <c r="A207" i="5" s="1"/>
  <c r="A208" i="5" s="1"/>
  <c r="B92" i="5"/>
  <c r="B192" i="5"/>
  <c r="B193" i="5" s="1"/>
  <c r="B194" i="5" s="1"/>
  <c r="B195" i="5" s="1"/>
  <c r="B196" i="5" s="1"/>
  <c r="B197" i="5" s="1"/>
  <c r="B93" i="5"/>
  <c r="A193" i="5"/>
  <c r="A194" i="5" s="1"/>
  <c r="A195" i="5" s="1"/>
  <c r="A196" i="5" s="1"/>
  <c r="A197" i="5" s="1"/>
  <c r="A183" i="5"/>
  <c r="A184" i="5" s="1"/>
  <c r="A185" i="5" s="1"/>
  <c r="C213" i="5"/>
  <c r="B94" i="5"/>
  <c r="B161" i="5"/>
  <c r="D213" i="5"/>
  <c r="B162" i="5"/>
  <c r="B163" i="5" s="1"/>
  <c r="B95" i="5"/>
  <c r="B96" i="5" s="1"/>
  <c r="B97" i="5" s="1"/>
  <c r="B98" i="5" s="1"/>
  <c r="B99" i="5" s="1"/>
  <c r="B100" i="5" s="1"/>
  <c r="B127" i="5"/>
  <c r="B128" i="5" s="1"/>
  <c r="B129" i="5" s="1"/>
  <c r="B130" i="5" s="1"/>
  <c r="A209" i="5"/>
  <c r="A210" i="5" s="1"/>
  <c r="A211" i="5" s="1"/>
  <c r="A212" i="5" s="1"/>
  <c r="B164" i="5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A198" i="5"/>
  <c r="B198" i="5"/>
  <c r="B131" i="5"/>
  <c r="B132" i="5" s="1"/>
  <c r="B133" i="5" s="1"/>
  <c r="B134" i="5" s="1"/>
  <c r="B135" i="5" s="1"/>
  <c r="B136" i="5" s="1"/>
  <c r="B137" i="5" s="1"/>
  <c r="B138" i="5" s="1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A213" i="5"/>
  <c r="B213" i="5"/>
  <c r="B214" i="5"/>
  <c r="A214" i="5"/>
  <c r="X54" i="4" l="1"/>
  <c r="X52" i="4"/>
  <c r="X41" i="4"/>
  <c r="X40" i="4"/>
  <c r="X37" i="4"/>
  <c r="X34" i="4"/>
  <c r="X31" i="4"/>
  <c r="X51" i="4"/>
  <c r="X49" i="4"/>
  <c r="X47" i="4"/>
  <c r="X45" i="4"/>
  <c r="X42" i="4"/>
  <c r="X53" i="4"/>
  <c r="X38" i="4"/>
  <c r="X35" i="4"/>
  <c r="X33" i="4"/>
  <c r="X32" i="4"/>
  <c r="X55" i="4"/>
  <c r="X50" i="4"/>
  <c r="X39" i="4"/>
  <c r="X36" i="4"/>
  <c r="X48" i="4"/>
  <c r="X46" i="4"/>
  <c r="X43" i="4"/>
  <c r="T51" i="4"/>
  <c r="T49" i="4"/>
  <c r="T47" i="4"/>
  <c r="T45" i="4"/>
  <c r="T54" i="4"/>
  <c r="T52" i="4"/>
  <c r="T33" i="4"/>
  <c r="T40" i="4"/>
  <c r="T37" i="4"/>
  <c r="T41" i="4"/>
  <c r="T48" i="4"/>
  <c r="T53" i="4"/>
  <c r="T31" i="4"/>
  <c r="T35" i="4"/>
  <c r="T43" i="4"/>
  <c r="T39" i="4"/>
  <c r="T34" i="4"/>
  <c r="T38" i="4"/>
  <c r="T46" i="4"/>
  <c r="T55" i="4"/>
  <c r="T36" i="4"/>
  <c r="T32" i="4"/>
  <c r="T42" i="4"/>
  <c r="T50" i="4"/>
  <c r="Y51" i="4"/>
  <c r="Y49" i="4"/>
  <c r="Y47" i="4"/>
  <c r="Y45" i="4"/>
  <c r="Y42" i="4"/>
  <c r="Y53" i="4"/>
  <c r="Y55" i="4"/>
  <c r="Y50" i="4"/>
  <c r="Y48" i="4"/>
  <c r="Y46" i="4"/>
  <c r="Y43" i="4"/>
  <c r="Y39" i="4"/>
  <c r="Y36" i="4"/>
  <c r="Y54" i="4"/>
  <c r="Y52" i="4"/>
  <c r="Y33" i="4"/>
  <c r="Y31" i="4"/>
  <c r="Y40" i="4"/>
  <c r="Y37" i="4"/>
  <c r="Y38" i="4"/>
  <c r="Y35" i="4"/>
  <c r="Y41" i="4"/>
  <c r="Y34" i="4"/>
  <c r="Y32" i="4"/>
  <c r="U50" i="4"/>
  <c r="U48" i="4"/>
  <c r="U46" i="4"/>
  <c r="U43" i="4"/>
  <c r="U51" i="4"/>
  <c r="U49" i="4"/>
  <c r="U47" i="4"/>
  <c r="U45" i="4"/>
  <c r="U32" i="4"/>
  <c r="U36" i="4"/>
  <c r="U53" i="4"/>
  <c r="U34" i="4"/>
  <c r="U39" i="4"/>
  <c r="U42" i="4"/>
  <c r="U54" i="4"/>
  <c r="U38" i="4"/>
  <c r="U40" i="4"/>
  <c r="U33" i="4"/>
  <c r="U31" i="4"/>
  <c r="U41" i="4"/>
  <c r="U37" i="4"/>
  <c r="U52" i="4"/>
  <c r="U35" i="4"/>
  <c r="U55" i="4"/>
  <c r="Z53" i="4"/>
  <c r="Z38" i="4"/>
  <c r="Z35" i="4"/>
  <c r="Z33" i="4"/>
  <c r="Z32" i="4"/>
  <c r="Z55" i="4"/>
  <c r="Z50" i="4"/>
  <c r="Z48" i="4"/>
  <c r="Z46" i="4"/>
  <c r="Z43" i="4"/>
  <c r="Z54" i="4"/>
  <c r="Z52" i="4"/>
  <c r="Z41" i="4"/>
  <c r="Z40" i="4"/>
  <c r="Z37" i="4"/>
  <c r="Z34" i="4"/>
  <c r="Z31" i="4"/>
  <c r="Z51" i="4"/>
  <c r="Z49" i="4"/>
  <c r="Z47" i="4"/>
  <c r="Z45" i="4"/>
  <c r="Z42" i="4"/>
  <c r="Z39" i="4"/>
  <c r="Z36" i="4"/>
  <c r="V52" i="4"/>
  <c r="V33" i="4"/>
  <c r="V31" i="4"/>
  <c r="V40" i="4"/>
  <c r="V37" i="4"/>
  <c r="V38" i="4"/>
  <c r="V35" i="4"/>
  <c r="V36" i="4"/>
  <c r="V54" i="4"/>
  <c r="V41" i="4"/>
  <c r="V45" i="4"/>
  <c r="V49" i="4"/>
  <c r="V34" i="4"/>
  <c r="V39" i="4"/>
  <c r="V51" i="4"/>
  <c r="V42" i="4"/>
  <c r="V47" i="4"/>
  <c r="V32" i="4"/>
  <c r="V55" i="4"/>
  <c r="V43" i="4"/>
  <c r="V48" i="4"/>
  <c r="V50" i="4"/>
  <c r="V46" i="4"/>
  <c r="V53" i="4"/>
  <c r="AA55" i="4"/>
  <c r="AA50" i="4"/>
  <c r="AA48" i="4"/>
  <c r="AA46" i="4"/>
  <c r="AA43" i="4"/>
  <c r="AA39" i="4"/>
  <c r="AA36" i="4"/>
  <c r="AA54" i="4"/>
  <c r="AA52" i="4"/>
  <c r="AA41" i="4"/>
  <c r="AA51" i="4"/>
  <c r="AA49" i="4"/>
  <c r="AA47" i="4"/>
  <c r="AA45" i="4"/>
  <c r="AA42" i="4"/>
  <c r="AA53" i="4"/>
  <c r="AA40" i="4"/>
  <c r="AA37" i="4"/>
  <c r="AA38" i="4"/>
  <c r="AA35" i="4"/>
  <c r="AA34" i="4"/>
  <c r="AA32" i="4"/>
  <c r="AA33" i="4"/>
  <c r="AA31" i="4"/>
  <c r="X29" i="4"/>
  <c r="X30" i="4"/>
  <c r="T29" i="4"/>
  <c r="T30" i="4"/>
  <c r="Y29" i="4"/>
  <c r="Y30" i="4"/>
  <c r="U29" i="4"/>
  <c r="U30" i="4"/>
  <c r="Z29" i="4"/>
  <c r="Z30" i="4"/>
  <c r="V29" i="4"/>
  <c r="V30" i="4"/>
  <c r="AA30" i="4"/>
  <c r="AA29" i="4"/>
  <c r="X59" i="4"/>
  <c r="X27" i="4"/>
  <c r="X25" i="4"/>
  <c r="X28" i="4"/>
  <c r="T59" i="4"/>
  <c r="T27" i="4"/>
  <c r="T25" i="4"/>
  <c r="T28" i="4"/>
  <c r="Y59" i="4"/>
  <c r="Y27" i="4"/>
  <c r="Y25" i="4"/>
  <c r="Y28" i="4"/>
  <c r="U59" i="4"/>
  <c r="U27" i="4"/>
  <c r="U25" i="4"/>
  <c r="U28" i="4"/>
  <c r="Z59" i="4"/>
  <c r="Z27" i="4"/>
  <c r="Z25" i="4"/>
  <c r="Z28" i="4"/>
  <c r="V59" i="4"/>
  <c r="V27" i="4"/>
  <c r="V25" i="4"/>
  <c r="V28" i="4"/>
  <c r="AA59" i="4"/>
  <c r="AA28" i="4"/>
  <c r="AA27" i="4"/>
  <c r="AA25" i="4"/>
  <c r="T22" i="4"/>
  <c r="T23" i="4"/>
  <c r="T21" i="4"/>
  <c r="Y21" i="4"/>
  <c r="Y22" i="4"/>
  <c r="Y23" i="4"/>
  <c r="X56" i="4"/>
  <c r="X22" i="4"/>
  <c r="X21" i="4"/>
  <c r="X23" i="4"/>
  <c r="U21" i="4"/>
  <c r="U22" i="4"/>
  <c r="U23" i="4"/>
  <c r="Z56" i="4"/>
  <c r="Z22" i="4"/>
  <c r="Z21" i="4"/>
  <c r="Z23" i="4"/>
  <c r="V22" i="4"/>
  <c r="V23" i="4"/>
  <c r="V21" i="4"/>
  <c r="AA56" i="4"/>
  <c r="AA23" i="4"/>
  <c r="AA22" i="4"/>
  <c r="AA21" i="4"/>
  <c r="T16" i="4"/>
  <c r="T56" i="4"/>
  <c r="Y129" i="4"/>
  <c r="Y56" i="4"/>
  <c r="U16" i="4"/>
  <c r="U56" i="4"/>
  <c r="V16" i="4"/>
  <c r="V56" i="4"/>
  <c r="D186" i="1"/>
  <c r="G186" i="1" s="1"/>
  <c r="R16" i="1"/>
  <c r="S16" i="1" s="1"/>
  <c r="Y122" i="1"/>
  <c r="Z122" i="1" s="1"/>
  <c r="AA122" i="1" s="1"/>
  <c r="Y86" i="1"/>
  <c r="Z86" i="1" s="1"/>
  <c r="AA86" i="1" s="1"/>
  <c r="Y141" i="1"/>
  <c r="Z141" i="1" s="1"/>
  <c r="AA141" i="1" s="1"/>
  <c r="Y60" i="1"/>
  <c r="Z60" i="1" s="1"/>
  <c r="AA60" i="1" s="1"/>
  <c r="Y57" i="1"/>
  <c r="Z57" i="1" s="1"/>
  <c r="AA57" i="1" s="1"/>
  <c r="Y147" i="1"/>
  <c r="Z147" i="1" s="1"/>
  <c r="AA147" i="1" s="1"/>
  <c r="Y105" i="1"/>
  <c r="Z105" i="1" s="1"/>
  <c r="AA105" i="1" s="1"/>
  <c r="Y69" i="1"/>
  <c r="Z69" i="1" s="1"/>
  <c r="AA69" i="1" s="1"/>
  <c r="Y49" i="1"/>
  <c r="Z49" i="1" s="1"/>
  <c r="Y59" i="1"/>
  <c r="Z59" i="1" s="1"/>
  <c r="AA59" i="1" s="1"/>
  <c r="Y134" i="1"/>
  <c r="Z134" i="1" s="1"/>
  <c r="AA134" i="1" s="1"/>
  <c r="Y98" i="1"/>
  <c r="Z98" i="1" s="1"/>
  <c r="AA98" i="1" s="1"/>
  <c r="Y67" i="1"/>
  <c r="Z67" i="1" s="1"/>
  <c r="AA67" i="1" s="1"/>
  <c r="Y61" i="1"/>
  <c r="Z61" i="1" s="1"/>
  <c r="AA61" i="1" s="1"/>
  <c r="Y55" i="1"/>
  <c r="Z55" i="1" s="1"/>
  <c r="AA55" i="1" s="1"/>
  <c r="Y118" i="1"/>
  <c r="Z118" i="1" s="1"/>
  <c r="AA118" i="1" s="1"/>
  <c r="Y82" i="1"/>
  <c r="Z82" i="1" s="1"/>
  <c r="AA82" i="1" s="1"/>
  <c r="A137" i="4"/>
  <c r="A145" i="4" s="1"/>
  <c r="A178" i="8"/>
  <c r="A186" i="8" s="1"/>
  <c r="F3" i="3"/>
  <c r="A121" i="8"/>
  <c r="A128" i="8" s="1"/>
  <c r="A100" i="4"/>
  <c r="A107" i="4" s="1"/>
  <c r="A141" i="8"/>
  <c r="A148" i="8" s="1"/>
  <c r="A185" i="4"/>
  <c r="A187" i="4" s="1"/>
  <c r="A226" i="8"/>
  <c r="A228" i="8" s="1"/>
  <c r="G3" i="3"/>
  <c r="A129" i="8"/>
  <c r="A131" i="8" s="1"/>
  <c r="K3" i="3"/>
  <c r="A149" i="8"/>
  <c r="A158" i="8" s="1"/>
  <c r="A91" i="4"/>
  <c r="A95" i="4" s="1"/>
  <c r="A132" i="8"/>
  <c r="A136" i="8" s="1"/>
  <c r="A118" i="4"/>
  <c r="A128" i="4" s="1"/>
  <c r="A159" i="8"/>
  <c r="A169" i="8" s="1"/>
  <c r="A148" i="4"/>
  <c r="A152" i="4" s="1"/>
  <c r="A189" i="8"/>
  <c r="A193" i="8" s="1"/>
  <c r="A164" i="4"/>
  <c r="A166" i="4" s="1"/>
  <c r="A205" i="8"/>
  <c r="A207" i="8" s="1"/>
  <c r="E3" i="3"/>
  <c r="A119" i="8"/>
  <c r="A120" i="8" s="1"/>
  <c r="I3" i="3"/>
  <c r="A137" i="8"/>
  <c r="A140" i="8" s="1"/>
  <c r="R163" i="4"/>
  <c r="R166" i="4"/>
  <c r="R145" i="4"/>
  <c r="P163" i="4"/>
  <c r="V157" i="4"/>
  <c r="V153" i="4"/>
  <c r="V148" i="4"/>
  <c r="V138" i="4"/>
  <c r="V129" i="4"/>
  <c r="V124" i="4"/>
  <c r="V106" i="4"/>
  <c r="V102" i="4"/>
  <c r="V92" i="4"/>
  <c r="V86" i="4"/>
  <c r="V82" i="4"/>
  <c r="R90" i="4"/>
  <c r="Z16" i="4"/>
  <c r="R190" i="4"/>
  <c r="Q166" i="4"/>
  <c r="R107" i="4"/>
  <c r="R95" i="4"/>
  <c r="R117" i="4"/>
  <c r="R152" i="4"/>
  <c r="Q65" i="4"/>
  <c r="AA68" i="4"/>
  <c r="AA69" i="4"/>
  <c r="AA16" i="4"/>
  <c r="AA67" i="4"/>
  <c r="AA70" i="4"/>
  <c r="R74" i="4"/>
  <c r="R99" i="4"/>
  <c r="X58" i="4"/>
  <c r="X67" i="4"/>
  <c r="X16" i="4"/>
  <c r="X69" i="4"/>
  <c r="X70" i="4"/>
  <c r="X68" i="4"/>
  <c r="Q87" i="4"/>
  <c r="Y16" i="4"/>
  <c r="Y68" i="4"/>
  <c r="Y69" i="4"/>
  <c r="Y70" i="4"/>
  <c r="Y67" i="4"/>
  <c r="U20" i="4"/>
  <c r="U58" i="4"/>
  <c r="Z20" i="4"/>
  <c r="Z58" i="4"/>
  <c r="V20" i="4"/>
  <c r="V58" i="4"/>
  <c r="AA20" i="4"/>
  <c r="AA58" i="4"/>
  <c r="T20" i="4"/>
  <c r="T58" i="4"/>
  <c r="Y20" i="4"/>
  <c r="Y58" i="4"/>
  <c r="X115" i="4"/>
  <c r="X20" i="4"/>
  <c r="X133" i="4"/>
  <c r="X119" i="4"/>
  <c r="U18" i="4"/>
  <c r="U17" i="4"/>
  <c r="U19" i="4"/>
  <c r="U12" i="4"/>
  <c r="U15" i="4"/>
  <c r="U14" i="4"/>
  <c r="U13" i="4"/>
  <c r="U11" i="4"/>
  <c r="Z18" i="4"/>
  <c r="Z12" i="4"/>
  <c r="Z15" i="4"/>
  <c r="Z17" i="4"/>
  <c r="Z19" i="4"/>
  <c r="Z13" i="4"/>
  <c r="Z11" i="4"/>
  <c r="Z14" i="4"/>
  <c r="X144" i="4"/>
  <c r="V201" i="4"/>
  <c r="V17" i="4"/>
  <c r="V14" i="4"/>
  <c r="V13" i="4"/>
  <c r="V18" i="4"/>
  <c r="V19" i="4"/>
  <c r="V11" i="4"/>
  <c r="V15" i="4"/>
  <c r="V12" i="4"/>
  <c r="AA15" i="4"/>
  <c r="AA17" i="4"/>
  <c r="AA11" i="4"/>
  <c r="AA18" i="4"/>
  <c r="AA19" i="4"/>
  <c r="AA12" i="4"/>
  <c r="AA13" i="4"/>
  <c r="AA14" i="4"/>
  <c r="X10" i="4"/>
  <c r="X13" i="4"/>
  <c r="X14" i="4"/>
  <c r="X15" i="4"/>
  <c r="X17" i="4"/>
  <c r="X18" i="4"/>
  <c r="X11" i="4"/>
  <c r="X12" i="4"/>
  <c r="X19" i="4"/>
  <c r="T195" i="4"/>
  <c r="T13" i="4"/>
  <c r="T15" i="4"/>
  <c r="T19" i="4"/>
  <c r="T12" i="4"/>
  <c r="T11" i="4"/>
  <c r="T14" i="4"/>
  <c r="T18" i="4"/>
  <c r="T17" i="4"/>
  <c r="Y82" i="4"/>
  <c r="Y11" i="4"/>
  <c r="Y12" i="4"/>
  <c r="Y19" i="4"/>
  <c r="Y13" i="4"/>
  <c r="Y14" i="4"/>
  <c r="Y15" i="4"/>
  <c r="Y17" i="4"/>
  <c r="Y18" i="4"/>
  <c r="Q128" i="4"/>
  <c r="R128" i="4"/>
  <c r="P145" i="4"/>
  <c r="R184" i="4"/>
  <c r="R187" i="4"/>
  <c r="X198" i="4"/>
  <c r="Q90" i="4"/>
  <c r="P99" i="4"/>
  <c r="Q107" i="4"/>
  <c r="P117" i="4"/>
  <c r="P136" i="4"/>
  <c r="Q145" i="4"/>
  <c r="P152" i="4"/>
  <c r="Q152" i="4"/>
  <c r="Q158" i="4"/>
  <c r="Q163" i="4"/>
  <c r="Q184" i="4"/>
  <c r="Q187" i="4"/>
  <c r="Y182" i="4"/>
  <c r="Y164" i="4"/>
  <c r="Y155" i="4"/>
  <c r="Y74" i="4"/>
  <c r="T142" i="4"/>
  <c r="Y159" i="4"/>
  <c r="Y160" i="4" s="1"/>
  <c r="Y63" i="4"/>
  <c r="V195" i="4"/>
  <c r="T98" i="4"/>
  <c r="Y153" i="4"/>
  <c r="Y144" i="4"/>
  <c r="Y138" i="4"/>
  <c r="Y118" i="4"/>
  <c r="Y108" i="4"/>
  <c r="Y97" i="4"/>
  <c r="T185" i="4"/>
  <c r="V176" i="4"/>
  <c r="V110" i="4"/>
  <c r="V105" i="4"/>
  <c r="V101" i="4"/>
  <c r="Y176" i="4"/>
  <c r="Y171" i="4"/>
  <c r="Y149" i="4"/>
  <c r="Y141" i="4"/>
  <c r="Y88" i="4"/>
  <c r="U186" i="4"/>
  <c r="U115" i="4"/>
  <c r="U143" i="4"/>
  <c r="V122" i="4"/>
  <c r="V118" i="4"/>
  <c r="V113" i="4"/>
  <c r="AA123" i="4"/>
  <c r="V165" i="4"/>
  <c r="V159" i="4"/>
  <c r="V160" i="4" s="1"/>
  <c r="V134" i="4"/>
  <c r="V130" i="4"/>
  <c r="V125" i="4"/>
  <c r="V121" i="4"/>
  <c r="V116" i="4"/>
  <c r="Q74" i="4"/>
  <c r="Q190" i="4"/>
  <c r="A89" i="5"/>
  <c r="A90" i="5" s="1"/>
  <c r="A91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D12" i="5"/>
  <c r="K48" i="1"/>
  <c r="M48" i="1"/>
  <c r="R159" i="1"/>
  <c r="C52" i="5"/>
  <c r="D16" i="5"/>
  <c r="D17" i="5" s="1"/>
  <c r="D18" i="5"/>
  <c r="L70" i="4"/>
  <c r="E67" i="4"/>
  <c r="E69" i="4"/>
  <c r="D70" i="4"/>
  <c r="M67" i="4"/>
  <c r="K66" i="4"/>
  <c r="R66" i="4" s="1"/>
  <c r="AA66" i="4" s="1"/>
  <c r="M70" i="4"/>
  <c r="E70" i="4"/>
  <c r="D68" i="4"/>
  <c r="L68" i="4"/>
  <c r="K68" i="4" s="1"/>
  <c r="R68" i="4" s="1"/>
  <c r="M68" i="4"/>
  <c r="L69" i="4"/>
  <c r="M69" i="4"/>
  <c r="D67" i="4"/>
  <c r="D69" i="4"/>
  <c r="M66" i="4"/>
  <c r="E68" i="4"/>
  <c r="D10" i="4"/>
  <c r="M10" i="4"/>
  <c r="M7" i="4"/>
  <c r="E8" i="4"/>
  <c r="U8" i="4" s="1"/>
  <c r="L61" i="4"/>
  <c r="K61" i="4" s="1"/>
  <c r="R61" i="4" s="1"/>
  <c r="M62" i="4"/>
  <c r="E63" i="4"/>
  <c r="U63" i="4" s="1"/>
  <c r="E9" i="4"/>
  <c r="U9" i="4" s="1"/>
  <c r="L10" i="4"/>
  <c r="L7" i="4"/>
  <c r="K7" i="4" s="1"/>
  <c r="R7" i="4" s="1"/>
  <c r="Y7" i="4" s="1"/>
  <c r="M8" i="4"/>
  <c r="D61" i="4"/>
  <c r="E61" i="4"/>
  <c r="T61" i="4" s="1"/>
  <c r="L62" i="4"/>
  <c r="K62" i="4" s="1"/>
  <c r="R62" i="4" s="1"/>
  <c r="Y62" i="4" s="1"/>
  <c r="M64" i="4"/>
  <c r="Y143" i="1"/>
  <c r="Z143" i="1" s="1"/>
  <c r="AA143" i="1" s="1"/>
  <c r="Y53" i="1"/>
  <c r="Z53" i="1" s="1"/>
  <c r="AA53" i="1" s="1"/>
  <c r="Y54" i="1"/>
  <c r="Z54" i="1" s="1"/>
  <c r="AA54" i="1" s="1"/>
  <c r="Y108" i="1"/>
  <c r="Z108" i="1" s="1"/>
  <c r="AA108" i="1" s="1"/>
  <c r="Y52" i="1"/>
  <c r="Z52" i="1" s="1"/>
  <c r="AA52" i="1" s="1"/>
  <c r="Y51" i="1"/>
  <c r="Z51" i="1" s="1"/>
  <c r="AA51" i="1" s="1"/>
  <c r="Y100" i="1"/>
  <c r="Z100" i="1" s="1"/>
  <c r="AA100" i="1" s="1"/>
  <c r="Y101" i="1"/>
  <c r="Z101" i="1" s="1"/>
  <c r="AA101" i="1" s="1"/>
  <c r="Y99" i="1"/>
  <c r="Z99" i="1" s="1"/>
  <c r="AA99" i="1" s="1"/>
  <c r="Y155" i="1"/>
  <c r="Z155" i="1" s="1"/>
  <c r="AA155" i="1" s="1"/>
  <c r="Y130" i="1"/>
  <c r="Z130" i="1" s="1"/>
  <c r="AA130" i="1" s="1"/>
  <c r="Y114" i="1"/>
  <c r="Z114" i="1" s="1"/>
  <c r="AA114" i="1" s="1"/>
  <c r="Y94" i="1"/>
  <c r="Z94" i="1" s="1"/>
  <c r="AA94" i="1" s="1"/>
  <c r="Y78" i="1"/>
  <c r="Z78" i="1" s="1"/>
  <c r="AA78" i="1" s="1"/>
  <c r="Y63" i="1"/>
  <c r="Z63" i="1" s="1"/>
  <c r="AA63" i="1" s="1"/>
  <c r="D66" i="4"/>
  <c r="D9" i="4"/>
  <c r="M9" i="4"/>
  <c r="D8" i="4"/>
  <c r="L8" i="4"/>
  <c r="K8" i="4" s="1"/>
  <c r="R8" i="4" s="1"/>
  <c r="Y8" i="4" s="1"/>
  <c r="D62" i="4"/>
  <c r="E62" i="4"/>
  <c r="T62" i="4" s="1"/>
  <c r="M63" i="4"/>
  <c r="D64" i="4"/>
  <c r="L64" i="4"/>
  <c r="K64" i="4" s="1"/>
  <c r="R64" i="4" s="1"/>
  <c r="AA64" i="4" s="1"/>
  <c r="D7" i="4"/>
  <c r="Y151" i="1"/>
  <c r="Z151" i="1" s="1"/>
  <c r="AA151" i="1" s="1"/>
  <c r="Y126" i="1"/>
  <c r="Z126" i="1" s="1"/>
  <c r="AA126" i="1" s="1"/>
  <c r="Y110" i="1"/>
  <c r="Z110" i="1" s="1"/>
  <c r="AA110" i="1" s="1"/>
  <c r="Y90" i="1"/>
  <c r="Z90" i="1" s="1"/>
  <c r="AA90" i="1" s="1"/>
  <c r="Y74" i="1"/>
  <c r="Z74" i="1" s="1"/>
  <c r="AA74" i="1" s="1"/>
  <c r="Y145" i="1"/>
  <c r="Z145" i="1" s="1"/>
  <c r="AA145" i="1" s="1"/>
  <c r="L9" i="4"/>
  <c r="E10" i="4"/>
  <c r="T10" i="4" s="1"/>
  <c r="E7" i="4"/>
  <c r="U7" i="4" s="1"/>
  <c r="M61" i="4"/>
  <c r="D63" i="4"/>
  <c r="L63" i="4"/>
  <c r="K63" i="4" s="1"/>
  <c r="R63" i="4" s="1"/>
  <c r="AA63" i="4" s="1"/>
  <c r="E64" i="4"/>
  <c r="E66" i="4"/>
  <c r="U66" i="4" s="1"/>
  <c r="P90" i="4"/>
  <c r="Q99" i="4"/>
  <c r="P184" i="4"/>
  <c r="R87" i="4"/>
  <c r="R158" i="4"/>
  <c r="P87" i="4"/>
  <c r="P95" i="4"/>
  <c r="Q95" i="4"/>
  <c r="P128" i="4"/>
  <c r="R136" i="4"/>
  <c r="P107" i="4"/>
  <c r="Q117" i="4"/>
  <c r="Q136" i="4"/>
  <c r="P158" i="4"/>
  <c r="P166" i="4"/>
  <c r="P187" i="4"/>
  <c r="P74" i="4"/>
  <c r="R195" i="4"/>
  <c r="P65" i="4"/>
  <c r="Q71" i="4"/>
  <c r="P71" i="4"/>
  <c r="Q60" i="4"/>
  <c r="P60" i="4"/>
  <c r="L3" i="3"/>
  <c r="O3" i="3"/>
  <c r="S3" i="3"/>
  <c r="A80" i="4"/>
  <c r="A87" i="4" s="1"/>
  <c r="R3" i="3"/>
  <c r="V3" i="3"/>
  <c r="H3" i="3"/>
  <c r="N3" i="3"/>
  <c r="P3" i="3"/>
  <c r="M3" i="3"/>
  <c r="Q3" i="3"/>
  <c r="U3" i="3"/>
  <c r="A159" i="4"/>
  <c r="A160" i="4" s="1"/>
  <c r="J3" i="3"/>
  <c r="T3" i="3"/>
  <c r="L48" i="1"/>
  <c r="J48" i="1"/>
  <c r="R17" i="1"/>
  <c r="S17" i="1" s="1"/>
  <c r="D187" i="1"/>
  <c r="G187" i="1" s="1"/>
  <c r="Y156" i="1"/>
  <c r="Z156" i="1" s="1"/>
  <c r="AA156" i="1" s="1"/>
  <c r="Y152" i="1"/>
  <c r="Z152" i="1" s="1"/>
  <c r="AA152" i="1" s="1"/>
  <c r="Y148" i="1"/>
  <c r="Z148" i="1" s="1"/>
  <c r="AA148" i="1" s="1"/>
  <c r="Y135" i="1"/>
  <c r="Z135" i="1" s="1"/>
  <c r="AA135" i="1" s="1"/>
  <c r="Y131" i="1"/>
  <c r="Z131" i="1" s="1"/>
  <c r="AA131" i="1" s="1"/>
  <c r="Y127" i="1"/>
  <c r="Z127" i="1" s="1"/>
  <c r="AA127" i="1" s="1"/>
  <c r="Y123" i="1"/>
  <c r="Z123" i="1" s="1"/>
  <c r="AA123" i="1" s="1"/>
  <c r="Y119" i="1"/>
  <c r="Z119" i="1" s="1"/>
  <c r="AA119" i="1" s="1"/>
  <c r="Y115" i="1"/>
  <c r="Z115" i="1" s="1"/>
  <c r="AA115" i="1" s="1"/>
  <c r="Y111" i="1"/>
  <c r="Z111" i="1" s="1"/>
  <c r="AA111" i="1" s="1"/>
  <c r="Y106" i="1"/>
  <c r="Z106" i="1" s="1"/>
  <c r="AA106" i="1" s="1"/>
  <c r="Y102" i="1"/>
  <c r="Z102" i="1" s="1"/>
  <c r="AA102" i="1" s="1"/>
  <c r="Y95" i="1"/>
  <c r="Z95" i="1" s="1"/>
  <c r="AA95" i="1" s="1"/>
  <c r="Y91" i="1"/>
  <c r="Z91" i="1" s="1"/>
  <c r="AA91" i="1" s="1"/>
  <c r="Y87" i="1"/>
  <c r="Z87" i="1" s="1"/>
  <c r="AA87" i="1" s="1"/>
  <c r="Y83" i="1"/>
  <c r="Z83" i="1" s="1"/>
  <c r="AA83" i="1" s="1"/>
  <c r="Y79" i="1"/>
  <c r="Z79" i="1" s="1"/>
  <c r="AA79" i="1" s="1"/>
  <c r="Y75" i="1"/>
  <c r="Z75" i="1" s="1"/>
  <c r="AA75" i="1" s="1"/>
  <c r="Y70" i="1"/>
  <c r="Z70" i="1" s="1"/>
  <c r="AA70" i="1" s="1"/>
  <c r="Y68" i="1"/>
  <c r="Z68" i="1" s="1"/>
  <c r="AA68" i="1" s="1"/>
  <c r="Y64" i="1"/>
  <c r="Z64" i="1" s="1"/>
  <c r="AA64" i="1" s="1"/>
  <c r="Y142" i="1"/>
  <c r="Z142" i="1" s="1"/>
  <c r="AA142" i="1" s="1"/>
  <c r="Y138" i="1"/>
  <c r="Z138" i="1" s="1"/>
  <c r="AA138" i="1" s="1"/>
  <c r="Y136" i="1"/>
  <c r="Z136" i="1" s="1"/>
  <c r="AA136" i="1" s="1"/>
  <c r="R34" i="1"/>
  <c r="D188" i="1"/>
  <c r="G188" i="1" s="1"/>
  <c r="A146" i="4"/>
  <c r="A147" i="4" s="1"/>
  <c r="A161" i="4"/>
  <c r="A163" i="4" s="1"/>
  <c r="A96" i="4"/>
  <c r="A99" i="4" s="1"/>
  <c r="A88" i="4"/>
  <c r="A90" i="4" s="1"/>
  <c r="A108" i="4"/>
  <c r="A117" i="4" s="1"/>
  <c r="A78" i="4"/>
  <c r="A79" i="4" s="1"/>
  <c r="A129" i="4"/>
  <c r="A136" i="4" s="1"/>
  <c r="A153" i="4"/>
  <c r="A158" i="4" s="1"/>
  <c r="A167" i="4"/>
  <c r="A184" i="4" s="1"/>
  <c r="O37" i="1"/>
  <c r="F38" i="1" s="1"/>
  <c r="Y154" i="1"/>
  <c r="Z154" i="1" s="1"/>
  <c r="AA154" i="1" s="1"/>
  <c r="Y150" i="1"/>
  <c r="Z150" i="1" s="1"/>
  <c r="AA150" i="1" s="1"/>
  <c r="Y146" i="1"/>
  <c r="Z146" i="1" s="1"/>
  <c r="AA146" i="1" s="1"/>
  <c r="Y133" i="1"/>
  <c r="Z133" i="1" s="1"/>
  <c r="AA133" i="1" s="1"/>
  <c r="Y129" i="1"/>
  <c r="Z129" i="1" s="1"/>
  <c r="AA129" i="1" s="1"/>
  <c r="Y125" i="1"/>
  <c r="Z125" i="1" s="1"/>
  <c r="AA125" i="1" s="1"/>
  <c r="Y121" i="1"/>
  <c r="Z121" i="1" s="1"/>
  <c r="AA121" i="1" s="1"/>
  <c r="Y117" i="1"/>
  <c r="Z117" i="1" s="1"/>
  <c r="AA117" i="1" s="1"/>
  <c r="Y113" i="1"/>
  <c r="Z113" i="1" s="1"/>
  <c r="AA113" i="1" s="1"/>
  <c r="Y109" i="1"/>
  <c r="Z109" i="1" s="1"/>
  <c r="AA109" i="1" s="1"/>
  <c r="Y104" i="1"/>
  <c r="Z104" i="1" s="1"/>
  <c r="AA104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81" i="1"/>
  <c r="Z81" i="1" s="1"/>
  <c r="AA81" i="1" s="1"/>
  <c r="Y77" i="1"/>
  <c r="Z77" i="1" s="1"/>
  <c r="AA77" i="1" s="1"/>
  <c r="Y73" i="1"/>
  <c r="Z73" i="1" s="1"/>
  <c r="AA73" i="1" s="1"/>
  <c r="Y66" i="1"/>
  <c r="Z66" i="1" s="1"/>
  <c r="AA66" i="1" s="1"/>
  <c r="Y62" i="1"/>
  <c r="Z62" i="1" s="1"/>
  <c r="AA62" i="1" s="1"/>
  <c r="Y144" i="1"/>
  <c r="Z144" i="1" s="1"/>
  <c r="AA144" i="1" s="1"/>
  <c r="Y140" i="1"/>
  <c r="Z140" i="1" s="1"/>
  <c r="AA140" i="1" s="1"/>
  <c r="Y137" i="1"/>
  <c r="Z137" i="1" s="1"/>
  <c r="AA137" i="1" s="1"/>
  <c r="Y58" i="1"/>
  <c r="Z58" i="1" s="1"/>
  <c r="AA58" i="1" s="1"/>
  <c r="Y56" i="1"/>
  <c r="Z56" i="1" s="1"/>
  <c r="AA56" i="1" s="1"/>
  <c r="Y50" i="1"/>
  <c r="Z50" i="1" s="1"/>
  <c r="AA50" i="1" s="1"/>
  <c r="Y153" i="1"/>
  <c r="Z153" i="1" s="1"/>
  <c r="AA153" i="1" s="1"/>
  <c r="Y149" i="1"/>
  <c r="Z149" i="1" s="1"/>
  <c r="AA149" i="1" s="1"/>
  <c r="Y139" i="1"/>
  <c r="Z139" i="1" s="1"/>
  <c r="AA139" i="1" s="1"/>
  <c r="Y132" i="1"/>
  <c r="Z132" i="1" s="1"/>
  <c r="AA132" i="1" s="1"/>
  <c r="Y128" i="1"/>
  <c r="Z128" i="1" s="1"/>
  <c r="AA128" i="1" s="1"/>
  <c r="Y124" i="1"/>
  <c r="Z124" i="1" s="1"/>
  <c r="AA124" i="1" s="1"/>
  <c r="Y120" i="1"/>
  <c r="Z120" i="1" s="1"/>
  <c r="AA120" i="1" s="1"/>
  <c r="Y116" i="1"/>
  <c r="Z116" i="1" s="1"/>
  <c r="AA116" i="1" s="1"/>
  <c r="Y112" i="1"/>
  <c r="Z112" i="1" s="1"/>
  <c r="AA112" i="1" s="1"/>
  <c r="Y107" i="1"/>
  <c r="Z107" i="1" s="1"/>
  <c r="AA107" i="1" s="1"/>
  <c r="Y103" i="1"/>
  <c r="Z103" i="1" s="1"/>
  <c r="AA103" i="1" s="1"/>
  <c r="Y96" i="1"/>
  <c r="Z96" i="1" s="1"/>
  <c r="AA96" i="1" s="1"/>
  <c r="Y92" i="1"/>
  <c r="Z92" i="1" s="1"/>
  <c r="AA92" i="1" s="1"/>
  <c r="Y88" i="1"/>
  <c r="Z88" i="1" s="1"/>
  <c r="AA88" i="1" s="1"/>
  <c r="Y84" i="1"/>
  <c r="Z84" i="1" s="1"/>
  <c r="AA84" i="1" s="1"/>
  <c r="Y80" i="1"/>
  <c r="Z80" i="1" s="1"/>
  <c r="AA80" i="1" s="1"/>
  <c r="Y76" i="1"/>
  <c r="Z76" i="1" s="1"/>
  <c r="AA76" i="1" s="1"/>
  <c r="Y72" i="1"/>
  <c r="Z72" i="1" s="1"/>
  <c r="AA72" i="1" s="1"/>
  <c r="Y65" i="1"/>
  <c r="Z65" i="1" s="1"/>
  <c r="AA65" i="1" s="1"/>
  <c r="R8" i="1"/>
  <c r="S8" i="1" s="1"/>
  <c r="O26" i="1"/>
  <c r="S21" i="1"/>
  <c r="N26" i="1"/>
  <c r="T174" i="4"/>
  <c r="AA10" i="4"/>
  <c r="Z169" i="4"/>
  <c r="Z111" i="4"/>
  <c r="Z96" i="4"/>
  <c r="AA156" i="4"/>
  <c r="T111" i="4"/>
  <c r="V111" i="4"/>
  <c r="U170" i="4"/>
  <c r="V170" i="4"/>
  <c r="V74" i="4"/>
  <c r="V190" i="4"/>
  <c r="Y66" i="4"/>
  <c r="Y64" i="4"/>
  <c r="Y9" i="4"/>
  <c r="Y78" i="4"/>
  <c r="Y79" i="4" s="1"/>
  <c r="Y83" i="4"/>
  <c r="Y85" i="4"/>
  <c r="Y89" i="4"/>
  <c r="Y93" i="4"/>
  <c r="Y98" i="4"/>
  <c r="Y102" i="4"/>
  <c r="Y104" i="4"/>
  <c r="Y109" i="4"/>
  <c r="Y111" i="4"/>
  <c r="Y113" i="4"/>
  <c r="Y115" i="4"/>
  <c r="Y119" i="4"/>
  <c r="Y121" i="4"/>
  <c r="Y123" i="4"/>
  <c r="Y125" i="4"/>
  <c r="Y130" i="4"/>
  <c r="Y132" i="4"/>
  <c r="Y134" i="4"/>
  <c r="Y139" i="4"/>
  <c r="Y146" i="4"/>
  <c r="Y147" i="4" s="1"/>
  <c r="Y156" i="4"/>
  <c r="Y161" i="4"/>
  <c r="Y165" i="4"/>
  <c r="Y169" i="4"/>
  <c r="Y172" i="4"/>
  <c r="Y174" i="4"/>
  <c r="Y177" i="4"/>
  <c r="Y179" i="4"/>
  <c r="Y183" i="4"/>
  <c r="Y186" i="4"/>
  <c r="Y10" i="4"/>
  <c r="Y80" i="4"/>
  <c r="Y91" i="4"/>
  <c r="Y94" i="4"/>
  <c r="Y100" i="4"/>
  <c r="Y105" i="4"/>
  <c r="Y126" i="4"/>
  <c r="Y135" i="4"/>
  <c r="Y140" i="4"/>
  <c r="Y142" i="4"/>
  <c r="Y148" i="4"/>
  <c r="Y150" i="4"/>
  <c r="Y154" i="4"/>
  <c r="Y157" i="4"/>
  <c r="Y167" i="4"/>
  <c r="Y180" i="4"/>
  <c r="Y190" i="4"/>
  <c r="Y195" i="4"/>
  <c r="Y81" i="4"/>
  <c r="Y84" i="4"/>
  <c r="Y86" i="4"/>
  <c r="Y92" i="4"/>
  <c r="Y96" i="4"/>
  <c r="Y101" i="4"/>
  <c r="Y103" i="4"/>
  <c r="Y106" i="4"/>
  <c r="Y110" i="4"/>
  <c r="Y112" i="4"/>
  <c r="Y114" i="4"/>
  <c r="Y116" i="4"/>
  <c r="Y120" i="4"/>
  <c r="Y122" i="4"/>
  <c r="Y124" i="4"/>
  <c r="Y127" i="4"/>
  <c r="Y131" i="4"/>
  <c r="Y133" i="4"/>
  <c r="Y137" i="4"/>
  <c r="Y143" i="4"/>
  <c r="Y151" i="4"/>
  <c r="Y162" i="4"/>
  <c r="Y168" i="4"/>
  <c r="Y170" i="4"/>
  <c r="Y173" i="4"/>
  <c r="Y175" i="4"/>
  <c r="Y178" i="4"/>
  <c r="Y181" i="4"/>
  <c r="Y185" i="4"/>
  <c r="V96" i="4"/>
  <c r="V91" i="4"/>
  <c r="V85" i="4"/>
  <c r="V81" i="4"/>
  <c r="V183" i="4"/>
  <c r="V179" i="4"/>
  <c r="V175" i="4"/>
  <c r="V171" i="4"/>
  <c r="V162" i="4"/>
  <c r="V156" i="4"/>
  <c r="V151" i="4"/>
  <c r="V141" i="4"/>
  <c r="V132" i="4"/>
  <c r="V127" i="4"/>
  <c r="V120" i="4"/>
  <c r="V112" i="4"/>
  <c r="V109" i="4"/>
  <c r="V94" i="4"/>
  <c r="V89" i="4"/>
  <c r="V182" i="4"/>
  <c r="V178" i="4"/>
  <c r="V174" i="4"/>
  <c r="V167" i="4"/>
  <c r="V155" i="4"/>
  <c r="V150" i="4"/>
  <c r="V135" i="4"/>
  <c r="V131" i="4"/>
  <c r="V126" i="4"/>
  <c r="V119" i="4"/>
  <c r="V114" i="4"/>
  <c r="V108" i="4"/>
  <c r="V103" i="4"/>
  <c r="V93" i="4"/>
  <c r="V83" i="4"/>
  <c r="T130" i="4"/>
  <c r="U82" i="4"/>
  <c r="T86" i="4"/>
  <c r="T180" i="4"/>
  <c r="V115" i="4"/>
  <c r="Z74" i="4"/>
  <c r="AA113" i="4"/>
  <c r="Z185" i="4"/>
  <c r="AA172" i="4"/>
  <c r="AA81" i="4"/>
  <c r="Z195" i="4"/>
  <c r="Z149" i="4"/>
  <c r="Z134" i="4"/>
  <c r="T190" i="4"/>
  <c r="T120" i="4"/>
  <c r="T144" i="4"/>
  <c r="T140" i="4"/>
  <c r="Z179" i="4"/>
  <c r="Z156" i="4"/>
  <c r="Z89" i="4"/>
  <c r="AA146" i="4"/>
  <c r="AA147" i="4" s="1"/>
  <c r="AA104" i="4"/>
  <c r="T168" i="4"/>
  <c r="T154" i="4"/>
  <c r="U139" i="4"/>
  <c r="X84" i="4"/>
  <c r="Z190" i="4"/>
  <c r="Z181" i="4"/>
  <c r="Z176" i="4"/>
  <c r="Z115" i="4"/>
  <c r="Z88" i="4"/>
  <c r="AA180" i="4"/>
  <c r="AA135" i="4"/>
  <c r="AA91" i="4"/>
  <c r="T156" i="4"/>
  <c r="U177" i="4"/>
  <c r="U129" i="4"/>
  <c r="U96" i="4"/>
  <c r="U169" i="4"/>
  <c r="U137" i="4"/>
  <c r="X181" i="4"/>
  <c r="X175" i="4"/>
  <c r="X157" i="4"/>
  <c r="X137" i="4"/>
  <c r="X125" i="4"/>
  <c r="X110" i="4"/>
  <c r="X101" i="4"/>
  <c r="X91" i="4"/>
  <c r="X74" i="4"/>
  <c r="Z198" i="4"/>
  <c r="T96" i="4"/>
  <c r="U74" i="4"/>
  <c r="U127" i="4"/>
  <c r="U93" i="4"/>
  <c r="V168" i="4"/>
  <c r="V139" i="4"/>
  <c r="U130" i="4"/>
  <c r="U120" i="4"/>
  <c r="U116" i="4"/>
  <c r="U114" i="4"/>
  <c r="U112" i="4"/>
  <c r="U110" i="4"/>
  <c r="U83" i="4"/>
  <c r="X177" i="4"/>
  <c r="X174" i="4"/>
  <c r="X162" i="4"/>
  <c r="X153" i="4"/>
  <c r="X139" i="4"/>
  <c r="X129" i="4"/>
  <c r="X123" i="4"/>
  <c r="X116" i="4"/>
  <c r="X96" i="4"/>
  <c r="X85" i="4"/>
  <c r="Z164" i="4"/>
  <c r="Z142" i="4"/>
  <c r="Z123" i="4"/>
  <c r="Z105" i="4"/>
  <c r="U201" i="4"/>
  <c r="U178" i="4"/>
  <c r="U113" i="4"/>
  <c r="X183" i="4"/>
  <c r="X171" i="4"/>
  <c r="X159" i="4"/>
  <c r="X160" i="4" s="1"/>
  <c r="X148" i="4"/>
  <c r="X142" i="4"/>
  <c r="X132" i="4"/>
  <c r="X111" i="4"/>
  <c r="X105" i="4"/>
  <c r="X98" i="4"/>
  <c r="X88" i="4"/>
  <c r="U172" i="4"/>
  <c r="V172" i="4"/>
  <c r="T179" i="4"/>
  <c r="T172" i="4"/>
  <c r="T151" i="4"/>
  <c r="T127" i="4"/>
  <c r="T116" i="4"/>
  <c r="T94" i="4"/>
  <c r="T83" i="4"/>
  <c r="U81" i="4"/>
  <c r="AA179" i="4"/>
  <c r="AA168" i="4"/>
  <c r="AA155" i="4"/>
  <c r="AA142" i="4"/>
  <c r="AA131" i="4"/>
  <c r="AA122" i="4"/>
  <c r="AA111" i="4"/>
  <c r="AA100" i="4"/>
  <c r="AA88" i="4"/>
  <c r="AA78" i="4"/>
  <c r="AA79" i="4" s="1"/>
  <c r="U94" i="4"/>
  <c r="U111" i="4"/>
  <c r="U121" i="4"/>
  <c r="U162" i="4"/>
  <c r="X8" i="4"/>
  <c r="X78" i="4"/>
  <c r="X79" i="4" s="1"/>
  <c r="X81" i="4"/>
  <c r="X83" i="4"/>
  <c r="X93" i="4"/>
  <c r="X102" i="4"/>
  <c r="X106" i="4"/>
  <c r="X109" i="4"/>
  <c r="X113" i="4"/>
  <c r="X120" i="4"/>
  <c r="X124" i="4"/>
  <c r="X127" i="4"/>
  <c r="X130" i="4"/>
  <c r="X134" i="4"/>
  <c r="X143" i="4"/>
  <c r="X151" i="4"/>
  <c r="X155" i="4"/>
  <c r="X164" i="4"/>
  <c r="X167" i="4"/>
  <c r="X170" i="4"/>
  <c r="X172" i="4"/>
  <c r="X178" i="4"/>
  <c r="X182" i="4"/>
  <c r="X190" i="4"/>
  <c r="U195" i="4"/>
  <c r="T201" i="4"/>
  <c r="AA195" i="4"/>
  <c r="T183" i="4"/>
  <c r="T178" i="4"/>
  <c r="T171" i="4"/>
  <c r="T148" i="4"/>
  <c r="T139" i="4"/>
  <c r="T122" i="4"/>
  <c r="T115" i="4"/>
  <c r="T102" i="4"/>
  <c r="T93" i="4"/>
  <c r="T81" i="4"/>
  <c r="U182" i="4"/>
  <c r="U175" i="4"/>
  <c r="U156" i="4"/>
  <c r="U122" i="4"/>
  <c r="U109" i="4"/>
  <c r="U89" i="4"/>
  <c r="U174" i="4"/>
  <c r="U168" i="4"/>
  <c r="U148" i="4"/>
  <c r="V142" i="4"/>
  <c r="U142" i="4"/>
  <c r="U132" i="4"/>
  <c r="U103" i="4"/>
  <c r="U78" i="4"/>
  <c r="U79" i="4" s="1"/>
  <c r="V78" i="4"/>
  <c r="V79" i="4" s="1"/>
  <c r="X165" i="4"/>
  <c r="X195" i="4"/>
  <c r="T182" i="4"/>
  <c r="T176" i="4"/>
  <c r="T170" i="4"/>
  <c r="T159" i="4"/>
  <c r="T160" i="4" s="1"/>
  <c r="T132" i="4"/>
  <c r="T121" i="4"/>
  <c r="T112" i="4"/>
  <c r="T89" i="4"/>
  <c r="U190" i="4"/>
  <c r="U179" i="4"/>
  <c r="U171" i="4"/>
  <c r="U151" i="4"/>
  <c r="U134" i="4"/>
  <c r="U118" i="4"/>
  <c r="U105" i="4"/>
  <c r="U86" i="4"/>
  <c r="V185" i="4"/>
  <c r="U176" i="4"/>
  <c r="U97" i="4"/>
  <c r="V97" i="4"/>
  <c r="X185" i="4"/>
  <c r="X179" i="4"/>
  <c r="X168" i="4"/>
  <c r="X154" i="4"/>
  <c r="X149" i="4"/>
  <c r="X140" i="4"/>
  <c r="X138" i="4"/>
  <c r="X135" i="4"/>
  <c r="X121" i="4"/>
  <c r="X112" i="4"/>
  <c r="X108" i="4"/>
  <c r="X103" i="4"/>
  <c r="X92" i="4"/>
  <c r="X89" i="4"/>
  <c r="X86" i="4"/>
  <c r="X82" i="4"/>
  <c r="AA183" i="4"/>
  <c r="AA174" i="4"/>
  <c r="AA162" i="4"/>
  <c r="AA148" i="4"/>
  <c r="AA137" i="4"/>
  <c r="AA127" i="4"/>
  <c r="AA115" i="4"/>
  <c r="AA105" i="4"/>
  <c r="AA94" i="4"/>
  <c r="AA82" i="4"/>
  <c r="AA85" i="4"/>
  <c r="AA92" i="4"/>
  <c r="AA101" i="4"/>
  <c r="AA110" i="4"/>
  <c r="AA118" i="4"/>
  <c r="AA124" i="4"/>
  <c r="AA133" i="4"/>
  <c r="AA141" i="4"/>
  <c r="AA150" i="4"/>
  <c r="AA161" i="4"/>
  <c r="AA170" i="4"/>
  <c r="AA178" i="4"/>
  <c r="AA186" i="4"/>
  <c r="AA198" i="4"/>
  <c r="T74" i="4"/>
  <c r="T167" i="4"/>
  <c r="T110" i="4"/>
  <c r="U180" i="4"/>
  <c r="V180" i="4"/>
  <c r="X186" i="4"/>
  <c r="X180" i="4"/>
  <c r="X176" i="4"/>
  <c r="X173" i="4"/>
  <c r="X169" i="4"/>
  <c r="X161" i="4"/>
  <c r="X156" i="4"/>
  <c r="X150" i="4"/>
  <c r="X146" i="4"/>
  <c r="X147" i="4" s="1"/>
  <c r="X141" i="4"/>
  <c r="X131" i="4"/>
  <c r="X126" i="4"/>
  <c r="X122" i="4"/>
  <c r="X118" i="4"/>
  <c r="X114" i="4"/>
  <c r="X104" i="4"/>
  <c r="X100" i="4"/>
  <c r="X97" i="4"/>
  <c r="X94" i="4"/>
  <c r="X80" i="4"/>
  <c r="AA175" i="4"/>
  <c r="AA167" i="4"/>
  <c r="AA153" i="4"/>
  <c r="AA140" i="4"/>
  <c r="AA129" i="4"/>
  <c r="AA119" i="4"/>
  <c r="AA106" i="4"/>
  <c r="AA97" i="4"/>
  <c r="AA86" i="4"/>
  <c r="AA9" i="4"/>
  <c r="AA7" i="4"/>
  <c r="AA62" i="4"/>
  <c r="X64" i="4"/>
  <c r="T162" i="4"/>
  <c r="U159" i="4"/>
  <c r="U160" i="4" s="1"/>
  <c r="U146" i="4"/>
  <c r="U147" i="4" s="1"/>
  <c r="U124" i="4"/>
  <c r="V181" i="4"/>
  <c r="T181" i="4"/>
  <c r="V173" i="4"/>
  <c r="T173" i="4"/>
  <c r="U164" i="4"/>
  <c r="V164" i="4"/>
  <c r="T164" i="4"/>
  <c r="U181" i="4"/>
  <c r="U102" i="4"/>
  <c r="T137" i="4"/>
  <c r="V137" i="4"/>
  <c r="V133" i="4"/>
  <c r="U133" i="4"/>
  <c r="V123" i="4"/>
  <c r="U123" i="4"/>
  <c r="Z62" i="4"/>
  <c r="Z7" i="4"/>
  <c r="Z81" i="4"/>
  <c r="Z85" i="4"/>
  <c r="Z97" i="4"/>
  <c r="Z101" i="4"/>
  <c r="Z108" i="4"/>
  <c r="Z112" i="4"/>
  <c r="Z116" i="4"/>
  <c r="Z121" i="4"/>
  <c r="Z125" i="4"/>
  <c r="Z129" i="4"/>
  <c r="Z133" i="4"/>
  <c r="Z140" i="4"/>
  <c r="Z143" i="4"/>
  <c r="Z148" i="4"/>
  <c r="Z151" i="4"/>
  <c r="Z159" i="4"/>
  <c r="Z160" i="4" s="1"/>
  <c r="Z165" i="4"/>
  <c r="Z170" i="4"/>
  <c r="Z174" i="4"/>
  <c r="Z78" i="4"/>
  <c r="Z79" i="4" s="1"/>
  <c r="Z84" i="4"/>
  <c r="Z91" i="4"/>
  <c r="Z94" i="4"/>
  <c r="Z98" i="4"/>
  <c r="Z104" i="4"/>
  <c r="Z106" i="4"/>
  <c r="Z113" i="4"/>
  <c r="Z119" i="4"/>
  <c r="Z124" i="4"/>
  <c r="Z130" i="4"/>
  <c r="Z139" i="4"/>
  <c r="Z150" i="4"/>
  <c r="Z155" i="4"/>
  <c r="Z157" i="4"/>
  <c r="Z167" i="4"/>
  <c r="Z172" i="4"/>
  <c r="Z177" i="4"/>
  <c r="Z180" i="4"/>
  <c r="Z182" i="4"/>
  <c r="Z186" i="4"/>
  <c r="Z80" i="4"/>
  <c r="Z86" i="4"/>
  <c r="Z92" i="4"/>
  <c r="Z100" i="4"/>
  <c r="Z109" i="4"/>
  <c r="Z114" i="4"/>
  <c r="Z120" i="4"/>
  <c r="Z126" i="4"/>
  <c r="Z131" i="4"/>
  <c r="Z135" i="4"/>
  <c r="Z141" i="4"/>
  <c r="Z144" i="4"/>
  <c r="Z161" i="4"/>
  <c r="Z168" i="4"/>
  <c r="Z173" i="4"/>
  <c r="Z178" i="4"/>
  <c r="T175" i="4"/>
  <c r="T78" i="4"/>
  <c r="T79" i="4" s="1"/>
  <c r="V186" i="4"/>
  <c r="T186" i="4"/>
  <c r="V177" i="4"/>
  <c r="T177" i="4"/>
  <c r="V169" i="4"/>
  <c r="T169" i="4"/>
  <c r="V143" i="4"/>
  <c r="T143" i="4"/>
  <c r="Z183" i="4"/>
  <c r="Z175" i="4"/>
  <c r="Z162" i="4"/>
  <c r="Z154" i="4"/>
  <c r="Z146" i="4"/>
  <c r="Z147" i="4" s="1"/>
  <c r="Z138" i="4"/>
  <c r="Z132" i="4"/>
  <c r="Z122" i="4"/>
  <c r="Z110" i="4"/>
  <c r="Z103" i="4"/>
  <c r="Z83" i="4"/>
  <c r="T114" i="4"/>
  <c r="T105" i="4"/>
  <c r="U183" i="4"/>
  <c r="U173" i="4"/>
  <c r="U167" i="4"/>
  <c r="U154" i="4"/>
  <c r="V161" i="4"/>
  <c r="U161" i="4"/>
  <c r="T161" i="4"/>
  <c r="V154" i="4"/>
  <c r="V146" i="4"/>
  <c r="V147" i="4" s="1"/>
  <c r="V98" i="4"/>
  <c r="U98" i="4"/>
  <c r="Z171" i="4"/>
  <c r="Z153" i="4"/>
  <c r="Z137" i="4"/>
  <c r="Z127" i="4"/>
  <c r="Z118" i="4"/>
  <c r="Z102" i="4"/>
  <c r="Z93" i="4"/>
  <c r="Z82" i="4"/>
  <c r="Z63" i="4"/>
  <c r="V149" i="4"/>
  <c r="U149" i="4"/>
  <c r="AA80" i="4"/>
  <c r="AA84" i="4"/>
  <c r="AA89" i="4"/>
  <c r="AA93" i="4"/>
  <c r="AA98" i="4"/>
  <c r="AA103" i="4"/>
  <c r="AA108" i="4"/>
  <c r="AA112" i="4"/>
  <c r="AA116" i="4"/>
  <c r="AA121" i="4"/>
  <c r="AA125" i="4"/>
  <c r="AA130" i="4"/>
  <c r="AA134" i="4"/>
  <c r="AA139" i="4"/>
  <c r="AA143" i="4"/>
  <c r="AA149" i="4"/>
  <c r="AA154" i="4"/>
  <c r="AA159" i="4"/>
  <c r="AA160" i="4" s="1"/>
  <c r="AA164" i="4"/>
  <c r="AA169" i="4"/>
  <c r="AA173" i="4"/>
  <c r="AA177" i="4"/>
  <c r="AA181" i="4"/>
  <c r="AA185" i="4"/>
  <c r="T134" i="4"/>
  <c r="T124" i="4"/>
  <c r="T119" i="4"/>
  <c r="T113" i="4"/>
  <c r="T109" i="4"/>
  <c r="T97" i="4"/>
  <c r="T91" i="4"/>
  <c r="T82" i="4"/>
  <c r="U185" i="4"/>
  <c r="U138" i="4"/>
  <c r="U91" i="4"/>
  <c r="AA190" i="4"/>
  <c r="AA182" i="4"/>
  <c r="AA176" i="4"/>
  <c r="AA171" i="4"/>
  <c r="AA165" i="4"/>
  <c r="AA157" i="4"/>
  <c r="AA151" i="4"/>
  <c r="AA144" i="4"/>
  <c r="AA138" i="4"/>
  <c r="AA132" i="4"/>
  <c r="AA126" i="4"/>
  <c r="AA120" i="4"/>
  <c r="AA114" i="4"/>
  <c r="AA109" i="4"/>
  <c r="AA102" i="4"/>
  <c r="AA96" i="4"/>
  <c r="AA83" i="4"/>
  <c r="AA74" i="4"/>
  <c r="AA8" i="4"/>
  <c r="AA61" i="4"/>
  <c r="X61" i="4"/>
  <c r="U88" i="4"/>
  <c r="T88" i="4"/>
  <c r="T155" i="4"/>
  <c r="T135" i="4"/>
  <c r="T131" i="4"/>
  <c r="T123" i="4"/>
  <c r="T106" i="4"/>
  <c r="T101" i="4"/>
  <c r="U157" i="4"/>
  <c r="U153" i="4"/>
  <c r="U106" i="4"/>
  <c r="U101" i="4"/>
  <c r="V140" i="4"/>
  <c r="U140" i="4"/>
  <c r="V100" i="4"/>
  <c r="U100" i="4"/>
  <c r="T100" i="4"/>
  <c r="V84" i="4"/>
  <c r="U84" i="4"/>
  <c r="T84" i="4"/>
  <c r="T150" i="4"/>
  <c r="T146" i="4"/>
  <c r="T147" i="4" s="1"/>
  <c r="T138" i="4"/>
  <c r="T126" i="4"/>
  <c r="T118" i="4"/>
  <c r="T85" i="4"/>
  <c r="U141" i="4"/>
  <c r="U135" i="4"/>
  <c r="U131" i="4"/>
  <c r="U126" i="4"/>
  <c r="U85" i="4"/>
  <c r="U108" i="4"/>
  <c r="T108" i="4"/>
  <c r="U92" i="4"/>
  <c r="T92" i="4"/>
  <c r="T165" i="4"/>
  <c r="T157" i="4"/>
  <c r="T153" i="4"/>
  <c r="T149" i="4"/>
  <c r="T141" i="4"/>
  <c r="T133" i="4"/>
  <c r="T129" i="4"/>
  <c r="T125" i="4"/>
  <c r="T103" i="4"/>
  <c r="U165" i="4"/>
  <c r="U155" i="4"/>
  <c r="U150" i="4"/>
  <c r="U125" i="4"/>
  <c r="U119" i="4"/>
  <c r="V144" i="4"/>
  <c r="U144" i="4"/>
  <c r="V104" i="4"/>
  <c r="U104" i="4"/>
  <c r="T104" i="4"/>
  <c r="V88" i="4"/>
  <c r="V80" i="4"/>
  <c r="U80" i="4"/>
  <c r="T80" i="4"/>
  <c r="Z61" i="4"/>
  <c r="X62" i="4"/>
  <c r="Z64" i="4"/>
  <c r="X66" i="4"/>
  <c r="Z66" i="4"/>
  <c r="X9" i="4"/>
  <c r="X7" i="4"/>
  <c r="Z8" i="4"/>
  <c r="X63" i="4"/>
  <c r="H183" i="1" l="1"/>
  <c r="N190" i="1" s="1"/>
  <c r="N197" i="1" s="1"/>
  <c r="N199" i="1" s="1"/>
  <c r="N204" i="1" s="1"/>
  <c r="N206" i="1" s="1"/>
  <c r="N211" i="1" s="1"/>
  <c r="N212" i="1" s="1"/>
  <c r="O41" i="1"/>
  <c r="AA49" i="1"/>
  <c r="Z157" i="1"/>
  <c r="K9" i="4"/>
  <c r="R9" i="4" s="1"/>
  <c r="V9" i="4" s="1"/>
  <c r="V64" i="4"/>
  <c r="T67" i="4"/>
  <c r="V67" i="4"/>
  <c r="U68" i="4"/>
  <c r="T68" i="4"/>
  <c r="V68" i="4"/>
  <c r="V69" i="4"/>
  <c r="T69" i="4"/>
  <c r="Z68" i="4"/>
  <c r="U70" i="4"/>
  <c r="T70" i="4"/>
  <c r="K67" i="4"/>
  <c r="R67" i="4" s="1"/>
  <c r="V166" i="4"/>
  <c r="V61" i="4"/>
  <c r="T187" i="4"/>
  <c r="Y166" i="4"/>
  <c r="Y61" i="4"/>
  <c r="Y65" i="4" s="1"/>
  <c r="T64" i="4"/>
  <c r="U64" i="4"/>
  <c r="P189" i="4"/>
  <c r="R189" i="4"/>
  <c r="R194" i="4" s="1"/>
  <c r="R200" i="4" s="1"/>
  <c r="U187" i="4"/>
  <c r="T9" i="4"/>
  <c r="V95" i="4"/>
  <c r="K10" i="4"/>
  <c r="R10" i="4" s="1"/>
  <c r="Z10" i="4" s="1"/>
  <c r="V7" i="4"/>
  <c r="Y187" i="4"/>
  <c r="Y90" i="4"/>
  <c r="U61" i="4"/>
  <c r="Z187" i="4"/>
  <c r="U62" i="4"/>
  <c r="U10" i="4"/>
  <c r="V66" i="4"/>
  <c r="T66" i="4"/>
  <c r="Y71" i="4"/>
  <c r="Q189" i="4"/>
  <c r="V62" i="4"/>
  <c r="V63" i="4"/>
  <c r="T7" i="4"/>
  <c r="Y99" i="4"/>
  <c r="K69" i="4"/>
  <c r="R69" i="4" s="1"/>
  <c r="K70" i="4"/>
  <c r="R70" i="4" s="1"/>
  <c r="O48" i="1"/>
  <c r="Q48" i="1" s="1"/>
  <c r="S48" i="1" s="1"/>
  <c r="U48" i="1"/>
  <c r="W48" i="1" s="1"/>
  <c r="T63" i="4"/>
  <c r="V163" i="4"/>
  <c r="V8" i="4"/>
  <c r="T99" i="4"/>
  <c r="T8" i="4"/>
  <c r="R26" i="1"/>
  <c r="Q73" i="4"/>
  <c r="X60" i="4"/>
  <c r="Y128" i="4"/>
  <c r="Y136" i="4"/>
  <c r="Y163" i="4"/>
  <c r="P73" i="4"/>
  <c r="Y60" i="4"/>
  <c r="S26" i="1"/>
  <c r="Y157" i="1"/>
  <c r="R37" i="1"/>
  <c r="S34" i="1"/>
  <c r="S37" i="1" s="1"/>
  <c r="T48" i="1"/>
  <c r="V48" i="1" s="1"/>
  <c r="N48" i="1"/>
  <c r="P48" i="1" s="1"/>
  <c r="R48" i="1" s="1"/>
  <c r="F27" i="1"/>
  <c r="L190" i="1"/>
  <c r="L197" i="1" s="1"/>
  <c r="L199" i="1" s="1"/>
  <c r="L204" i="1" s="1"/>
  <c r="L206" i="1" s="1"/>
  <c r="L211" i="1" s="1"/>
  <c r="L212" i="1" s="1"/>
  <c r="M190" i="1"/>
  <c r="M197" i="1" s="1"/>
  <c r="M199" i="1" s="1"/>
  <c r="M204" i="1" s="1"/>
  <c r="M206" i="1" s="1"/>
  <c r="M211" i="1" s="1"/>
  <c r="M212" i="1" s="1"/>
  <c r="N41" i="1"/>
  <c r="Y87" i="4"/>
  <c r="V152" i="4"/>
  <c r="Z90" i="4"/>
  <c r="V128" i="4"/>
  <c r="Y95" i="4"/>
  <c r="Y158" i="4"/>
  <c r="Y107" i="4"/>
  <c r="Y145" i="4"/>
  <c r="V117" i="4"/>
  <c r="Y152" i="4"/>
  <c r="Y184" i="4"/>
  <c r="Y117" i="4"/>
  <c r="T90" i="4"/>
  <c r="Z166" i="4"/>
  <c r="U90" i="4"/>
  <c r="X107" i="4"/>
  <c r="V136" i="4"/>
  <c r="AA90" i="4"/>
  <c r="AA163" i="4"/>
  <c r="V90" i="4"/>
  <c r="V158" i="4"/>
  <c r="X166" i="4"/>
  <c r="AA145" i="4"/>
  <c r="AA158" i="4"/>
  <c r="AA95" i="4"/>
  <c r="U163" i="4"/>
  <c r="Z152" i="4"/>
  <c r="X95" i="4"/>
  <c r="X136" i="4"/>
  <c r="X158" i="4"/>
  <c r="X90" i="4"/>
  <c r="X145" i="4"/>
  <c r="V187" i="4"/>
  <c r="U184" i="4"/>
  <c r="X117" i="4"/>
  <c r="AA107" i="4"/>
  <c r="T166" i="4"/>
  <c r="X184" i="4"/>
  <c r="V87" i="4"/>
  <c r="Z107" i="4"/>
  <c r="Z158" i="4"/>
  <c r="Z87" i="4"/>
  <c r="Z184" i="4"/>
  <c r="X99" i="4"/>
  <c r="X128" i="4"/>
  <c r="X163" i="4"/>
  <c r="AA117" i="4"/>
  <c r="X152" i="4"/>
  <c r="V99" i="4"/>
  <c r="X87" i="4"/>
  <c r="V184" i="4"/>
  <c r="U117" i="4"/>
  <c r="AA99" i="4"/>
  <c r="AA87" i="4"/>
  <c r="Z128" i="4"/>
  <c r="Z117" i="4"/>
  <c r="V145" i="4"/>
  <c r="U152" i="4"/>
  <c r="AA65" i="4"/>
  <c r="AA187" i="4"/>
  <c r="AA184" i="4"/>
  <c r="AA152" i="4"/>
  <c r="AA136" i="4"/>
  <c r="T184" i="4"/>
  <c r="X187" i="4"/>
  <c r="U95" i="4"/>
  <c r="U136" i="4"/>
  <c r="AA128" i="4"/>
  <c r="U99" i="4"/>
  <c r="T163" i="4"/>
  <c r="Z99" i="4"/>
  <c r="Z163" i="4"/>
  <c r="U166" i="4"/>
  <c r="T95" i="4"/>
  <c r="U128" i="4"/>
  <c r="Z145" i="4"/>
  <c r="Z136" i="4"/>
  <c r="AA166" i="4"/>
  <c r="U87" i="4"/>
  <c r="T152" i="4"/>
  <c r="T117" i="4"/>
  <c r="Z95" i="4"/>
  <c r="T145" i="4"/>
  <c r="U145" i="4"/>
  <c r="T107" i="4"/>
  <c r="U107" i="4"/>
  <c r="U158" i="4"/>
  <c r="T87" i="4"/>
  <c r="T136" i="4"/>
  <c r="T158" i="4"/>
  <c r="V107" i="4"/>
  <c r="X65" i="4"/>
  <c r="T128" i="4"/>
  <c r="X71" i="4"/>
  <c r="V70" i="4" l="1"/>
  <c r="Z70" i="4"/>
  <c r="U69" i="4"/>
  <c r="Z69" i="4"/>
  <c r="N200" i="1"/>
  <c r="R41" i="1"/>
  <c r="S41" i="1"/>
  <c r="U67" i="4"/>
  <c r="Z67" i="4"/>
  <c r="F171" i="1"/>
  <c r="AA157" i="1"/>
  <c r="H171" i="1" s="1"/>
  <c r="Z9" i="4"/>
  <c r="Z60" i="4" s="1"/>
  <c r="U60" i="4"/>
  <c r="V10" i="4"/>
  <c r="V60" i="4" s="1"/>
  <c r="V65" i="4"/>
  <c r="T60" i="4"/>
  <c r="U65" i="4"/>
  <c r="Z65" i="4"/>
  <c r="AA60" i="4"/>
  <c r="R60" i="4"/>
  <c r="T65" i="4"/>
  <c r="R71" i="4"/>
  <c r="R65" i="4"/>
  <c r="T71" i="4"/>
  <c r="Y189" i="4"/>
  <c r="L200" i="1"/>
  <c r="M200" i="1"/>
  <c r="Y73" i="4"/>
  <c r="X189" i="4"/>
  <c r="V189" i="4"/>
  <c r="Z189" i="4"/>
  <c r="U189" i="4"/>
  <c r="AA189" i="4"/>
  <c r="T189" i="4"/>
  <c r="X73" i="4"/>
  <c r="U71" i="4" l="1"/>
  <c r="U73" i="4" s="1"/>
  <c r="U194" i="4" s="1"/>
  <c r="U200" i="4" s="1"/>
  <c r="Z71" i="4"/>
  <c r="Z73" i="4" s="1"/>
  <c r="Z194" i="4" s="1"/>
  <c r="Z197" i="4" s="1"/>
  <c r="V71" i="4"/>
  <c r="V73" i="4" s="1"/>
  <c r="AA71" i="4"/>
  <c r="AA73" i="4" s="1"/>
  <c r="AA194" i="4" s="1"/>
  <c r="AA197" i="4" s="1"/>
  <c r="R73" i="4"/>
  <c r="F172" i="1" s="1"/>
  <c r="F174" i="1" s="1"/>
  <c r="T73" i="4"/>
  <c r="T194" i="4" s="1"/>
  <c r="T200" i="4" s="1"/>
  <c r="Y194" i="4"/>
  <c r="Y197" i="4" s="1"/>
  <c r="X194" i="4"/>
  <c r="H172" i="1" l="1"/>
  <c r="H174" i="1" s="1"/>
  <c r="F166" i="1"/>
  <c r="V194" i="4"/>
  <c r="V200" i="4" s="1"/>
  <c r="X197" i="4"/>
  <c r="E194" i="1"/>
  <c r="E195" i="1" s="1"/>
  <c r="AA200" i="4"/>
  <c r="X200" i="4"/>
</calcChain>
</file>

<file path=xl/comments1.xml><?xml version="1.0" encoding="utf-8"?>
<comments xmlns="http://schemas.openxmlformats.org/spreadsheetml/2006/main">
  <authors>
    <author>Geoffroy Magnan</author>
  </authors>
  <commentList>
    <comment ref="A179" authorId="0" shapeId="0">
      <text>
        <r>
          <rPr>
            <b/>
            <sz val="9"/>
            <color indexed="81"/>
            <rFont val="Arial"/>
            <family val="2"/>
          </rPr>
          <t>Geoffroy Magnan:</t>
        </r>
        <r>
          <rPr>
            <sz val="9"/>
            <color indexed="81"/>
            <rFont val="Arial"/>
            <family val="2"/>
          </rPr>
          <t xml:space="preserve">
Correction des numéros 3A -&gt; 5A</t>
        </r>
      </text>
    </comment>
  </commentList>
</comments>
</file>

<file path=xl/sharedStrings.xml><?xml version="1.0" encoding="utf-8"?>
<sst xmlns="http://schemas.openxmlformats.org/spreadsheetml/2006/main" count="2534" uniqueCount="1301">
  <si>
    <t>Fonctions standards</t>
  </si>
  <si>
    <t>Fonctions de support</t>
  </si>
  <si>
    <t>• contrôleurs, inspecteurs, commerciaux</t>
  </si>
  <si>
    <t>Itinérants</t>
  </si>
  <si>
    <t>• personnel travaillant dans les espaces de support central</t>
  </si>
  <si>
    <t>• personnel sans bureau dédié</t>
  </si>
  <si>
    <t>• horaire normal, pas de pause</t>
  </si>
  <si>
    <t>personnel travaillant selon un horaire de jour</t>
  </si>
  <si>
    <t>personnel d'entretien, chauffeurs…</t>
  </si>
  <si>
    <t>personnel exerçant sa fonction en partie en déplacements</t>
  </si>
  <si>
    <t>personnel ne faisant pas partie du cadre mais présent full-time</t>
  </si>
  <si>
    <t>bibliothécaires, service reproduction, restauration…</t>
  </si>
  <si>
    <t>1A</t>
  </si>
  <si>
    <t>1B</t>
  </si>
  <si>
    <t>1C</t>
  </si>
  <si>
    <t>Fonctions "shifts" (24/7)</t>
  </si>
  <si>
    <t>m² PA</t>
  </si>
  <si>
    <t>OA</t>
  </si>
  <si>
    <t>LSA</t>
  </si>
  <si>
    <t>En général, tous les espaces requis pour le fonctionnement "normal" d'un service.</t>
  </si>
  <si>
    <t>NBRE</t>
  </si>
  <si>
    <t xml:space="preserve">1er </t>
  </si>
  <si>
    <t>Eclairement</t>
  </si>
  <si>
    <t>1-2nd</t>
  </si>
  <si>
    <t>Av. HS</t>
  </si>
  <si>
    <t>Av. SS</t>
  </si>
  <si>
    <t>• Office Area et Local Support Area</t>
  </si>
  <si>
    <t>• Central Support Area</t>
  </si>
  <si>
    <t>TOTAL</t>
  </si>
  <si>
    <t>MAX</t>
  </si>
  <si>
    <t>Parkings spécifiques</t>
  </si>
  <si>
    <t>• à reprendre sur les places de parkings (1 place voiture = +/- 3 places motos)</t>
  </si>
  <si>
    <t>PARKING MOTO</t>
  </si>
  <si>
    <t>• service 1</t>
  </si>
  <si>
    <t>• service 2</t>
  </si>
  <si>
    <t>• service 3</t>
  </si>
  <si>
    <t>• service 4</t>
  </si>
  <si>
    <t>• service 5</t>
  </si>
  <si>
    <t>• service 6</t>
  </si>
  <si>
    <t>• service 7</t>
  </si>
  <si>
    <t>PERS</t>
  </si>
  <si>
    <t>ETP</t>
  </si>
  <si>
    <t>• service 8</t>
  </si>
  <si>
    <t>• service 9</t>
  </si>
  <si>
    <t>• service 10</t>
  </si>
  <si>
    <t>total</t>
  </si>
  <si>
    <t>PERS.</t>
  </si>
  <si>
    <t>Externes - type 1</t>
  </si>
  <si>
    <t>• consultants eGov, IF, cour des comptes</t>
  </si>
  <si>
    <t>Externes - type 2</t>
  </si>
  <si>
    <t>• consultants externes</t>
  </si>
  <si>
    <t>CADRE</t>
  </si>
  <si>
    <t>1A.1</t>
  </si>
  <si>
    <t>1A.2</t>
  </si>
  <si>
    <t>1A.3</t>
  </si>
  <si>
    <t>1A.4</t>
  </si>
  <si>
    <t>ETP 8/5
CORR.</t>
  </si>
  <si>
    <t>EXTERNES</t>
  </si>
  <si>
    <t>1B.1</t>
  </si>
  <si>
    <t>1B.2</t>
  </si>
  <si>
    <t>SURFACE TOTALE (OA + LSA)</t>
  </si>
  <si>
    <t>ETP 8/5 corrigés</t>
  </si>
  <si>
    <t>OA+LSA (m² PA)</t>
  </si>
  <si>
    <t>OA+LSA
m² PA</t>
  </si>
  <si>
    <t>Personnes en OA</t>
  </si>
  <si>
    <t>Services</t>
  </si>
  <si>
    <t>• zone A</t>
  </si>
  <si>
    <t>• zone B</t>
  </si>
  <si>
    <t>• zone C</t>
  </si>
  <si>
    <t>• zone D</t>
  </si>
  <si>
    <t>• zone E</t>
  </si>
  <si>
    <t>• zone F</t>
  </si>
  <si>
    <t>• zone G</t>
  </si>
  <si>
    <t>• zone H</t>
  </si>
  <si>
    <t>• zone I</t>
  </si>
  <si>
    <t>zone semi-publique</t>
  </si>
  <si>
    <t>zone publique</t>
  </si>
  <si>
    <t>sous-sol communs</t>
  </si>
  <si>
    <t>Détail</t>
  </si>
  <si>
    <t>Zones (hors services)</t>
  </si>
  <si>
    <t>stockage technique</t>
  </si>
  <si>
    <t>++</t>
  </si>
  <si>
    <t>-</t>
  </si>
  <si>
    <t>--</t>
  </si>
  <si>
    <t>+</t>
  </si>
  <si>
    <t>proximité obligatoire</t>
  </si>
  <si>
    <t>proximité préférable</t>
  </si>
  <si>
    <t>neutre</t>
  </si>
  <si>
    <t>proximité non désirée</t>
  </si>
  <si>
    <t>proximité interdite</t>
  </si>
  <si>
    <t>CSA</t>
  </si>
  <si>
    <t>TYPE LOCAL</t>
  </si>
  <si>
    <t>SURFACE</t>
  </si>
  <si>
    <t>PAR ESPACE</t>
  </si>
  <si>
    <t>Catégorie</t>
  </si>
  <si>
    <t>P.D.T.</t>
  </si>
  <si>
    <t>SERVICE / ZONE FONCTIONNELLE</t>
  </si>
  <si>
    <t>TOTAUX</t>
  </si>
  <si>
    <t>• service 11</t>
  </si>
  <si>
    <t>• service 12</t>
  </si>
  <si>
    <t>• service 13</t>
  </si>
  <si>
    <t>• service 14</t>
  </si>
  <si>
    <t>• service 15</t>
  </si>
  <si>
    <t>• service 16</t>
  </si>
  <si>
    <t>• service 17</t>
  </si>
  <si>
    <t>• service 18</t>
  </si>
  <si>
    <t>OA+LSA</t>
  </si>
  <si>
    <t>PA (TOTAL)</t>
  </si>
  <si>
    <t>PA (RÉPART.)</t>
  </si>
  <si>
    <t>HORS SOL</t>
  </si>
  <si>
    <t>S. SOL</t>
  </si>
  <si>
    <t>2nd</t>
  </si>
  <si>
    <r>
      <t>SURFACE DE RÉFÉRENCE PAR ETP</t>
    </r>
    <r>
      <rPr>
        <vertAlign val="subscript"/>
        <sz val="10"/>
        <color indexed="8"/>
        <rFont val="Arial"/>
        <family val="2"/>
      </rPr>
      <t>C</t>
    </r>
  </si>
  <si>
    <t>ÉCLAIREMENT DES SURFACES</t>
  </si>
  <si>
    <t>locaux devant être exclusivement en 1er jour</t>
  </si>
  <si>
    <t>locaux pouvant être en 1er et 2nd jour (en première approche, répartition 50 % 1er jour, 50 % 2nd jour)</t>
  </si>
  <si>
    <t>locaux aveugles sous-sol, pouvant donc être placé dans les caves</t>
  </si>
  <si>
    <t>locaux aveugles hors-sol, devant donc être obligatoirement à proximité des autres fonctions hors-sol</t>
  </si>
  <si>
    <t>CATÉGORIE DE LOCAUX</t>
  </si>
  <si>
    <t>Office Area</t>
  </si>
  <si>
    <t>Local Support Area</t>
  </si>
  <si>
    <t>Central Support Area</t>
  </si>
  <si>
    <r>
      <t>OA+LSA / ETP</t>
    </r>
    <r>
      <rPr>
        <vertAlign val="subscript"/>
        <sz val="11"/>
        <color theme="1"/>
        <rFont val="Calibri"/>
        <family val="2"/>
        <scheme val="minor"/>
      </rPr>
      <t>C</t>
    </r>
  </si>
  <si>
    <t>RUBRIQUE</t>
  </si>
  <si>
    <t>LIBELLE</t>
  </si>
  <si>
    <t xml:space="preserve">CODE GENERAL </t>
  </si>
  <si>
    <t>CODE DETAILLE</t>
  </si>
  <si>
    <t>TYPE</t>
  </si>
  <si>
    <t>Espaces "bureaux" et locaux y assimilés</t>
  </si>
  <si>
    <t>Locaux de bureaux</t>
  </si>
  <si>
    <t>Bureaux cloisonnés</t>
  </si>
  <si>
    <t>Bureaux paysagers</t>
  </si>
  <si>
    <t>Autres</t>
  </si>
  <si>
    <t xml:space="preserve">Salles de réunion locales </t>
  </si>
  <si>
    <t>Archives vivantes</t>
  </si>
  <si>
    <t>Archives vivantes sur étagères</t>
  </si>
  <si>
    <t>Archives vivantes compactes</t>
  </si>
  <si>
    <t>A.3.9.</t>
  </si>
  <si>
    <t>Locaux divers assimilés aux bureaux</t>
  </si>
  <si>
    <t>Locaux chauffeurs</t>
  </si>
  <si>
    <t>A.9.</t>
  </si>
  <si>
    <t>Locaux spécifiques</t>
  </si>
  <si>
    <t>Locaux à caractère scientifique et de recherche</t>
  </si>
  <si>
    <t>Laboratoires</t>
  </si>
  <si>
    <t>Ateliers de restauration d'œuvres d'art</t>
  </si>
  <si>
    <t>Taxidermie</t>
  </si>
  <si>
    <t>Centres de traitement de l'information (CTI)</t>
  </si>
  <si>
    <t>Locaux de communication</t>
  </si>
  <si>
    <t>Salles de Conférence</t>
  </si>
  <si>
    <t>Salles de Presse</t>
  </si>
  <si>
    <t>Grandes salles de réunion communes</t>
  </si>
  <si>
    <t>Cabines d'interprètes</t>
  </si>
  <si>
    <t>Locaux "régie" pour salles</t>
  </si>
  <si>
    <t>B.3.9.</t>
  </si>
  <si>
    <t>Locaux de transmission de la connaissance</t>
  </si>
  <si>
    <t>Salles de cours</t>
  </si>
  <si>
    <t>Bibliothèques</t>
  </si>
  <si>
    <t>B.4.9.</t>
  </si>
  <si>
    <t xml:space="preserve"> Locaux de contact avec le public</t>
  </si>
  <si>
    <t>Salles des guichets</t>
  </si>
  <si>
    <t>"Front office"</t>
  </si>
  <si>
    <t>Salles d'attente</t>
  </si>
  <si>
    <t>Parloirs</t>
  </si>
  <si>
    <t>Locaux de vente</t>
  </si>
  <si>
    <t>Locaux judiciaires</t>
  </si>
  <si>
    <t>Salles de tribunal</t>
  </si>
  <si>
    <t>Locaux médicaux ou vétérinaires</t>
  </si>
  <si>
    <t>Cabinets médicaux</t>
  </si>
  <si>
    <t>Salles d'opération</t>
  </si>
  <si>
    <t>Vestiaires</t>
  </si>
  <si>
    <t>Vestiaires pour personnel de cuisine</t>
  </si>
  <si>
    <t>Vestiaire pour personnel de nettoyage et d'entretien</t>
  </si>
  <si>
    <t>Vestiaires pour personnel opérationnel</t>
  </si>
  <si>
    <t>Vestiaires pour équipements sportifs</t>
  </si>
  <si>
    <t>B.9.</t>
  </si>
  <si>
    <t>Ateliers</t>
  </si>
  <si>
    <t>Ateliers pour véhicules</t>
  </si>
  <si>
    <t>Garages de réparation et d'entretien</t>
  </si>
  <si>
    <t>Ateliers pour entretien des immeubles</t>
  </si>
  <si>
    <t>Menuiserie</t>
  </si>
  <si>
    <t>Travail des métaux</t>
  </si>
  <si>
    <t>Serrurerie</t>
  </si>
  <si>
    <t>Imprimeries</t>
  </si>
  <si>
    <t>Ateliers de fabrication</t>
  </si>
  <si>
    <t>Armureries</t>
  </si>
  <si>
    <t>Locaux agricoles et locaux y assimilés</t>
  </si>
  <si>
    <t>Locaux n'hébergeant pas d'animaux</t>
  </si>
  <si>
    <t>Serres</t>
  </si>
  <si>
    <t>Locaux hébergeant des animaux</t>
  </si>
  <si>
    <t>Etables</t>
  </si>
  <si>
    <t>Ecuries</t>
  </si>
  <si>
    <t>Animaleries</t>
  </si>
  <si>
    <t>Stocks de fourrage</t>
  </si>
  <si>
    <t>Locaux d'entreposage</t>
  </si>
  <si>
    <t>Archives</t>
  </si>
  <si>
    <t>Archives mortes</t>
  </si>
  <si>
    <t>E.2.</t>
  </si>
  <si>
    <t>Entreposage de marchandises</t>
  </si>
  <si>
    <t>Dépôts de mobilier</t>
  </si>
  <si>
    <t>Dépôts de vêtements</t>
  </si>
  <si>
    <t>Dépôts de marchandises saisies</t>
  </si>
  <si>
    <t>Dépôts de pièces à conviction</t>
  </si>
  <si>
    <t>Dépôts à caractère dangereux</t>
  </si>
  <si>
    <t>Dépôts de munitions</t>
  </si>
  <si>
    <t>Dépôts d'armes</t>
  </si>
  <si>
    <t>Dépôts d'asbeste</t>
  </si>
  <si>
    <t>Dépôts de produits toxiques</t>
  </si>
  <si>
    <t>Entreposage des déchets</t>
  </si>
  <si>
    <t>Dépôts de déchets inertes</t>
  </si>
  <si>
    <t>Dépôts de déchets dégradables</t>
  </si>
  <si>
    <t>Local "tri-sélectif"</t>
  </si>
  <si>
    <t>Dépôts de nourriture</t>
  </si>
  <si>
    <t>Stock périsable cuisine/restaurant</t>
  </si>
  <si>
    <t>Stock inerte cuisine/restaurant</t>
  </si>
  <si>
    <t>Chambres froides</t>
  </si>
  <si>
    <t>Chambres froides pour restaurant</t>
  </si>
  <si>
    <t>Stock pour la gestion de l'immeuble</t>
  </si>
  <si>
    <t>Stock de pièces de rechange</t>
  </si>
  <si>
    <t>Entreposage de collections</t>
  </si>
  <si>
    <t>Réserves des Musées</t>
  </si>
  <si>
    <t>Stock d'échantillons</t>
  </si>
  <si>
    <t>Locaux de parcage de véhicules</t>
  </si>
  <si>
    <t>Parcage d'automobiles et de motos</t>
  </si>
  <si>
    <t>Parkings</t>
  </si>
  <si>
    <t>Parcage d'épaves et véhicules endommagés</t>
  </si>
  <si>
    <t>Parcage de véhicules saisis</t>
  </si>
  <si>
    <t>Remise pour vélos</t>
  </si>
  <si>
    <t>Lieux de services</t>
  </si>
  <si>
    <t>Restaurant</t>
  </si>
  <si>
    <t>Salle de restaurant</t>
  </si>
  <si>
    <t>Cuisine</t>
  </si>
  <si>
    <t>Cafeteria</t>
  </si>
  <si>
    <t>Cafeteria locale</t>
  </si>
  <si>
    <t>Cafeteria commune</t>
  </si>
  <si>
    <t>G.2.9.</t>
  </si>
  <si>
    <t>Locaux de premiers soins</t>
  </si>
  <si>
    <t>Infirmerie</t>
  </si>
  <si>
    <t>Local "EHBO"</t>
  </si>
  <si>
    <t>Locaux fumeurs</t>
  </si>
  <si>
    <t>Locaux fumeurs localisés</t>
  </si>
  <si>
    <t>Locaux fumeurs communs</t>
  </si>
  <si>
    <t>Locaux kitchenettes</t>
  </si>
  <si>
    <t>Cuisinettes localisées</t>
  </si>
  <si>
    <t>Locaux pour nettoyage</t>
  </si>
  <si>
    <t>Locaux nettoyage d'étage</t>
  </si>
  <si>
    <t>Locaux de surveillance et de gestion</t>
  </si>
  <si>
    <t>Locaux "dispaching"</t>
  </si>
  <si>
    <t>Locaux "gardiens"</t>
  </si>
  <si>
    <t>Crèches, accueil des enfants</t>
  </si>
  <si>
    <t>Logements</t>
  </si>
  <si>
    <t>Locaux d'habitation</t>
  </si>
  <si>
    <t>Conciergeries</t>
  </si>
  <si>
    <t>Logements de fonction</t>
  </si>
  <si>
    <t>Locaux d'hébergement et de séjour</t>
  </si>
  <si>
    <t>Chambres d'hôte</t>
  </si>
  <si>
    <t>Chambrées pour écoles</t>
  </si>
  <si>
    <t>Chambres dans centres pour réfugiés</t>
  </si>
  <si>
    <t>Locaux de détention</t>
  </si>
  <si>
    <t>Cellules de prisons</t>
  </si>
  <si>
    <t>Cellules des palais de justice</t>
  </si>
  <si>
    <t>Cellules dans les locaux policiers</t>
  </si>
  <si>
    <t>Locaux de soins</t>
  </si>
  <si>
    <t>Chambres d'hôpital</t>
  </si>
  <si>
    <t>Locaux culturels, cultuels et sportifs</t>
  </si>
  <si>
    <t>Salle de sport</t>
  </si>
  <si>
    <t>Gymnase</t>
  </si>
  <si>
    <t>Salles multi-sport</t>
  </si>
  <si>
    <t>Salles de filtness</t>
  </si>
  <si>
    <t>Piscine</t>
  </si>
  <si>
    <t>Piscine couverte</t>
  </si>
  <si>
    <t>Piscine en plein air</t>
  </si>
  <si>
    <t>Locaux d'exposition</t>
  </si>
  <si>
    <t>Salles de musée</t>
  </si>
  <si>
    <t>Locaux affectés au culte</t>
  </si>
  <si>
    <t>Eglise</t>
  </si>
  <si>
    <t>Temple protestant</t>
  </si>
  <si>
    <t>Synagogue</t>
  </si>
  <si>
    <t>Mosquée</t>
  </si>
  <si>
    <t>Locaux affectés au spectacle</t>
  </si>
  <si>
    <t>Salle de spectacle</t>
  </si>
  <si>
    <t>Scène de théâtre</t>
  </si>
  <si>
    <t>Coulisses et cintres</t>
  </si>
  <si>
    <t>Locaux sportifs de formation</t>
  </si>
  <si>
    <t>Manèges</t>
  </si>
  <si>
    <t>Stands de tir</t>
  </si>
  <si>
    <t>Locaux sanitaires</t>
  </si>
  <si>
    <t>Toilettes</t>
  </si>
  <si>
    <t>WC dames</t>
  </si>
  <si>
    <t>WC hommes</t>
  </si>
  <si>
    <t>WC handicapés</t>
  </si>
  <si>
    <t>Douches</t>
  </si>
  <si>
    <t>Douches pour personnel de cuisine</t>
  </si>
  <si>
    <t>Douches pour personnel de nettoyage et d'entretien</t>
  </si>
  <si>
    <t>Douches pour personnel opérationnel</t>
  </si>
  <si>
    <t>Douches pour équipements sportifs</t>
  </si>
  <si>
    <t>Locaux de décontamination</t>
  </si>
  <si>
    <t>Surfaces de circulation</t>
  </si>
  <si>
    <t>Surfaces de circulation pour véhicules</t>
  </si>
  <si>
    <t>Quais de déchargement</t>
  </si>
  <si>
    <t>Accès parkings</t>
  </si>
  <si>
    <t>Grandes surfaces de circulation communes</t>
  </si>
  <si>
    <t>Halls d'entrée/foyers</t>
  </si>
  <si>
    <t>Grandes liaisons communes</t>
  </si>
  <si>
    <t>Surfaces de circulation localisées</t>
  </si>
  <si>
    <t>Couloirs et dégagements généraux / sas</t>
  </si>
  <si>
    <t>Escaliers</t>
  </si>
  <si>
    <t>Ascenseurs</t>
  </si>
  <si>
    <t>Surfaces de desserte</t>
  </si>
  <si>
    <t>Couloirs de desserte des espaces "bureaux" cloisonnés et locaux y assimilés</t>
  </si>
  <si>
    <t>Surfaces techniques</t>
  </si>
  <si>
    <t>Locaux techniques d'étage</t>
  </si>
  <si>
    <t>Tableaux électriques</t>
  </si>
  <si>
    <t>Répartiteurs téléphoniques</t>
  </si>
  <si>
    <t>Gaines techniques et plenum</t>
  </si>
  <si>
    <t>Locaux techniques communs HVAC</t>
  </si>
  <si>
    <t>Local chaufferie</t>
  </si>
  <si>
    <t>Local groupes de froid</t>
  </si>
  <si>
    <t>Local groupe de ventilation</t>
  </si>
  <si>
    <t>Locaux tehniques communs électricité</t>
  </si>
  <si>
    <t>Local HT</t>
  </si>
  <si>
    <t>Locaux BT</t>
  </si>
  <si>
    <t>Locaux techniques communs communication</t>
  </si>
  <si>
    <t>Central téléphonique</t>
  </si>
  <si>
    <t>ÉCL.</t>
  </si>
  <si>
    <t>REMARQUE</t>
  </si>
  <si>
    <t>1er</t>
  </si>
  <si>
    <t>Av.HS</t>
  </si>
  <si>
    <t>Av.SS - HS</t>
  </si>
  <si>
    <t>…</t>
  </si>
  <si>
    <t>Av.</t>
  </si>
  <si>
    <t>Confidentialité exigée (acoustique particulière / sécurité)</t>
  </si>
  <si>
    <t>Bureaux sans cloisons</t>
  </si>
  <si>
    <t>Locaux photocopie / imprimant / print corner</t>
  </si>
  <si>
    <t>Les chauffeurs sont donc à reprendre en 1A.2 Fonctions de support</t>
  </si>
  <si>
    <t>Av. SS - HS</t>
  </si>
  <si>
    <t>immeuble de base</t>
  </si>
  <si>
    <t>Groupe électrogène</t>
  </si>
  <si>
    <t>Batteries UPS</t>
  </si>
  <si>
    <t>Stockage fuel</t>
  </si>
  <si>
    <t>Stockage gaz extinction automatique</t>
  </si>
  <si>
    <t>si extinction automatique dans la salle à prévoir</t>
  </si>
  <si>
    <t>Inverseur et tableaux électriques externes</t>
  </si>
  <si>
    <t>UPS</t>
  </si>
  <si>
    <t>les UPS peuvent être placé à l'extérieur du local serveur ou pas</t>
  </si>
  <si>
    <t>les batteries sont placées à l'extérieur du local data</t>
  </si>
  <si>
    <t>Locaux data / patch</t>
  </si>
  <si>
    <t>à placer dans T.1.2.</t>
  </si>
  <si>
    <t>à prévoir si l'équipement de l'immeuble de base minimal exigé est insuffisant (2 douches hommes + 2 douches dames)</t>
  </si>
  <si>
    <t>à justifier sur base de l'utilisation des équipements (les douches de l'immeuble de base sont à utiliser en priorité)</t>
  </si>
  <si>
    <t>Local de report des systèmes de contrôle d'accès, détection intrusion et CCTV</t>
  </si>
  <si>
    <t>Local de report des systèmes de détection incendie, de GTC</t>
  </si>
  <si>
    <t>à justifier sur base d'une nécessité fonctionnelle ne pouvant être couverture par une GTC</t>
  </si>
  <si>
    <t>à placer en fonction des surfaces prévues dans l'immeuble de base, ne pas en tenir compte dans les surfaces dans un premier temps</t>
  </si>
  <si>
    <t>A.1.1</t>
  </si>
  <si>
    <t>A.1.1.a</t>
  </si>
  <si>
    <t>A.1.1.b</t>
  </si>
  <si>
    <t>A.1.1.c</t>
  </si>
  <si>
    <t>A.1.2</t>
  </si>
  <si>
    <t>A.1.9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</si>
  <si>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</si>
  <si>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</si>
  <si>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</si>
  <si>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</si>
  <si>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</si>
  <si>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</si>
  <si>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</si>
  <si>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</si>
  <si>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</si>
  <si>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</si>
  <si>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</si>
  <si>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T</t>
  </si>
  <si>
    <t>A.1</t>
  </si>
  <si>
    <t>A.2</t>
  </si>
  <si>
    <t>A.3</t>
  </si>
  <si>
    <t>A.4</t>
  </si>
  <si>
    <t>T.9</t>
  </si>
  <si>
    <t>T.4</t>
  </si>
  <si>
    <t>T.3</t>
  </si>
  <si>
    <t>T.2</t>
  </si>
  <si>
    <t>T.2.1</t>
  </si>
  <si>
    <t>T.2.2</t>
  </si>
  <si>
    <t>T.2.3</t>
  </si>
  <si>
    <t>T.2.9</t>
  </si>
  <si>
    <t>T.3.1</t>
  </si>
  <si>
    <t>T.3.2</t>
  </si>
  <si>
    <t>T.3.9</t>
  </si>
  <si>
    <t>T.4.1</t>
  </si>
  <si>
    <t>T.4.2</t>
  </si>
  <si>
    <t>T.4.9</t>
  </si>
  <si>
    <t>T.1</t>
  </si>
  <si>
    <t>T.1.1</t>
  </si>
  <si>
    <t>T.1.2</t>
  </si>
  <si>
    <t>T.1.3</t>
  </si>
  <si>
    <t>T.1.4</t>
  </si>
  <si>
    <t>T.1.9</t>
  </si>
  <si>
    <t>J.1</t>
  </si>
  <si>
    <t>J.2</t>
  </si>
  <si>
    <t>J.3</t>
  </si>
  <si>
    <t>J.9</t>
  </si>
  <si>
    <t>J.4</t>
  </si>
  <si>
    <t>J.4.1</t>
  </si>
  <si>
    <t>J.4.9</t>
  </si>
  <si>
    <t>J.1.1</t>
  </si>
  <si>
    <t>J.1.2</t>
  </si>
  <si>
    <t>J.1.9</t>
  </si>
  <si>
    <t>J.2.1</t>
  </si>
  <si>
    <t>J.2.2</t>
  </si>
  <si>
    <t>J.2.9</t>
  </si>
  <si>
    <t>J.3.1</t>
  </si>
  <si>
    <t>J.3.2</t>
  </si>
  <si>
    <t>J.3.3</t>
  </si>
  <si>
    <t>J.3.9</t>
  </si>
  <si>
    <t>K.9</t>
  </si>
  <si>
    <t>K.3</t>
  </si>
  <si>
    <t>K.2</t>
  </si>
  <si>
    <t>K.1</t>
  </si>
  <si>
    <t>K.1.1</t>
  </si>
  <si>
    <t>K.1.2</t>
  </si>
  <si>
    <t>K.1.3</t>
  </si>
  <si>
    <t>K.1.9</t>
  </si>
  <si>
    <t>K.2.1</t>
  </si>
  <si>
    <t>K.2.2</t>
  </si>
  <si>
    <t>K.2.3</t>
  </si>
  <si>
    <t>K.2.4</t>
  </si>
  <si>
    <t>K.2.9</t>
  </si>
  <si>
    <t>I.1</t>
  </si>
  <si>
    <t>I.2</t>
  </si>
  <si>
    <t>I.3</t>
  </si>
  <si>
    <t>I.4</t>
  </si>
  <si>
    <t>I.5</t>
  </si>
  <si>
    <t>I.6</t>
  </si>
  <si>
    <t>I.9</t>
  </si>
  <si>
    <t>I.1.1</t>
  </si>
  <si>
    <t>I.1.2</t>
  </si>
  <si>
    <t>I.1.3</t>
  </si>
  <si>
    <t>I.1.9</t>
  </si>
  <si>
    <t>I.2.1</t>
  </si>
  <si>
    <t>I.2.2</t>
  </si>
  <si>
    <t>1.2.9</t>
  </si>
  <si>
    <t>I.3.1</t>
  </si>
  <si>
    <t>I.3.9</t>
  </si>
  <si>
    <t>I.4.1</t>
  </si>
  <si>
    <t>I.4.2</t>
  </si>
  <si>
    <t>I.4.3</t>
  </si>
  <si>
    <t>I.4.4</t>
  </si>
  <si>
    <t>1.4.9</t>
  </si>
  <si>
    <t>I.5.1</t>
  </si>
  <si>
    <t>I.5.2</t>
  </si>
  <si>
    <t>I.5.3</t>
  </si>
  <si>
    <t>1.5.9</t>
  </si>
  <si>
    <t>I.6.1</t>
  </si>
  <si>
    <t>I.6.2</t>
  </si>
  <si>
    <t>I.6.9</t>
  </si>
  <si>
    <t>H.9</t>
  </si>
  <si>
    <t>H.4</t>
  </si>
  <si>
    <t>H.1</t>
  </si>
  <si>
    <t>H.2</t>
  </si>
  <si>
    <t>H.3</t>
  </si>
  <si>
    <t>H.1.1</t>
  </si>
  <si>
    <t>H.1.2</t>
  </si>
  <si>
    <t>H.1.9</t>
  </si>
  <si>
    <t>H.2.1</t>
  </si>
  <si>
    <t>H.2.2</t>
  </si>
  <si>
    <t>H.2.3</t>
  </si>
  <si>
    <t>H.2.9</t>
  </si>
  <si>
    <t>H.3.1</t>
  </si>
  <si>
    <t>H.3.2</t>
  </si>
  <si>
    <t>H.3.3</t>
  </si>
  <si>
    <t>H.3.9</t>
  </si>
  <si>
    <t>H.4.1</t>
  </si>
  <si>
    <t>H.4.9</t>
  </si>
  <si>
    <t>G.9</t>
  </si>
  <si>
    <t>G.8</t>
  </si>
  <si>
    <t>G.6</t>
  </si>
  <si>
    <t>G.5</t>
  </si>
  <si>
    <t>G.4</t>
  </si>
  <si>
    <t>G.3</t>
  </si>
  <si>
    <t>G.2</t>
  </si>
  <si>
    <t>G.1</t>
  </si>
  <si>
    <t>G.1.1</t>
  </si>
  <si>
    <t>G.1.2</t>
  </si>
  <si>
    <t>G.1.9</t>
  </si>
  <si>
    <t>G.2.1</t>
  </si>
  <si>
    <t>G.2.2</t>
  </si>
  <si>
    <t>G.3.1</t>
  </si>
  <si>
    <t>G.3.2</t>
  </si>
  <si>
    <t>G.3.9</t>
  </si>
  <si>
    <t>G.4.1</t>
  </si>
  <si>
    <t>G.4.2</t>
  </si>
  <si>
    <t>G.4.9</t>
  </si>
  <si>
    <t>G.5.1</t>
  </si>
  <si>
    <t>G.5.9</t>
  </si>
  <si>
    <t>G.6.1</t>
  </si>
  <si>
    <t>G.6.9</t>
  </si>
  <si>
    <t>G.7.1</t>
  </si>
  <si>
    <t>G.7.2</t>
  </si>
  <si>
    <t>G.7.9</t>
  </si>
  <si>
    <t>D.1</t>
  </si>
  <si>
    <t>D.2</t>
  </si>
  <si>
    <t>D.3</t>
  </si>
  <si>
    <t>D.9</t>
  </si>
  <si>
    <t>D.2.9</t>
  </si>
  <si>
    <t>D.1.1</t>
  </si>
  <si>
    <t>D.1.9</t>
  </si>
  <si>
    <t>D.2.1</t>
  </si>
  <si>
    <t>D.2.2</t>
  </si>
  <si>
    <t>D.2.3</t>
  </si>
  <si>
    <t>F.1</t>
  </si>
  <si>
    <t>F.1.1</t>
  </si>
  <si>
    <t>F.1.2</t>
  </si>
  <si>
    <t>F.1.3</t>
  </si>
  <si>
    <t>F.1.9</t>
  </si>
  <si>
    <t>F.2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</si>
  <si>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</si>
  <si>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</si>
  <si>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</si>
  <si>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</si>
  <si>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</si>
  <si>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</si>
  <si>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</si>
  <si>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</si>
  <si>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</si>
  <si>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E.1.1</t>
  </si>
  <si>
    <t>E.1.9</t>
  </si>
  <si>
    <t>E.2.1</t>
  </si>
  <si>
    <t>E.2.2</t>
  </si>
  <si>
    <t>E.2.3</t>
  </si>
  <si>
    <t>E.2.4</t>
  </si>
  <si>
    <t>E.2.9</t>
  </si>
  <si>
    <t>E.3.1</t>
  </si>
  <si>
    <t>E.3.2</t>
  </si>
  <si>
    <t>E.3.4</t>
  </si>
  <si>
    <t>E.3.3</t>
  </si>
  <si>
    <t>E.3.9</t>
  </si>
  <si>
    <t>E.4.1</t>
  </si>
  <si>
    <t>E.4.2</t>
  </si>
  <si>
    <t>E.4.3</t>
  </si>
  <si>
    <t>E.4.9</t>
  </si>
  <si>
    <t>E.5.1</t>
  </si>
  <si>
    <t>E.5.2</t>
  </si>
  <si>
    <t>E.5.9</t>
  </si>
  <si>
    <t>E.6.1</t>
  </si>
  <si>
    <t>E.6.9</t>
  </si>
  <si>
    <t>E.7.1</t>
  </si>
  <si>
    <t>E.7.9</t>
  </si>
  <si>
    <t>E.8.1</t>
  </si>
  <si>
    <t>E.8.2</t>
  </si>
  <si>
    <t>E.8.9</t>
  </si>
  <si>
    <t>C.3</t>
  </si>
  <si>
    <t>C.4</t>
  </si>
  <si>
    <t>C.5</t>
  </si>
  <si>
    <t>C.9</t>
  </si>
  <si>
    <t>C.2</t>
  </si>
  <si>
    <t>C.1</t>
  </si>
  <si>
    <t>C.2.1</t>
  </si>
  <si>
    <t>C.2.2</t>
  </si>
  <si>
    <t>C.2.3</t>
  </si>
  <si>
    <t>C.2.9</t>
  </si>
  <si>
    <t>C.1.1</t>
  </si>
  <si>
    <t>C.1.9</t>
  </si>
  <si>
    <t>B.1</t>
  </si>
  <si>
    <t>B.2</t>
  </si>
  <si>
    <t>B.3</t>
  </si>
  <si>
    <t>B.4</t>
  </si>
  <si>
    <t>B.5</t>
  </si>
  <si>
    <t>B.6</t>
  </si>
  <si>
    <t>B.7</t>
  </si>
  <si>
    <t>B.8</t>
  </si>
  <si>
    <t>B.1.1</t>
  </si>
  <si>
    <t>B.1.2</t>
  </si>
  <si>
    <t>B.1.3</t>
  </si>
  <si>
    <t>B.1.9</t>
  </si>
  <si>
    <t>B.2.1</t>
  </si>
  <si>
    <t>B.2.9</t>
  </si>
  <si>
    <t>B.3.1</t>
  </si>
  <si>
    <t>B.3.2</t>
  </si>
  <si>
    <t>B.3.3</t>
  </si>
  <si>
    <t>B.3.4</t>
  </si>
  <si>
    <t>B.3.5</t>
  </si>
  <si>
    <t>B.4.1</t>
  </si>
  <si>
    <t>B.4.2</t>
  </si>
  <si>
    <t>B.5.1</t>
  </si>
  <si>
    <t>B.5.2</t>
  </si>
  <si>
    <t>B.5.4</t>
  </si>
  <si>
    <t>B.5.5</t>
  </si>
  <si>
    <t>B.5.3</t>
  </si>
  <si>
    <t>B.5.9</t>
  </si>
  <si>
    <t>B.6.1</t>
  </si>
  <si>
    <t>B.6.9</t>
  </si>
  <si>
    <t>B.7.1</t>
  </si>
  <si>
    <t>B.7.2</t>
  </si>
  <si>
    <t>B.7.9</t>
  </si>
  <si>
    <t>B.8.1</t>
  </si>
  <si>
    <t>B.8.2</t>
  </si>
  <si>
    <t>B.8.3</t>
  </si>
  <si>
    <t>B.8.4</t>
  </si>
  <si>
    <t>B.8.5</t>
  </si>
  <si>
    <t>B.8.9</t>
  </si>
  <si>
    <t>LIBELLE PDB</t>
  </si>
  <si>
    <t>Les locaux directement associés aux surfaces OA, que l'on retrouve dans tous types d'administration</t>
  </si>
  <si>
    <t>Les locaux spécifiques au fonctionnement du service</t>
  </si>
  <si>
    <t>A.3.1</t>
  </si>
  <si>
    <t>A.3.2</t>
  </si>
  <si>
    <t>A.4.1</t>
  </si>
  <si>
    <t>A.4.2</t>
  </si>
  <si>
    <t>A.4.9</t>
  </si>
  <si>
    <t>CODE</t>
  </si>
  <si>
    <t>B.5.6</t>
  </si>
  <si>
    <t>Accueil localisé</t>
  </si>
  <si>
    <t>B.5.7</t>
  </si>
  <si>
    <t>Accueil commun (général)</t>
  </si>
  <si>
    <t>G.7</t>
  </si>
  <si>
    <t>Central data</t>
  </si>
  <si>
    <t>Salle serveur</t>
  </si>
  <si>
    <t>B.2.2</t>
  </si>
  <si>
    <t>B.2.3</t>
  </si>
  <si>
    <t>B.2.4</t>
  </si>
  <si>
    <t>B.2.5</t>
  </si>
  <si>
    <t>B.2.6</t>
  </si>
  <si>
    <t>B.2.7</t>
  </si>
  <si>
    <t>B.2.8</t>
  </si>
  <si>
    <t xml:space="preserve">Salle de configuration </t>
  </si>
  <si>
    <t>gestion quotidienne ICT (config. machines, contrôle des serveurs)</t>
  </si>
  <si>
    <t>à placer dans les locaux B.2</t>
  </si>
  <si>
    <t>E.2.5</t>
  </si>
  <si>
    <t>E.2.6</t>
  </si>
  <si>
    <t>Dépôts de matériel informatique (stocks)</t>
  </si>
  <si>
    <t>Dépôts de matériel entretien / nettoyage (stocks)</t>
  </si>
  <si>
    <t>E.2.7</t>
  </si>
  <si>
    <t>Dépôts de matériel bureau / logistique (stocks)</t>
  </si>
  <si>
    <t>A.1.2.a</t>
  </si>
  <si>
    <t>A.1.2.b</t>
  </si>
  <si>
    <t>A.1.2.c</t>
  </si>
  <si>
    <t>B. Cloisonné - Standard</t>
  </si>
  <si>
    <t>B. Cloisonné - Direction</t>
  </si>
  <si>
    <t>B. Cloisonné - Confidentiel</t>
  </si>
  <si>
    <t>• Central Support Area (selon µ.implantation)</t>
  </si>
  <si>
    <t>Paysager - Standard</t>
  </si>
  <si>
    <t>Paysager - Call Center</t>
  </si>
  <si>
    <t>Paysager - Satellite Office / Externe</t>
  </si>
  <si>
    <t>CAP.</t>
  </si>
  <si>
    <t>UNITÉ</t>
  </si>
  <si>
    <t>PDT</t>
  </si>
  <si>
    <t>S./CAP.</t>
  </si>
  <si>
    <t>SPEC.</t>
  </si>
  <si>
    <t>L.</t>
  </si>
  <si>
    <t>kVA</t>
  </si>
  <si>
    <t>VOL. SERVEUR</t>
  </si>
  <si>
    <t>SALLES</t>
  </si>
  <si>
    <t>M. COURANT</t>
  </si>
  <si>
    <t>N. GUICHET</t>
  </si>
  <si>
    <t>MIN.</t>
  </si>
  <si>
    <t>ANIMAL</t>
  </si>
  <si>
    <t>COUVERT</t>
  </si>
  <si>
    <t>CSA • DÉTAIL DES LOCAUX DE SUPPORT CENTRAL</t>
  </si>
  <si>
    <t>OA+LSA • DÉTAIL DES BUREAUX ET DU SUPPORT LOCAL</t>
  </si>
  <si>
    <t>S./UNI.</t>
  </si>
  <si>
    <t>RACKS</t>
  </si>
  <si>
    <t>CALCUL SF. CSA</t>
  </si>
  <si>
    <t>1 jour par semaine en dehors de l'organisation</t>
  </si>
  <si>
    <t>2 jours par semaine en dehors de l'organisation</t>
  </si>
  <si>
    <t>3 jours par semaine en dehors de l'organisation</t>
  </si>
  <si>
    <t>4 jours par semaine en dehors de l'organisation</t>
  </si>
  <si>
    <t>Locaux standards</t>
  </si>
  <si>
    <t>Locaux obligatoires</t>
  </si>
  <si>
    <t>IT</t>
  </si>
  <si>
    <t>Locaux Spécifiques</t>
  </si>
  <si>
    <t>Loges d'artistes pour salles de spectacle</t>
  </si>
  <si>
    <t>5A</t>
  </si>
  <si>
    <t>5B</t>
  </si>
  <si>
    <t>5C</t>
  </si>
  <si>
    <t>5D</t>
  </si>
  <si>
    <t>Coef</t>
  </si>
  <si>
    <t>S</t>
  </si>
  <si>
    <t>source</t>
  </si>
  <si>
    <t>&lt; 15 min.</t>
  </si>
  <si>
    <t>15 - 25 min.</t>
  </si>
  <si>
    <t>&gt; 25 min.</t>
  </si>
  <si>
    <t>PROXIMITÉ GARE / HUB POUR CALCUL NBRE PLACES DE PARKING</t>
  </si>
  <si>
    <t>Parkings standards (voiture), hauteur libre 2,20 m</t>
  </si>
  <si>
    <t>NORME D'OCCUPATION</t>
  </si>
  <si>
    <t>MAX. NORME</t>
  </si>
  <si>
    <t>• imposition applicable</t>
  </si>
  <si>
    <t>1 place /</t>
  </si>
  <si>
    <t>m² plancher hors sol</t>
  </si>
  <si>
    <t>1/</t>
  </si>
  <si>
    <t>m² plancher</t>
  </si>
  <si>
    <t>• surface hors sol (approx.)</t>
  </si>
  <si>
    <t>• surface plancher hors sol (approx)</t>
  </si>
  <si>
    <t>MAX. LÉGAL</t>
  </si>
  <si>
    <t>PARKINGS PMR</t>
  </si>
  <si>
    <t>Wallonie</t>
  </si>
  <si>
    <t>Bruxelles</t>
  </si>
  <si>
    <t>article 415 du CWATUPE</t>
  </si>
  <si>
    <t>article 7 du Titre IV du RRU</t>
  </si>
  <si>
    <t>places</t>
  </si>
  <si>
    <t>places min</t>
  </si>
  <si>
    <t>avec</t>
  </si>
  <si>
    <t>Flandres</t>
  </si>
  <si>
    <t>&lt;= 100 places</t>
  </si>
  <si>
    <t>articles 10 et 27 de l'arrêté du 5 juin 2009</t>
  </si>
  <si>
    <t>place min.</t>
  </si>
  <si>
    <t>places au-delà de 100</t>
  </si>
  <si>
    <t>Impositions coordonnées</t>
  </si>
  <si>
    <t>&gt;100</t>
  </si>
  <si>
    <t>Nbre total d'emplacements</t>
  </si>
  <si>
    <t>Emplacements PMR</t>
  </si>
  <si>
    <t>en plus par tranche de 50 places</t>
  </si>
  <si>
    <t>MIN</t>
  </si>
  <si>
    <t>PMR</t>
  </si>
  <si>
    <t>x</t>
  </si>
  <si>
    <t>intérieur</t>
  </si>
  <si>
    <t>extérieur</t>
  </si>
  <si>
    <t>• les places doivent être séparées par…</t>
  </si>
  <si>
    <t>• une barrière levante</t>
  </si>
  <si>
    <t>• un grillage empêchant l'accès piéton</t>
  </si>
  <si>
    <t>• un mur en blocs de béton</t>
  </si>
  <si>
    <t>• et sont destinées aux véhicules…</t>
  </si>
  <si>
    <t>Nbre de places devant être séparées</t>
  </si>
  <si>
    <t>LOCALISATION</t>
  </si>
  <si>
    <t>3 pauses</t>
  </si>
  <si>
    <t>2 pauses</t>
  </si>
  <si>
    <t>A.3.3</t>
  </si>
  <si>
    <t>Archives vivantes sur étagères (au-delà de 1 m²/ETPc)</t>
  </si>
  <si>
    <t>A.3.4</t>
  </si>
  <si>
    <t>Archives vivantes compactes (au-delà de 1 m²/ETPc)</t>
  </si>
  <si>
    <t>sans objet</t>
  </si>
  <si>
    <t>15-25 min</t>
  </si>
  <si>
    <t>&gt; 25 min</t>
  </si>
  <si>
    <t>• nombre total de véhicules de service</t>
  </si>
  <si>
    <t>PARKINGS SELON NORME</t>
  </si>
  <si>
    <t>• réservés pour les véhicules de service</t>
  </si>
  <si>
    <t>dont</t>
  </si>
  <si>
    <t>• solde</t>
  </si>
  <si>
    <t>• supplément parkings pour véhicules des service</t>
  </si>
  <si>
    <t>Nombre total de places de parkings</t>
  </si>
  <si>
    <t>8</t>
  </si>
  <si>
    <t>6</t>
  </si>
  <si>
    <t>7</t>
  </si>
  <si>
    <t>Véhicules de service standards</t>
  </si>
  <si>
    <t>• véhicules de service</t>
  </si>
  <si>
    <t>• emplacements voiture utilisés pour motos</t>
  </si>
  <si>
    <t>• emplacements PMR</t>
  </si>
  <si>
    <t>Répartition des places standards (5C)</t>
  </si>
  <si>
    <t>OCCUPATION</t>
  </si>
  <si>
    <t>AUTRES CRITÈRES</t>
  </si>
  <si>
    <t>Satisfaisant</t>
  </si>
  <si>
    <t>Bon</t>
  </si>
  <si>
    <t>Excellent</t>
  </si>
  <si>
    <t>Inacceptable</t>
  </si>
  <si>
    <t>Candidat</t>
  </si>
  <si>
    <t>Score</t>
  </si>
  <si>
    <t>personnel externe pour projets spécifiques - à reprendre en CSA</t>
  </si>
  <si>
    <t>Pour obtenir la surface totale des locaux de support central, compléter la première partie de la feuille "4 • µ.implantation" qui permet d'en établir le listing détaillé</t>
  </si>
  <si>
    <r>
      <t>Temps de trajet depuis/vers une grande gare / hub</t>
    </r>
    <r>
      <rPr>
        <vertAlign val="superscript"/>
        <sz val="10"/>
        <color indexed="8"/>
        <rFont val="Arial"/>
        <family val="2"/>
      </rPr>
      <t>1</t>
    </r>
  </si>
  <si>
    <t>2A</t>
  </si>
  <si>
    <t>Autres occupants dans l'immeuble</t>
  </si>
  <si>
    <t>Pas d'autres occupants</t>
  </si>
  <si>
    <t>Autres occupants mais avec entrée privative pour le client</t>
  </si>
  <si>
    <t>Autres occupants avec entrée commune</t>
  </si>
  <si>
    <t>Accessibilité</t>
  </si>
  <si>
    <t>Points</t>
  </si>
  <si>
    <r>
      <t>Temps de trajet depuis/vers un partenaire priviliégié</t>
    </r>
    <r>
      <rPr>
        <vertAlign val="superscript"/>
        <sz val="10"/>
        <color indexed="8"/>
        <rFont val="Arial"/>
        <family val="2"/>
      </rPr>
      <t>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</si>
  <si>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Méthode de calcul : site web des sociétés de transport en commun depuis la sortie la plus favorable des gares jusqu'à l'entrée principale du bâtiment (entrée visiteurs et personnel)</t>
    </r>
  </si>
  <si>
    <t>&gt;12 min</t>
  </si>
  <si>
    <t>• places hors norme / std type 1</t>
  </si>
  <si>
    <t>• places hors norme / std type 2</t>
  </si>
  <si>
    <t>• places hors norme / std type 3</t>
  </si>
  <si>
    <t>• places hors norme / std type 4</t>
  </si>
  <si>
    <t>• ETP (parkings)</t>
  </si>
  <si>
    <t>S2 - Achat</t>
  </si>
  <si>
    <t>S2 - Finance</t>
  </si>
  <si>
    <t>S2 - Staff</t>
  </si>
  <si>
    <t>S2 - Facility NG</t>
  </si>
  <si>
    <t>S2 - Facility ATR</t>
  </si>
  <si>
    <t>S2 - Plan Personnel Approuvé</t>
  </si>
  <si>
    <t>IF</t>
  </si>
  <si>
    <t>Cours des comptes</t>
  </si>
  <si>
    <t>Chauffeurs</t>
  </si>
  <si>
    <t>Economat ATR</t>
  </si>
  <si>
    <t>Economat NG</t>
  </si>
  <si>
    <t>Mailroom ATR</t>
  </si>
  <si>
    <t>Mailroom NG</t>
  </si>
  <si>
    <t>Archive NG</t>
  </si>
  <si>
    <t>Imprimerie NG</t>
  </si>
  <si>
    <t>Infirmerie NG</t>
  </si>
  <si>
    <t>Infrimerie ATR</t>
  </si>
  <si>
    <t>Stock ATR</t>
  </si>
  <si>
    <t>Stock NG</t>
  </si>
  <si>
    <t>Appartement ATR</t>
  </si>
  <si>
    <t>Atelier NG</t>
  </si>
  <si>
    <t>Appartement NG</t>
  </si>
  <si>
    <t>Onthaal ATR</t>
  </si>
  <si>
    <t>Onthaal NG</t>
  </si>
  <si>
    <t>Serverlokaal ICT</t>
  </si>
  <si>
    <t>S1 - Keuken</t>
  </si>
  <si>
    <t>S1 - Opleidingen</t>
  </si>
  <si>
    <t>S1 - Organisatie</t>
  </si>
  <si>
    <t>S1 - Personeelsbew FR</t>
  </si>
  <si>
    <t>S1 - Personeelsbew NL</t>
  </si>
  <si>
    <t>S1 - Welzijn &amp; gezondheid</t>
  </si>
  <si>
    <t>S1 - HR admin</t>
  </si>
  <si>
    <t>Douches ATR</t>
  </si>
  <si>
    <t>Douches NG</t>
  </si>
  <si>
    <t>Kleedkamers NG</t>
  </si>
  <si>
    <t>Kleedkamers ATR</t>
  </si>
  <si>
    <t>Stock keuken</t>
  </si>
  <si>
    <t>Boekenmagazijn ATR</t>
  </si>
  <si>
    <t>S3 - AD</t>
  </si>
  <si>
    <t>S3 - Operationele leiding</t>
  </si>
  <si>
    <t>• service 19</t>
  </si>
  <si>
    <t>• service 20</t>
  </si>
  <si>
    <t>• service 21</t>
  </si>
  <si>
    <t>• service 22</t>
  </si>
  <si>
    <t>• service 23</t>
  </si>
  <si>
    <t>• service 24</t>
  </si>
  <si>
    <t>• service 25</t>
  </si>
  <si>
    <t>• service 26</t>
  </si>
  <si>
    <t>• service 27</t>
  </si>
  <si>
    <t>• service 28</t>
  </si>
  <si>
    <t>S3 - Support services</t>
  </si>
  <si>
    <t>S3 - Development business app &amp; BI</t>
  </si>
  <si>
    <t>S3 - Development KBO &amp; statistics</t>
  </si>
  <si>
    <t>S3 - Operations management</t>
  </si>
  <si>
    <t>S3 - KBO beheersdienst</t>
  </si>
  <si>
    <t>• service 29</t>
  </si>
  <si>
    <t>• service 30</t>
  </si>
  <si>
    <t>• service 31</t>
  </si>
  <si>
    <t>• service 32</t>
  </si>
  <si>
    <t>• service 33</t>
  </si>
  <si>
    <t>• service 34</t>
  </si>
  <si>
    <t>• service 35</t>
  </si>
  <si>
    <t>S4 - AD</t>
  </si>
  <si>
    <t>S4 - Woordvoerderschap</t>
  </si>
  <si>
    <t>S4 - Managementsondersteuning</t>
  </si>
  <si>
    <t>S4 - Communicatiebureau</t>
  </si>
  <si>
    <t>S4 - Communicatiebeleid</t>
  </si>
  <si>
    <t>S4 - Kwaliteit van de communicatie</t>
  </si>
  <si>
    <t>S4 - Contact center</t>
  </si>
  <si>
    <t>S4 - Printroom</t>
  </si>
  <si>
    <t>Contact center</t>
  </si>
  <si>
    <t>• service 36</t>
  </si>
  <si>
    <t>• service 37</t>
  </si>
  <si>
    <t>• service 38</t>
  </si>
  <si>
    <t>• service 39</t>
  </si>
  <si>
    <t>• service 40</t>
  </si>
  <si>
    <t>• service 41</t>
  </si>
  <si>
    <t>• service 42</t>
  </si>
  <si>
    <t>• service 43</t>
  </si>
  <si>
    <t>• service 44</t>
  </si>
  <si>
    <t>• service 45</t>
  </si>
  <si>
    <t>• service 46</t>
  </si>
  <si>
    <t>• service 47</t>
  </si>
  <si>
    <t>• service 48</t>
  </si>
  <si>
    <t>T - Voorzitter &amp; secr</t>
  </si>
  <si>
    <t>T - Sec DC</t>
  </si>
  <si>
    <t>T - Sec Instituut</t>
  </si>
  <si>
    <t>T - IDPBW</t>
  </si>
  <si>
    <t>T - Veiligheid &amp; continuiteit</t>
  </si>
  <si>
    <t>T - Kabinetschef</t>
  </si>
  <si>
    <t>T - DPO</t>
  </si>
  <si>
    <t>T - Afwezigen</t>
  </si>
  <si>
    <t>• service 49</t>
  </si>
  <si>
    <t>• service 50</t>
  </si>
  <si>
    <t>• service 51</t>
  </si>
  <si>
    <t>• service 52</t>
  </si>
  <si>
    <t>• service 53</t>
  </si>
  <si>
    <t>• service 54</t>
  </si>
  <si>
    <t>• service 55</t>
  </si>
  <si>
    <t>• service 56</t>
  </si>
  <si>
    <t>• service 57</t>
  </si>
  <si>
    <t>• service 58</t>
  </si>
  <si>
    <t>• service 59</t>
  </si>
  <si>
    <t>• service 60</t>
  </si>
  <si>
    <t>E2 - AD</t>
  </si>
  <si>
    <t>E2 - Algemene zaken</t>
  </si>
  <si>
    <t>E2 - Strategie &amp; coördinatie</t>
  </si>
  <si>
    <t>E2 - Elek systemen &amp; ener. Normen</t>
  </si>
  <si>
    <t>E2 - Aardolie &amp; FAPETRO</t>
  </si>
  <si>
    <t>E2 - Gas en vergunningen</t>
  </si>
  <si>
    <t>E2 - Nuc toep. &amp; kritieke infra.</t>
  </si>
  <si>
    <t>E2 - Toezicht ener.info &amp; prod</t>
  </si>
  <si>
    <t>E2 - Externen</t>
  </si>
  <si>
    <t>E3 - AD</t>
  </si>
  <si>
    <t>E3 - Algemene leiding</t>
  </si>
  <si>
    <t>E3 - Consumenten en ondernemingen</t>
  </si>
  <si>
    <t>E3 - Finan. &amp; boekh reglem</t>
  </si>
  <si>
    <t>E3 - Afd prijzen &amp; juridische</t>
  </si>
  <si>
    <t>E3 - Intellectuele eigendom</t>
  </si>
  <si>
    <t>E3 - Telecom &amp; informatica</t>
  </si>
  <si>
    <t>E3 - Afwezigen</t>
  </si>
  <si>
    <t xml:space="preserve">E3 - Commissie boekhoudk. Normen </t>
  </si>
  <si>
    <t>E3 - Geschillencommissie reizen</t>
  </si>
  <si>
    <t>• service 61</t>
  </si>
  <si>
    <t>• service 62</t>
  </si>
  <si>
    <t>• service 63</t>
  </si>
  <si>
    <t>• service 64</t>
  </si>
  <si>
    <t>• service 65</t>
  </si>
  <si>
    <t>• service 66</t>
  </si>
  <si>
    <t>• service 67</t>
  </si>
  <si>
    <t>• service 68</t>
  </si>
  <si>
    <t>• service 69</t>
  </si>
  <si>
    <t>• service 70</t>
  </si>
  <si>
    <t>• service 71</t>
  </si>
  <si>
    <t>• service 72</t>
  </si>
  <si>
    <t>• service 73</t>
  </si>
  <si>
    <t>• service 74</t>
  </si>
  <si>
    <t>• service 75</t>
  </si>
  <si>
    <t>• service 76</t>
  </si>
  <si>
    <t>• service 77</t>
  </si>
  <si>
    <t>• service 78</t>
  </si>
  <si>
    <t>• service 79</t>
  </si>
  <si>
    <t>• service 80</t>
  </si>
  <si>
    <t>• service 81</t>
  </si>
  <si>
    <t>E3 - Hoge raad zelf. Beroepen</t>
  </si>
  <si>
    <t>E4 - Secretariaat</t>
  </si>
  <si>
    <t>E4 - Economische analyses</t>
  </si>
  <si>
    <t>E4 - Internationale economie</t>
  </si>
  <si>
    <t>E4 - Luchtvaart, defensie, crisiscel</t>
  </si>
  <si>
    <t>E4 - Internationale tentoonstellingen</t>
  </si>
  <si>
    <t>E4 - Afwezigen</t>
  </si>
  <si>
    <t>E4 - AD</t>
  </si>
  <si>
    <t>E5 - Staf</t>
  </si>
  <si>
    <t>E5 - KMO-observatorium</t>
  </si>
  <si>
    <t>E5 - Reglementering</t>
  </si>
  <si>
    <t>E6 - AD</t>
  </si>
  <si>
    <t>E6 - Staf AD</t>
  </si>
  <si>
    <t>E6 - Kwaliteit &amp; Innovatie</t>
  </si>
  <si>
    <t>• service 82</t>
  </si>
  <si>
    <t>• service 83</t>
  </si>
  <si>
    <t>• service 84</t>
  </si>
  <si>
    <t>• service 85</t>
  </si>
  <si>
    <t>• service 86</t>
  </si>
  <si>
    <t>• service 87</t>
  </si>
  <si>
    <t>• service 88</t>
  </si>
  <si>
    <t>• service 89</t>
  </si>
  <si>
    <t>• service 90</t>
  </si>
  <si>
    <t>• service 91</t>
  </si>
  <si>
    <t>• service 92</t>
  </si>
  <si>
    <t>• service 93</t>
  </si>
  <si>
    <t>E7 - AD</t>
  </si>
  <si>
    <t>E7 - Algemene coördinatie</t>
  </si>
  <si>
    <t>E7- Controle operaties</t>
  </si>
  <si>
    <t>E7 - Externe acties</t>
  </si>
  <si>
    <t>E7 - Centrale gespecialiseerde directies</t>
  </si>
  <si>
    <t>E7 - Regionale directies</t>
  </si>
  <si>
    <t>E8 - DG</t>
  </si>
  <si>
    <t>E8 - Managementsondersteuning</t>
  </si>
  <si>
    <t>E8 - Internationale strat &amp; coörd.</t>
  </si>
  <si>
    <t>E8 - Operationeel directeur</t>
  </si>
  <si>
    <t>E8 - Statistiekproductie</t>
  </si>
  <si>
    <t>E8 - Statistiekcoör. &amp; verspreiding</t>
  </si>
  <si>
    <t>E8 - Datawarehouse &amp; data supp</t>
  </si>
  <si>
    <t>E8 - Call center</t>
  </si>
  <si>
    <t>E8 - gedetacheerd</t>
  </si>
  <si>
    <t>S1 - personeelsplan</t>
  </si>
  <si>
    <t>S3 - Personeelsplan</t>
  </si>
  <si>
    <t>S3 - EXT IT SUP</t>
  </si>
  <si>
    <t>S4 - personeelsplan</t>
  </si>
  <si>
    <t>T - personeelsplan</t>
  </si>
  <si>
    <t>E2 - personeelsplan</t>
  </si>
  <si>
    <t>E3 - personeelsplan</t>
  </si>
  <si>
    <t>E4 - personeelsplan</t>
  </si>
  <si>
    <t>E5 - personeelsplan</t>
  </si>
  <si>
    <t>E6 - personeelsplan</t>
  </si>
  <si>
    <t>E7 - personeelsplan</t>
  </si>
  <si>
    <t>E8 - personeelsplan</t>
  </si>
  <si>
    <t>• service 94</t>
  </si>
  <si>
    <t>• service 95</t>
  </si>
  <si>
    <t>• service 96</t>
  </si>
  <si>
    <t>• service 97</t>
  </si>
  <si>
    <t>• service 98</t>
  </si>
  <si>
    <t>• service 99</t>
  </si>
  <si>
    <t>• service 100</t>
  </si>
  <si>
    <t>• service 101</t>
  </si>
  <si>
    <t>• service 102</t>
  </si>
  <si>
    <t>• service 103</t>
  </si>
  <si>
    <t>Parkingbeheerder ATR</t>
  </si>
  <si>
    <t>Parkingbeheerder NG</t>
  </si>
  <si>
    <t>Douches keuken NG</t>
  </si>
  <si>
    <t>Koelcel keuken NG</t>
  </si>
  <si>
    <t>Labo NG</t>
  </si>
  <si>
    <t>Stock ICT</t>
  </si>
  <si>
    <t>Afvallokaal ATR</t>
  </si>
  <si>
    <t>Afvallokaal NG</t>
  </si>
  <si>
    <t>Printlokalen</t>
  </si>
  <si>
    <t>Patchlokalen</t>
  </si>
  <si>
    <t>Labo ICT</t>
  </si>
  <si>
    <t>Leslokaal ICT 15 personen</t>
  </si>
  <si>
    <t>Wachtzaal bezoekers</t>
  </si>
  <si>
    <t>Koffiecorners</t>
  </si>
  <si>
    <t>Specifieke lokalen per Algemene Directie en Stafdienst</t>
  </si>
  <si>
    <t>E2 - Energie</t>
  </si>
  <si>
    <t>Specifiek lokaal:</t>
  </si>
  <si>
    <t>Algemene Directie of Stafdienst:</t>
  </si>
  <si>
    <t>Crisiszaal in elk gebouw</t>
  </si>
  <si>
    <t>Samen bekijken met T en E4</t>
  </si>
  <si>
    <t>Specifieke werkposten voor een medewerker die over specifiek ICT-materiaal beschikt (TV-loupe,…)</t>
  </si>
  <si>
    <t>Tijdelijke opslagruimte voor de dienst productveiligheid</t>
  </si>
  <si>
    <t>Voldoende (kleine) vergaderruimtes voor de dienst "vergunningen" + beveiliging</t>
  </si>
  <si>
    <t>Lokaal om geclassificeerde informatie veilig te kunnen opbergen</t>
  </si>
  <si>
    <t>E3 - Economische reglementering</t>
  </si>
  <si>
    <t>Opmerkingen:</t>
  </si>
  <si>
    <t>Ontvangstruimte op het gelijkvloers voor het OPRI (City Atrium C)</t>
  </si>
  <si>
    <t>E4 - Economische analyses en internationale economie</t>
  </si>
  <si>
    <t>Te beveiligen ruimte voor de dienst "luchtvaart/defensie"</t>
  </si>
  <si>
    <t>Beveiligde vergaderzaal crisiscel</t>
  </si>
  <si>
    <t>Samen bekijken met T en E2</t>
  </si>
  <si>
    <t>2 extra vergaderzalen (momenteel niet aanwezig)</t>
  </si>
  <si>
    <t>E5 - K.M.O.-beleid</t>
  </si>
  <si>
    <t>E6 - Kwaliteit en Veiligheid</t>
  </si>
  <si>
    <t>Klein labo in NG II met badgelezer</t>
  </si>
  <si>
    <t>Lokalen voor opslag van stalen en monsters</t>
  </si>
  <si>
    <t>Lokaal voor de "plotter" (grote printer)</t>
  </si>
  <si>
    <t>Lokaal met koelkast en diepvries voor het bewaren van stalen en monsters</t>
  </si>
  <si>
    <t>Lokaal voor de opslag van grotere goederen</t>
  </si>
  <si>
    <t>Brandkast: deze moet geplaatst worden in ruimte waar de vloer voldoende draagkracht heeft</t>
  </si>
  <si>
    <t>Verhoorlokaal met badgelezer</t>
  </si>
  <si>
    <t>Verhoorlokalen en ontvangstlokalen voor de dienst BOCOEA = vaste bureelruimtes</t>
  </si>
  <si>
    <t>art. 13 - wet van 20/03/1991</t>
  </si>
  <si>
    <t>Personen die om medische of sociale redenen nood hebben aan een bureau voor zichzelf (min. 5 personen)</t>
  </si>
  <si>
    <t>cfr. huidige indeling</t>
  </si>
  <si>
    <t>Één aangepaste werkpost met een lage tafel</t>
  </si>
  <si>
    <t>Medische redenen</t>
  </si>
  <si>
    <t>1 per afdeling =&gt; 3 te voorzien</t>
  </si>
  <si>
    <t>Archief voor vertrouwelijke documenten, incl. beveiligd papier voor vergunning: 2 kluizen, geen natuurlijk licht nodig</t>
  </si>
  <si>
    <t>Opslagplaats voor meetinstrumenten en werktuigen</t>
  </si>
  <si>
    <t>3 kasten</t>
  </si>
  <si>
    <t>Moet groter zijn dan nu. Bijvoorbeeld voor opslag van fietsen</t>
  </si>
  <si>
    <t>Bijvoorbeeld voor stalen van voeding</t>
  </si>
  <si>
    <t>Safetylab</t>
  </si>
  <si>
    <t>Vergaderzaal voor minstens 20 personen</t>
  </si>
  <si>
    <t>13 individuele ruimtes voor vertrouwelijke gesprekken</t>
  </si>
  <si>
    <t>Enkel te voorzien indien er zou worden overgegaan naar de NWoW</t>
  </si>
  <si>
    <t>Voldoende ruimte voor levend archief</t>
  </si>
  <si>
    <t>Tijdelijke archiefruimte - voorbereiding "digitalisering"</t>
  </si>
  <si>
    <t>Werkruimte voor reizende ambtenaren zonder standplaats te Brussel</t>
  </si>
  <si>
    <t>Nodig voor overleg en rapportering Brussel</t>
  </si>
  <si>
    <t>Wachtzaal (verhoor,…)</t>
  </si>
  <si>
    <t>Wachtruimte voor bezoekers + 2 kasten</t>
  </si>
  <si>
    <t>Vestiaire</t>
  </si>
  <si>
    <t>4x Vergaderzaal voor minstens 15 personen</t>
  </si>
  <si>
    <t>Vergaderzaal voor minstens 30 personen</t>
  </si>
  <si>
    <t>Eventueel tot 60 personen</t>
  </si>
  <si>
    <t>Lokaal met voorziening voor "touchscreen" van 1,5m x 1m voor COPCO</t>
  </si>
  <si>
    <t>E7 - Economische Inspectie</t>
  </si>
  <si>
    <t>Sweeproom</t>
  </si>
  <si>
    <t>Briefingroom</t>
  </si>
  <si>
    <t>Verhoorzaal, uitgerust met PC, printer,…</t>
  </si>
  <si>
    <t>Lokalen voor langdurige opslag</t>
  </si>
  <si>
    <t>Lokalen voor recente inbeslagnames</t>
  </si>
  <si>
    <t>Vergaderzaal met videoconferencing</t>
  </si>
  <si>
    <t>Lokaal met meetapparatuur</t>
  </si>
  <si>
    <t>Lokaal met overtuigingsmateriaal</t>
  </si>
  <si>
    <t>E8 - Statistiek - Statistics Belgium</t>
  </si>
  <si>
    <t>S1 - Personeel en Organisatie</t>
  </si>
  <si>
    <t>4x (opleidings)zaal voor 20 personen</t>
  </si>
  <si>
    <t>1x (opleidings)zaal voor 50 personen</t>
  </si>
  <si>
    <t>1x (opleidings)zaal voor 100 personen</t>
  </si>
  <si>
    <t>6 tot 8 zalen voor 6 tot 8 personen</t>
  </si>
  <si>
    <t>2 zalen voor 15 tot 20 personen die voorzien zijn van netwerkaansluitingen en stopcontacten zodat hier met de PC opleiding gegeven kan worden</t>
  </si>
  <si>
    <t>Personeelsarchieven</t>
  </si>
  <si>
    <t>Momenteel in NG III</t>
  </si>
  <si>
    <t>2 consultatieruimtes voor de medische dienst</t>
  </si>
  <si>
    <t>1 verpleegkundige per gebouw</t>
  </si>
  <si>
    <t>3 interviewlokalen</t>
  </si>
  <si>
    <t>3 voorbereidingslokalen</t>
  </si>
  <si>
    <t>Lokaal voor de beveiligde stockage van materiaal voor de medische dienst</t>
  </si>
  <si>
    <t>1 grote living voor 65 à 85 personen</t>
  </si>
  <si>
    <t>1 grote "keuken"</t>
  </si>
  <si>
    <t>S2 - Budget en Beheerscontrole</t>
  </si>
  <si>
    <t>S3 - ICT</t>
  </si>
  <si>
    <t>Leslokaal: vergaderzaal voor 15 tot 20 personen</t>
  </si>
  <si>
    <t>1 zaal/"war room" voor unit B.1 - 12 personen</t>
  </si>
  <si>
    <t>1 zaal/"war room" voor unit B.2 - 12 personen</t>
  </si>
  <si>
    <t>1 zaal/"war room" voor unit A - 12 personen</t>
  </si>
  <si>
    <t>1 zaal/"war room" voor unit D - 12 personen</t>
  </si>
  <si>
    <t>1 zaal/"war room" voor K.B.O. - 12 personen</t>
  </si>
  <si>
    <t>Ontvangstlokaal voor 2 tot 4 personen</t>
  </si>
  <si>
    <t>2 lokalen voor passwerkers</t>
  </si>
  <si>
    <t>2 personen in NG en 2 personen in CA</t>
  </si>
  <si>
    <t>Stocklokalen S3</t>
  </si>
  <si>
    <t>Labo S3</t>
  </si>
  <si>
    <t>Momenteel lokaal 7A21</t>
  </si>
  <si>
    <t>Momenteel lokaal 2A22</t>
  </si>
  <si>
    <t xml:space="preserve">Lokaal om laptops voor te bereiden </t>
  </si>
  <si>
    <t>Momenteel lokaal 7A14</t>
  </si>
  <si>
    <t>Bureau in het CA voor mensen die ICT ondersteuning geven</t>
  </si>
  <si>
    <t>Momenteel gehuisvest op de 8ste verdieping CA (bij S2)</t>
  </si>
  <si>
    <t>Afgesloten lokaal "forensic"</t>
  </si>
  <si>
    <t>Rustlokaal om te ontstressen</t>
  </si>
  <si>
    <t>HR-bubbles</t>
  </si>
  <si>
    <t>Een living</t>
  </si>
  <si>
    <t>Lokaal voor het levend archief van K.B.O.</t>
  </si>
  <si>
    <t>S4 - Communicatie</t>
  </si>
  <si>
    <t>(verder te integreren in "Partie 4" met de juiste codes in overleg met de Regie der Gebouwen)</t>
  </si>
  <si>
    <t>Zones aangepast aan de werknoden: copywriters, grafisch vormgevers, webmasters,…</t>
  </si>
  <si>
    <t>Printroom</t>
  </si>
  <si>
    <t>Aangepaste en voldoende grootte ruimte voor montage van video- en audiofragmenten</t>
  </si>
  <si>
    <t>Lokaal voor de veilige stockage van materiaal voor evenementen en beurzen</t>
  </si>
  <si>
    <t>Lokaal of voorziene plaats voor veilige stockage van video- en ICT-materiaal</t>
  </si>
  <si>
    <t>Lokaal om foto's te maken voor brochures, flyers, publicaties,… (met white/green screen)</t>
  </si>
  <si>
    <t>Een ontvangstlokaal voor de pers</t>
  </si>
  <si>
    <t>Voldoende ruimtes/vergaderzalen waar mensen "lawaai" kunnen maken en grondig kunnen brainstormen: voor 3 tot 10 personen</t>
  </si>
  <si>
    <t>Een sport- en ontspanningsruimte</t>
  </si>
  <si>
    <t>T - Bureau van de Voorzitter</t>
  </si>
  <si>
    <t>Zie bevoegdheid</t>
  </si>
  <si>
    <t>Afsluiten van de zone(s) van E7 van andere AD's/SD's</t>
  </si>
  <si>
    <t>Nood aan afsluiting van bepaalde zones/dienst</t>
  </si>
  <si>
    <t>Specifieke bevoegdheden</t>
  </si>
  <si>
    <t>Vergaderzaal op de verdieping</t>
  </si>
  <si>
    <t>Momenteel lokaal 3A40</t>
  </si>
  <si>
    <t>Lokaal voor groepsbriefings met speciale voorzieningen voor illustraties bij gecoördineerde acties</t>
  </si>
  <si>
    <t>Momenteel lokaal 3A32</t>
  </si>
  <si>
    <t>Lokaal voor video-analyse en teleconferenties</t>
  </si>
  <si>
    <t>Momenteel lokaal 3A16</t>
  </si>
  <si>
    <t>Aparte archief- en opslagruimtes in de nabijheid van de bureaus</t>
  </si>
  <si>
    <t>INCO (logistiek en inspectiemateriaal): stockage van eigen inspectiemateriaal nodig bij onderzoeken</t>
  </si>
  <si>
    <t>Momenteel lokaal 3A13</t>
  </si>
  <si>
    <t>COC (gerechtelijke dossiers)</t>
  </si>
  <si>
    <t>Momenteel lokaal 3A21</t>
  </si>
  <si>
    <t>DC (witwas en fraudedossiers)</t>
  </si>
  <si>
    <t>Momenteel lokaal 3B12</t>
  </si>
  <si>
    <t>Stalen lokaal (met o.m. diepvriezers) voor tijdelijke opslag staalnemingen</t>
  </si>
  <si>
    <t>Overtuigingsstukken namaak</t>
  </si>
  <si>
    <t>Overtuigingsstukken productveiligheid</t>
  </si>
  <si>
    <t>Voldoende parkeerplaats voor reizende ambtenaren</t>
  </si>
  <si>
    <t>Een internetlab met speciaal uitgerust materiaal</t>
  </si>
  <si>
    <t>Een single liaison office voor de Belgische verplichtingen t.a.v. de EU, CPC verordening, met speciale uitrusting en connecties</t>
  </si>
  <si>
    <t>Een bureau voor Analyse en Prioritering en vereiste van teamwerk</t>
  </si>
  <si>
    <t>Een lokaal voor de ondersteunende dienst en verieste van teamwerk</t>
  </si>
  <si>
    <t>Een lokaal of werkoppervlakte gereserveerd voor de medewerkers van het Meldpunt - nood om samen te zitten terwijl ze nu verspreid zitten</t>
  </si>
  <si>
    <t>Lokaal voor 10 personen te voorzien</t>
  </si>
  <si>
    <t>Lokalen voor een aantal sleutelpersonen met strategische dossiers, specifieke uitrusting, aparte verbindingen,…</t>
  </si>
  <si>
    <t>Verantwoordelijkheden INT, INCO, APS, DG</t>
  </si>
  <si>
    <t>Een lokaal groep met eigen beschermde dossiers of functie-inhouden</t>
  </si>
  <si>
    <t>Een bibliotheekruimte met het documentatiecentrum van de Economische Inspectie</t>
  </si>
  <si>
    <t>Lokaal voor opslag van eigen informaticamateriaal</t>
  </si>
  <si>
    <t>Chafea</t>
  </si>
  <si>
    <t>Voldoende grootte ruimte voor opleidingen</t>
  </si>
  <si>
    <t>min. 50 personen</t>
  </si>
  <si>
    <t>Faciliteiten voor personeel</t>
  </si>
  <si>
    <t>Fietsenstallingen, sport- en doucheruimtes,…</t>
  </si>
  <si>
    <t>Momenteel lokaal 3B08</t>
  </si>
  <si>
    <t>Momenteel lokaal 3A42</t>
  </si>
  <si>
    <t>Momenteel lokaal 3B19</t>
  </si>
  <si>
    <t>Momenteel lokaal 3B61</t>
  </si>
  <si>
    <t>Momenteel lokaal 3B40</t>
  </si>
  <si>
    <t>Momenteel lokaal 3B50 - 8 personen</t>
  </si>
  <si>
    <t>Momenteel lokaal 3A05 - 5 personen</t>
  </si>
  <si>
    <t>Momenteel lokaal 3A34 - 6 personen</t>
  </si>
  <si>
    <t>Momenteel lokaal 3A09 - 5 personen</t>
  </si>
  <si>
    <t>Momenteel lokaal 3A10</t>
  </si>
  <si>
    <t>Momenteel lokaal 3A18</t>
  </si>
  <si>
    <t>E2 - Juridische coördinatie</t>
  </si>
  <si>
    <t>E2 - Externe relaties</t>
  </si>
  <si>
    <t>E2 - Coördinatie beleid sociale energietarieven</t>
  </si>
  <si>
    <t>E2 - Afwezigen</t>
  </si>
  <si>
    <t>• service 104</t>
  </si>
  <si>
    <t>• service 105</t>
  </si>
  <si>
    <t>• service 106</t>
  </si>
  <si>
    <t>S1 - HR juridische</t>
  </si>
  <si>
    <t>S1 - Vertalingen</t>
  </si>
  <si>
    <t>S1 - Eretekens</t>
  </si>
  <si>
    <t>S1 - Directiesecretariaat</t>
  </si>
  <si>
    <t>S1 - Managementondersteuning</t>
  </si>
  <si>
    <t>S1 - AD</t>
  </si>
  <si>
    <t>• service 107</t>
  </si>
  <si>
    <t>• service 108</t>
  </si>
  <si>
    <t>Grote vergaderzaal met aangepast ICT-materiaal: +- 50 personen</t>
  </si>
  <si>
    <t>Goed-uitgeruste vergaderzaal (qua ICT-materiaal en comfort) voor vergaderingen met Europese stakeholders, staff,…: +- 15 personen</t>
  </si>
  <si>
    <t>4x vergaderzaal voor overleg binnen de diensten: +- 12 personen</t>
  </si>
  <si>
    <t>Printroom (samen met S4)</t>
  </si>
  <si>
    <t>Voldoende ruimte voor “levende” archieven voor de verschillende diensten</t>
  </si>
  <si>
    <t>Stockage van “dode” archieven op verdieping -3 van het gebouw North Gate III</t>
  </si>
  <si>
    <t>Specifieke zone waar “externen” op een gecontroleerde manier de gegevens van Statbel kunnen bewerken/verwerken (afgescheiden van de medewerkers van E8)</t>
  </si>
  <si>
    <t>Voldoende bubbles voorzien voor onder meer evaluatiegesprekken</t>
  </si>
  <si>
    <t>Lokaal zonder “glazen wanden” voor de vertrouwenspersoon</t>
  </si>
  <si>
    <t>Voor 12 medewerkers zou er omwille van medische redenen een toegewezen werkpost met eventueel aangepast (ICT-)materiaal voorzien moeten worden</t>
  </si>
  <si>
    <t xml:space="preserve">Voor de dienst “verspreiding”:
- prepress: extra werkruimte (grotere PC-schermen) + enkele vaste werkplaatsen
- stock en sales (cfr. NG III 6A30)
- webmaster: extra werkruimte (grotere PC-schermen) + enkele vaste werkplaatsen
- digitalisering: 2 scanners + 3 werkposten
</t>
  </si>
  <si>
    <t xml:space="preserve">Voor de dienst “DT Economie”:
- extra werkruimte (grotere PC-schermen) + enkele vaste werkplaatsen
</t>
  </si>
  <si>
    <t xml:space="preserve">Voor de dienst “managementondersteuning”:
- afsluitbaar lokaal voor de archieven van de Directeur-generaal, personeelsdossiers en budgetdossiers (cfr. NG III 6A31 en 6A46)
- lokaal voor vertrouwelijke gesprekken
</t>
  </si>
  <si>
    <t xml:space="preserve">Voor de dienst enquêtes-burgers:
- afsluitbare kasten voor de opslag van de PC’s van de enquêteurs (cfr. NG III 5A29)
- lokaal voor het uitvoeren van updates van PC’s van de enquêteurs (cfr. P. RENIER)
- bijkomende opslagplaats voor de opslag van enquêteformulieren voor de huishoudens
</t>
  </si>
  <si>
    <t xml:space="preserve">• Voor de dienst datawarehouse:
- stockageruimte voor de “bibliotheek”: documentatie en boeken over SAS, methodologie,… (cfr. NG III 5A19)
</t>
  </si>
  <si>
    <t>Lokaal voor vertrouwelijk gesprek (IDPBW)</t>
  </si>
  <si>
    <t>Degelijk uitgeruste zaal (qua ICT-uitrusting en comfort) voor het Directiecomité</t>
  </si>
  <si>
    <t>Degelijk uitgeruste zaal (qua ICT-uitrusting en comfort) voor de Voorzitter voor het ontvangen van bezoekers en het kunnen voeren van vertrouwelijke gesprekken</t>
  </si>
  <si>
    <t>cfr. Directiecomité en Juridische Dienst</t>
  </si>
  <si>
    <t>Afsluitbare archiefruimte (badgelezer) voor het opslaan van vertrouwelijke documenten en "levend" archief</t>
  </si>
  <si>
    <t>Keuken NG + Refter NG</t>
  </si>
  <si>
    <t>Cuisine ATR + Refter ATR</t>
  </si>
  <si>
    <t>E6 - Veiligheid</t>
  </si>
  <si>
    <t>E6 - Metrologie</t>
  </si>
  <si>
    <t>Salle de crises</t>
  </si>
  <si>
    <t>Salle d'attente/d'accueil</t>
  </si>
  <si>
    <t>Salle d'interrogation</t>
  </si>
  <si>
    <t>Bibliothèque</t>
  </si>
  <si>
    <t>Salle de cours (interview + préparation)</t>
  </si>
  <si>
    <t>Invulling:</t>
  </si>
  <si>
    <t>B7.2 - lijn 21</t>
  </si>
  <si>
    <t>ICT-materiaal</t>
  </si>
  <si>
    <t>B5.3 - lijn 22</t>
  </si>
  <si>
    <t>B3.3 - 12 pers - lijn 14</t>
  </si>
  <si>
    <t>Te bekijken</t>
  </si>
  <si>
    <t>B6.1 - lijn 23 x3</t>
  </si>
  <si>
    <t>B3.3 - 12 pers - lijn 15</t>
  </si>
  <si>
    <t>B3.3 - 20 pers - lijn 16</t>
  </si>
  <si>
    <t>B3.3 - 30 pers - lijn 17</t>
  </si>
  <si>
    <t>B5.3 - lijn 23</t>
  </si>
  <si>
    <t>B6.1 - lijn 23 x2</t>
  </si>
  <si>
    <t>B3.3 - 50 pers - lijn 18</t>
  </si>
  <si>
    <t>B4.2 - 40 m² - lijn 24</t>
  </si>
  <si>
    <t>B3.3 - 15 pers - lijn 15</t>
  </si>
  <si>
    <t>Lijn 27</t>
  </si>
  <si>
    <t>B3.3 - 100 pers - lijn 19</t>
  </si>
  <si>
    <t>B3.3 - 12 pers - lijn 14 x8</t>
  </si>
  <si>
    <t>B4.1 - lijn 20</t>
  </si>
  <si>
    <t xml:space="preserve">B3.3 - 12 pers - lijn 14 </t>
  </si>
  <si>
    <t>B5.3 - lijn 24</t>
  </si>
  <si>
    <t>B3.3 - 12 pers - lijn 14 x4</t>
  </si>
  <si>
    <t>B3.3 - 25 pers - lijn 15</t>
  </si>
  <si>
    <t>Salle de réunion NG - 100 personnes (0B08)</t>
  </si>
  <si>
    <t>Salle de réunion NG - 17 personnes (2A22)</t>
  </si>
  <si>
    <t>Salle de réunion NG - 14 personnes (2A28)</t>
  </si>
  <si>
    <t>Salle de réunion NG - 10 personnes (2A44)</t>
  </si>
  <si>
    <t>Salle de réunion NG - 12 personnes (2B02)</t>
  </si>
  <si>
    <t>Salle de réunion NG - 12 personnes (2B10)</t>
  </si>
  <si>
    <t>Salle de réunion NG - 8 personnes (3A07)</t>
  </si>
  <si>
    <t>Salle de réunion NG - 8 personnes (3A16)</t>
  </si>
  <si>
    <t>Salle de réunion NG - 12 personnes (3A32)</t>
  </si>
  <si>
    <t>Salle de réunion NG - 6 personnes (3A36)</t>
  </si>
  <si>
    <t>Salle de réunion NG - 20 personnes (3A40)</t>
  </si>
  <si>
    <t>Salle de réunion NG - 14 personnes (3B08)</t>
  </si>
  <si>
    <t>Salle de réunion NG - 18 personnes (3B27)</t>
  </si>
  <si>
    <t>Salle de réunion NG - 12 personnes (4A10)</t>
  </si>
  <si>
    <t>Salle de réunion NG - 14 personnes (4A26)</t>
  </si>
  <si>
    <t>Salle de réunion NG - 16 personnes (4B26)</t>
  </si>
  <si>
    <t>Salle de réunion NG - 20 personnes (4B34)</t>
  </si>
  <si>
    <t>Salle de réunion NG - 12 personnes (5A08)</t>
  </si>
  <si>
    <t>Salle de réunion NG - 12 personnes (5A22)</t>
  </si>
  <si>
    <t>Salle de réunion NG - 12 personnes (5B06)</t>
  </si>
  <si>
    <t>Salle de réunion NG - 8 personnes (5B08)</t>
  </si>
  <si>
    <t>Salle de réunion NG - 10 personnes (5B36)</t>
  </si>
  <si>
    <t>Salle de réunion NG - 20 personnes (5B52 - 5B54)</t>
  </si>
  <si>
    <t>Salle de réunion NG - 12 personnes (5B53 - 5B55)</t>
  </si>
  <si>
    <t>Salle de réunion NG - 10 personnes (5B56)</t>
  </si>
  <si>
    <t>Salle de réunion NG - 16 personnes (6A12)</t>
  </si>
  <si>
    <t>Salle de réunion NG - 8 personnes (6A40)</t>
  </si>
  <si>
    <t>Salle de réunion NG - 24 personnes (5A50 - 5A52)</t>
  </si>
  <si>
    <t>Salle de réunion NG - 8 personnes (6A57)</t>
  </si>
  <si>
    <t>Salle de réunion NG - 8 personnes (6B01)</t>
  </si>
  <si>
    <t>Salle de réunion NG - 13 personnes (6B22)</t>
  </si>
  <si>
    <t>Salle de réunion NG - 13 personnes (6B40)</t>
  </si>
  <si>
    <t>Salle de réunion NG - 10 personnes (6B52)</t>
  </si>
  <si>
    <t>Salle de réunion NG - 10 personnes (7A12)</t>
  </si>
  <si>
    <t>Salle de réunion NG - 10 personnes (7A22)</t>
  </si>
  <si>
    <t>Salle de réunion NG - 16 personnes (7B06)</t>
  </si>
  <si>
    <t>Salle de réunion NG - 12 personnes (7B23)</t>
  </si>
  <si>
    <t>Salle de réunion NG - 14 personnes (7B24)</t>
  </si>
  <si>
    <t>Salle de réunion NG - 14 personnes (7B32)</t>
  </si>
  <si>
    <t>Salle de réunion NG - 22 personnes (0S1039)</t>
  </si>
  <si>
    <t>Salle de réunion NG - 30 personnes (0S1040)</t>
  </si>
  <si>
    <t>Salle de réunion NG - 20 personnes (0S1041)</t>
  </si>
  <si>
    <t>Salle de réunion NG - 28 personnes (0S1047)</t>
  </si>
  <si>
    <t>Salle de réunion NG - 27 personnes (0S1047)</t>
  </si>
  <si>
    <t>Salle de réunion NG - 25 personnes (0S1053)</t>
  </si>
  <si>
    <t>Salle de réunion NG - 25 personnes (0S1054)</t>
  </si>
  <si>
    <t>Salle de réunion Atrium - 8 personnes (0A01)</t>
  </si>
  <si>
    <t>Salle de réunion Atrium - 23 personnes (INFOSHOP)</t>
  </si>
  <si>
    <t>Salle de réunion Atrium - 6 personnes (0LO1)</t>
  </si>
  <si>
    <t>Salle de réunion Atrium - 90 personnes (1B03-04)</t>
  </si>
  <si>
    <t>Salle de réunion Atrium - 4 personnes (0LO2)</t>
  </si>
  <si>
    <t>Salle de réunion Atrium - 100 personnes (3MESS)</t>
  </si>
  <si>
    <t>Salle de réunion Atrium - 14 personnes (3A10)</t>
  </si>
  <si>
    <t>Salle de réunion Atrium - 22 personnes (4A09)</t>
  </si>
  <si>
    <t>Salle de réunion Atrium - 16 personnes (4A12)</t>
  </si>
  <si>
    <t>Salle de réunion Atrium - 16 personnes (4A19)</t>
  </si>
  <si>
    <t>Salle de réunion Atrium - 16 personnes (4A22)</t>
  </si>
  <si>
    <t>Salle de réunion Atrium - 30 personnes (4B09-2)</t>
  </si>
  <si>
    <t>Salle de réunion Atrium - 12 personnes (5B06)</t>
  </si>
  <si>
    <t>Salle de réunion Atrium - 17 personnes (6A04)</t>
  </si>
  <si>
    <t>Salle de réunion Atrium - 16 personnes (6A07)</t>
  </si>
  <si>
    <t>Salle de réunion Atrium - 10 personnes (6A24)</t>
  </si>
  <si>
    <t>Salle de réunion Atrium - 18 personnes (7A13-14)</t>
  </si>
  <si>
    <t>Salle de réunion Atrium - 10 personnes (9A11)</t>
  </si>
  <si>
    <t>Salle de réunion Atrium - 15 personnes (9B01)</t>
  </si>
  <si>
    <t>Salle de réunion Atrium - 26 personnes (9B02)</t>
  </si>
  <si>
    <t>Salle de réunion Atrium - 20 personnes (9B03)</t>
  </si>
  <si>
    <t>Kitchenettes</t>
  </si>
  <si>
    <t>sur</t>
  </si>
  <si>
    <t>OA+LSA (m² PA) - NWOW: 10,5m²</t>
  </si>
  <si>
    <t>• Central Support Area - fixed areas (kitchen, archive,…)</t>
  </si>
  <si>
    <t>Salle de réunion ATR - 489</t>
  </si>
  <si>
    <t>Salle de réunion NG - 762</t>
  </si>
  <si>
    <t>Salle de réunion - 12 personnes (10 + 25 extra gevraagd)</t>
  </si>
  <si>
    <t>Salle de réunion - 15 personnes (11 + 7 extra gevraagd)</t>
  </si>
  <si>
    <t>Salle de réunion - 20 personnes (16 + 12 extra gevraagd)</t>
  </si>
  <si>
    <t>Salle de réunion - 50 personnes (4 extra gevraagd)</t>
  </si>
  <si>
    <t>Salle de réunion - 30 personnes (11 + 1 extra gevraagd)</t>
  </si>
  <si>
    <t>Salle de réunion - 100 personnes (1 extra gevraagd)</t>
  </si>
  <si>
    <t>Archives 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</si>
</sst>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#,##0\ &quot;m² PA&quot;"/>
    <numFmt numFmtId="166" formatCode="#,##0.0"/>
    <numFmt numFmtId="167" formatCode="#,##0\ &quot;m²&quot;"/>
    <numFmt numFmtId="168" formatCode="&quot;1/&quot;0"/>
    <numFmt numFmtId="169" formatCode="&quot;RATIO PERS/ETP &quot;0.00"/>
    <numFmt numFmtId="170" formatCode="0\ &quot;min&quot;"/>
    <numFmt numFmtId="171" formatCode="&quot;/&quot;0"/>
  </numFmts>
  <fonts count="4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i/>
      <sz val="10"/>
      <color theme="0" tint="-0.2499465926084170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b/>
      <sz val="10"/>
      <color rgb="FFFA7D00"/>
      <name val="Arial"/>
      <family val="2"/>
    </font>
    <font>
      <sz val="10"/>
      <color theme="1" tint="0.499984740745262"/>
      <name val="Arial"/>
      <family val="2"/>
    </font>
    <font>
      <sz val="10"/>
      <color rgb="FFFA7D00"/>
      <name val="Arial"/>
      <family val="2"/>
    </font>
    <font>
      <i/>
      <sz val="10"/>
      <color rgb="FF7F7F7F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5"/>
      <color indexed="9"/>
      <name val="Arial"/>
      <family val="2"/>
    </font>
    <font>
      <sz val="10"/>
      <color indexed="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color indexed="8"/>
      <name val="Symbol"/>
      <family val="1"/>
      <charset val="2"/>
    </font>
    <font>
      <vertAlign val="superscript"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3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/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/>
      <top style="hair">
        <color auto="1"/>
      </top>
      <bottom style="hair">
        <color auto="1"/>
      </bottom>
      <diagonal/>
    </border>
    <border>
      <left style="thin">
        <color indexed="23"/>
      </left>
      <right/>
      <top style="hair">
        <color auto="1"/>
      </top>
      <bottom/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/>
      <diagonal style="thin">
        <color auto="1"/>
      </diagonal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3F3F3F"/>
      </top>
      <bottom style="hair">
        <color rgb="FF7F7F7F"/>
      </bottom>
      <diagonal/>
    </border>
    <border>
      <left style="thin">
        <color rgb="FF7F7F7F"/>
      </left>
      <right style="thin">
        <color auto="1"/>
      </right>
      <top style="hair">
        <color rgb="FF7F7F7F"/>
      </top>
      <bottom style="thin">
        <color rgb="FF3F3F3F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rgb="FF7F7F7F"/>
      </left>
      <right/>
      <top style="thin">
        <color rgb="FF7F7F7F"/>
      </top>
      <bottom style="hair">
        <color rgb="FF7F7F7F"/>
      </bottom>
      <diagonal/>
    </border>
    <border>
      <left/>
      <right/>
      <top style="thin">
        <color rgb="FF7F7F7F"/>
      </top>
      <bottom style="hair">
        <color rgb="FF7F7F7F"/>
      </bottom>
      <diagonal/>
    </border>
    <border>
      <left/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/>
      <top style="hair">
        <color rgb="FF7F7F7F"/>
      </top>
      <bottom style="thin">
        <color rgb="FF7F7F7F"/>
      </bottom>
      <diagonal/>
    </border>
    <border>
      <left/>
      <right/>
      <top style="hair">
        <color rgb="FF7F7F7F"/>
      </top>
      <bottom style="thin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Down="1">
      <left style="thin">
        <color auto="1"/>
      </left>
      <right style="medium">
        <color auto="1"/>
      </right>
      <top style="hair">
        <color auto="1"/>
      </top>
      <bottom/>
      <diagonal style="thin">
        <color auto="1"/>
      </diagonal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indexed="23"/>
      </left>
      <right/>
      <top style="medium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 diagonalDown="1">
      <left/>
      <right style="thin">
        <color auto="1"/>
      </right>
      <top style="medium">
        <color auto="1"/>
      </top>
      <bottom style="thin">
        <color rgb="FF7F7F7F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 style="thin">
        <color auto="1"/>
      </diagonal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 style="thin">
        <color rgb="FF3F3F3F"/>
      </right>
      <top/>
      <bottom style="hair">
        <color rgb="FF3F3F3F"/>
      </bottom>
      <diagonal/>
    </border>
    <border>
      <left/>
      <right/>
      <top/>
      <bottom style="hair">
        <color rgb="FF3F3F3F"/>
      </bottom>
      <diagonal/>
    </border>
    <border>
      <left/>
      <right/>
      <top style="hair">
        <color rgb="FF3F3F3F"/>
      </top>
      <bottom style="hair">
        <color rgb="FF3F3F3F"/>
      </bottom>
      <diagonal/>
    </border>
    <border>
      <left/>
      <right style="thin">
        <color rgb="FF3F3F3F"/>
      </right>
      <top style="hair">
        <color rgb="FF3F3F3F"/>
      </top>
      <bottom style="hair">
        <color rgb="FF3F3F3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auto="1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4">
    <xf numFmtId="0" fontId="0" fillId="0" borderId="0"/>
    <xf numFmtId="0" fontId="8" fillId="2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26" fillId="7" borderId="34" applyNumberFormat="0" applyAlignment="0" applyProtection="0"/>
    <xf numFmtId="0" fontId="32" fillId="8" borderId="34" applyNumberFormat="0" applyAlignment="0" applyProtection="0"/>
    <xf numFmtId="9" fontId="2" fillId="0" borderId="0" applyFont="0" applyFill="0" applyBorder="0" applyAlignment="0" applyProtection="0"/>
    <xf numFmtId="0" fontId="33" fillId="7" borderId="35" applyNumberFormat="0" applyAlignment="0" applyProtection="0"/>
    <xf numFmtId="0" fontId="33" fillId="7" borderId="36" applyNumberFormat="0" applyAlignment="0" applyProtection="0"/>
    <xf numFmtId="0" fontId="29" fillId="0" borderId="0" applyNumberFormat="0" applyFill="0" applyBorder="0" applyAlignment="0" applyProtection="0"/>
    <xf numFmtId="0" fontId="15" fillId="0" borderId="37" applyNumberFormat="0" applyFill="0" applyAlignment="0" applyProtection="0"/>
    <xf numFmtId="0" fontId="4" fillId="0" borderId="0"/>
    <xf numFmtId="0" fontId="24" fillId="0" borderId="56" applyNumberFormat="0" applyBorder="0" applyAlignment="0" applyProtection="0">
      <alignment vertical="top" wrapText="1"/>
    </xf>
    <xf numFmtId="0" fontId="20" fillId="10" borderId="64" applyNumberFormat="0" applyBorder="0" applyAlignment="0" applyProtection="0">
      <alignment vertical="top" wrapText="1"/>
    </xf>
    <xf numFmtId="0" fontId="27" fillId="0" borderId="101" applyNumberFormat="0" applyFill="0" applyAlignment="0" applyProtection="0"/>
    <xf numFmtId="0" fontId="28" fillId="0" borderId="102" applyNumberFormat="0" applyFill="0" applyAlignment="0" applyProtection="0"/>
    <xf numFmtId="0" fontId="30" fillId="11" borderId="103" applyNumberFormat="0" applyAlignment="0" applyProtection="0"/>
    <xf numFmtId="0" fontId="31" fillId="0" borderId="0" applyNumberFormat="0" applyFill="0" applyBorder="0" applyAlignment="0" applyProtection="0"/>
    <xf numFmtId="0" fontId="25" fillId="12" borderId="104" applyNumberFormat="0" applyAlignment="0" applyProtection="0"/>
    <xf numFmtId="0" fontId="1" fillId="0" borderId="0"/>
    <xf numFmtId="0" fontId="1" fillId="2" borderId="0" applyNumberFormat="0" applyBorder="0" applyAlignment="0" applyProtection="0"/>
    <xf numFmtId="0" fontId="10" fillId="7" borderId="34" applyNumberFormat="0" applyAlignment="0" applyProtection="0"/>
    <xf numFmtId="0" fontId="11" fillId="8" borderId="34" applyNumberFormat="0" applyAlignment="0" applyProtection="0"/>
    <xf numFmtId="0" fontId="13" fillId="7" borderId="35" applyNumberFormat="0" applyAlignment="0" applyProtection="0"/>
    <xf numFmtId="0" fontId="13" fillId="7" borderId="36" applyNumberFormat="0" applyFont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48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9" fontId="3" fillId="0" borderId="0" xfId="6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9" fontId="3" fillId="0" borderId="0" xfId="6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9" fontId="3" fillId="0" borderId="1" xfId="6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9" fontId="5" fillId="0" borderId="0" xfId="6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9" fontId="3" fillId="0" borderId="2" xfId="6" applyFont="1" applyBorder="1" applyAlignment="1">
      <alignment horizontal="center"/>
    </xf>
    <xf numFmtId="164" fontId="3" fillId="0" borderId="0" xfId="0" applyNumberFormat="1" applyFont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9" fontId="5" fillId="0" borderId="0" xfId="6" applyFont="1" applyBorder="1" applyAlignment="1">
      <alignment horizontal="center"/>
    </xf>
    <xf numFmtId="9" fontId="3" fillId="0" borderId="0" xfId="6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center"/>
    </xf>
    <xf numFmtId="3" fontId="3" fillId="0" borderId="0" xfId="6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2" fillId="8" borderId="34" xfId="5"/>
    <xf numFmtId="0" fontId="26" fillId="7" borderId="34" xfId="4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8" xfId="0" applyFont="1" applyBorder="1"/>
    <xf numFmtId="0" fontId="3" fillId="0" borderId="0" xfId="0" applyFont="1" applyBorder="1" applyAlignment="1">
      <alignment horizontal="right" textRotation="45"/>
    </xf>
    <xf numFmtId="0" fontId="3" fillId="0" borderId="9" xfId="0" applyFont="1" applyBorder="1" applyAlignment="1">
      <alignment horizontal="right" textRotation="45"/>
    </xf>
    <xf numFmtId="0" fontId="3" fillId="0" borderId="2" xfId="0" applyFont="1" applyBorder="1" applyAlignment="1">
      <alignment horizontal="right" textRotation="45"/>
    </xf>
    <xf numFmtId="9" fontId="3" fillId="0" borderId="9" xfId="6" applyFont="1" applyBorder="1" applyAlignment="1">
      <alignment horizontal="right" textRotation="45"/>
    </xf>
    <xf numFmtId="0" fontId="33" fillId="7" borderId="35" xfId="7"/>
    <xf numFmtId="1" fontId="32" fillId="8" borderId="10" xfId="5" applyNumberFormat="1" applyBorder="1" applyAlignment="1">
      <alignment horizontal="center"/>
    </xf>
    <xf numFmtId="1" fontId="32" fillId="8" borderId="11" xfId="5" applyNumberFormat="1" applyBorder="1" applyAlignment="1">
      <alignment horizontal="center"/>
    </xf>
    <xf numFmtId="0" fontId="32" fillId="8" borderId="10" xfId="5" applyBorder="1" applyAlignment="1">
      <alignment horizontal="center"/>
    </xf>
    <xf numFmtId="166" fontId="32" fillId="8" borderId="12" xfId="5" applyNumberFormat="1" applyBorder="1" applyAlignment="1">
      <alignment horizontal="center"/>
    </xf>
    <xf numFmtId="166" fontId="32" fillId="8" borderId="13" xfId="5" applyNumberFormat="1" applyBorder="1" applyAlignment="1">
      <alignment horizontal="center"/>
    </xf>
    <xf numFmtId="0" fontId="32" fillId="8" borderId="14" xfId="5" applyBorder="1" applyAlignment="1">
      <alignment horizontal="center"/>
    </xf>
    <xf numFmtId="0" fontId="32" fillId="8" borderId="11" xfId="5" applyBorder="1" applyAlignment="1">
      <alignment horizontal="center"/>
    </xf>
    <xf numFmtId="166" fontId="32" fillId="8" borderId="15" xfId="5" applyNumberFormat="1" applyBorder="1" applyAlignment="1">
      <alignment horizontal="center"/>
    </xf>
    <xf numFmtId="166" fontId="32" fillId="8" borderId="16" xfId="5" applyNumberFormat="1" applyBorder="1" applyAlignment="1">
      <alignment horizontal="center"/>
    </xf>
    <xf numFmtId="0" fontId="32" fillId="8" borderId="17" xfId="5" applyBorder="1" applyAlignment="1">
      <alignment horizontal="center"/>
    </xf>
    <xf numFmtId="0" fontId="5" fillId="0" borderId="18" xfId="0" applyFont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20" xfId="0" applyFont="1" applyBorder="1"/>
    <xf numFmtId="9" fontId="5" fillId="0" borderId="20" xfId="6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9" fontId="3" fillId="4" borderId="1" xfId="6" applyFont="1" applyFill="1" applyBorder="1" applyAlignment="1">
      <alignment horizontal="center"/>
    </xf>
    <xf numFmtId="0" fontId="3" fillId="4" borderId="3" xfId="0" applyFont="1" applyFill="1" applyBorder="1"/>
    <xf numFmtId="0" fontId="3" fillId="4" borderId="0" xfId="0" applyFont="1" applyFill="1" applyBorder="1"/>
    <xf numFmtId="0" fontId="0" fillId="0" borderId="3" xfId="0" applyBorder="1"/>
    <xf numFmtId="9" fontId="3" fillId="0" borderId="3" xfId="6" applyFont="1" applyBorder="1" applyAlignment="1">
      <alignment horizontal="center"/>
    </xf>
    <xf numFmtId="0" fontId="26" fillId="7" borderId="34" xfId="4"/>
    <xf numFmtId="0" fontId="5" fillId="0" borderId="20" xfId="0" applyFont="1" applyBorder="1" applyAlignment="1">
      <alignment horizontal="left"/>
    </xf>
    <xf numFmtId="9" fontId="5" fillId="4" borderId="0" xfId="6" applyFont="1" applyFill="1" applyAlignment="1">
      <alignment horizontal="center" vertical="top" wrapText="1"/>
    </xf>
    <xf numFmtId="0" fontId="5" fillId="0" borderId="20" xfId="0" applyFont="1" applyBorder="1" applyAlignment="1">
      <alignment horizontal="right"/>
    </xf>
    <xf numFmtId="0" fontId="0" fillId="0" borderId="0" xfId="0" applyBorder="1"/>
    <xf numFmtId="166" fontId="33" fillId="7" borderId="35" xfId="7" applyNumberFormat="1"/>
    <xf numFmtId="166" fontId="3" fillId="0" borderId="0" xfId="0" applyNumberFormat="1" applyFont="1"/>
    <xf numFmtId="166" fontId="3" fillId="0" borderId="3" xfId="0" applyNumberFormat="1" applyFont="1" applyBorder="1"/>
    <xf numFmtId="166" fontId="5" fillId="0" borderId="20" xfId="0" applyNumberFormat="1" applyFont="1" applyBorder="1"/>
    <xf numFmtId="166" fontId="3" fillId="0" borderId="0" xfId="0" applyNumberFormat="1" applyFont="1" applyBorder="1"/>
    <xf numFmtId="166" fontId="0" fillId="0" borderId="3" xfId="0" applyNumberFormat="1" applyBorder="1"/>
    <xf numFmtId="166" fontId="0" fillId="0" borderId="0" xfId="0" applyNumberFormat="1" applyBorder="1"/>
    <xf numFmtId="0" fontId="0" fillId="4" borderId="9" xfId="0" applyFont="1" applyFill="1" applyBorder="1" applyAlignment="1">
      <alignment horizontal="right" textRotation="45"/>
    </xf>
    <xf numFmtId="0" fontId="3" fillId="4" borderId="21" xfId="0" applyFont="1" applyFill="1" applyBorder="1" applyAlignment="1">
      <alignment horizontal="right" textRotation="45"/>
    </xf>
    <xf numFmtId="0" fontId="3" fillId="4" borderId="7" xfId="0" applyFont="1" applyFill="1" applyBorder="1" applyAlignment="1">
      <alignment horizontal="center" textRotation="90"/>
    </xf>
    <xf numFmtId="0" fontId="3" fillId="4" borderId="0" xfId="0" applyFont="1" applyFill="1" applyBorder="1" applyAlignment="1">
      <alignment horizontal="center" textRotation="90"/>
    </xf>
    <xf numFmtId="0" fontId="5" fillId="0" borderId="5" xfId="0" applyFont="1" applyBorder="1" applyAlignment="1">
      <alignment horizontal="center"/>
    </xf>
    <xf numFmtId="0" fontId="32" fillId="8" borderId="34" xfId="5" applyAlignment="1">
      <alignment horizontal="center"/>
    </xf>
    <xf numFmtId="0" fontId="3" fillId="0" borderId="0" xfId="0" applyFont="1" applyBorder="1" applyAlignment="1">
      <alignment horizontal="center" textRotation="45"/>
    </xf>
    <xf numFmtId="164" fontId="26" fillId="7" borderId="15" xfId="4" applyNumberFormat="1" applyBorder="1" applyAlignment="1">
      <alignment horizontal="center"/>
    </xf>
    <xf numFmtId="0" fontId="3" fillId="0" borderId="22" xfId="0" applyFont="1" applyBorder="1" applyAlignment="1">
      <alignment horizontal="center" textRotation="45"/>
    </xf>
    <xf numFmtId="0" fontId="3" fillId="0" borderId="23" xfId="0" applyFont="1" applyBorder="1" applyAlignment="1">
      <alignment horizontal="center" textRotation="90"/>
    </xf>
    <xf numFmtId="164" fontId="5" fillId="0" borderId="24" xfId="0" applyNumberFormat="1" applyFont="1" applyBorder="1" applyAlignment="1">
      <alignment horizontal="center"/>
    </xf>
    <xf numFmtId="167" fontId="33" fillId="7" borderId="35" xfId="7" applyNumberFormat="1"/>
    <xf numFmtId="166" fontId="26" fillId="7" borderId="34" xfId="4" applyNumberFormat="1"/>
    <xf numFmtId="167" fontId="3" fillId="0" borderId="0" xfId="0" applyNumberFormat="1" applyFont="1" applyAlignment="1">
      <alignment horizontal="right"/>
    </xf>
    <xf numFmtId="1" fontId="33" fillId="7" borderId="35" xfId="7" applyNumberFormat="1"/>
    <xf numFmtId="0" fontId="3" fillId="0" borderId="25" xfId="0" applyFont="1" applyBorder="1" applyAlignment="1">
      <alignment horizontal="center" textRotation="45"/>
    </xf>
    <xf numFmtId="0" fontId="3" fillId="4" borderId="0" xfId="0" applyFont="1" applyFill="1"/>
    <xf numFmtId="0" fontId="29" fillId="0" borderId="0" xfId="9"/>
    <xf numFmtId="0" fontId="7" fillId="0" borderId="0" xfId="0" applyFont="1"/>
    <xf numFmtId="0" fontId="7" fillId="0" borderId="0" xfId="0" applyFont="1" applyAlignment="1">
      <alignment textRotation="45"/>
    </xf>
    <xf numFmtId="0" fontId="0" fillId="0" borderId="22" xfId="0" applyBorder="1" applyAlignment="1">
      <alignment horizontal="center" textRotation="45"/>
    </xf>
    <xf numFmtId="0" fontId="0" fillId="0" borderId="4" xfId="0" applyBorder="1"/>
    <xf numFmtId="0" fontId="32" fillId="8" borderId="26" xfId="5" applyBorder="1"/>
    <xf numFmtId="0" fontId="32" fillId="8" borderId="27" xfId="5" applyBorder="1"/>
    <xf numFmtId="0" fontId="0" fillId="0" borderId="5" xfId="0" applyBorder="1"/>
    <xf numFmtId="0" fontId="0" fillId="0" borderId="0" xfId="0" applyAlignment="1">
      <alignment horizontal="center"/>
    </xf>
    <xf numFmtId="49" fontId="0" fillId="0" borderId="28" xfId="0" applyNumberFormat="1" applyBorder="1" applyAlignment="1">
      <alignment horizontal="center" vertical="center"/>
    </xf>
    <xf numFmtId="49" fontId="8" fillId="2" borderId="29" xfId="1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8" fillId="2" borderId="23" xfId="1" applyNumberFormat="1" applyBorder="1" applyAlignment="1">
      <alignment horizontal="center" vertical="center"/>
    </xf>
    <xf numFmtId="49" fontId="32" fillId="8" borderId="34" xfId="5" applyNumberFormat="1" applyAlignment="1">
      <alignment horizontal="center" vertical="center"/>
    </xf>
    <xf numFmtId="0" fontId="29" fillId="0" borderId="0" xfId="9" quotePrefix="1" applyAlignment="1">
      <alignment horizontal="center"/>
    </xf>
    <xf numFmtId="0" fontId="29" fillId="0" borderId="0" xfId="9" applyAlignment="1">
      <alignment horizontal="center"/>
    </xf>
    <xf numFmtId="49" fontId="32" fillId="8" borderId="34" xfId="5" quotePrefix="1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6" fillId="8" borderId="34" xfId="5" applyFont="1"/>
    <xf numFmtId="0" fontId="0" fillId="0" borderId="3" xfId="0" applyBorder="1"/>
    <xf numFmtId="0" fontId="32" fillId="8" borderId="31" xfId="5" applyBorder="1" applyAlignment="1">
      <alignment horizontal="center"/>
    </xf>
    <xf numFmtId="0" fontId="0" fillId="0" borderId="0" xfId="0" applyFill="1"/>
    <xf numFmtId="0" fontId="32" fillId="8" borderId="32" xfId="5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6" fillId="7" borderId="38" xfId="4" applyBorder="1" applyAlignment="1">
      <alignment horizontal="center"/>
    </xf>
    <xf numFmtId="0" fontId="26" fillId="7" borderId="39" xfId="4" applyBorder="1" applyAlignment="1">
      <alignment horizontal="center"/>
    </xf>
    <xf numFmtId="3" fontId="33" fillId="7" borderId="40" xfId="7" applyNumberFormat="1" applyBorder="1" applyAlignment="1">
      <alignment horizontal="center"/>
    </xf>
    <xf numFmtId="0" fontId="33" fillId="7" borderId="41" xfId="7" applyBorder="1" applyAlignment="1">
      <alignment horizontal="center"/>
    </xf>
    <xf numFmtId="3" fontId="26" fillId="7" borderId="38" xfId="4" applyNumberFormat="1" applyBorder="1" applyAlignment="1">
      <alignment horizontal="center"/>
    </xf>
    <xf numFmtId="0" fontId="26" fillId="7" borderId="39" xfId="4" applyBorder="1" applyAlignment="1">
      <alignment horizontal="center" vertical="center"/>
    </xf>
    <xf numFmtId="3" fontId="33" fillId="7" borderId="38" xfId="7" applyNumberFormat="1" applyBorder="1" applyAlignment="1">
      <alignment horizontal="center"/>
    </xf>
    <xf numFmtId="0" fontId="33" fillId="7" borderId="39" xfId="7" applyBorder="1" applyAlignment="1">
      <alignment horizontal="center"/>
    </xf>
    <xf numFmtId="0" fontId="33" fillId="7" borderId="36" xfId="8"/>
    <xf numFmtId="0" fontId="33" fillId="7" borderId="36" xfId="8" applyAlignment="1">
      <alignment horizontal="center"/>
    </xf>
    <xf numFmtId="0" fontId="12" fillId="7" borderId="36" xfId="8" applyFont="1"/>
    <xf numFmtId="0" fontId="16" fillId="7" borderId="36" xfId="8" applyFont="1"/>
    <xf numFmtId="9" fontId="32" fillId="8" borderId="34" xfId="5" applyNumberFormat="1" applyAlignment="1">
      <alignment horizontal="center"/>
    </xf>
    <xf numFmtId="9" fontId="10" fillId="7" borderId="38" xfId="6" applyFont="1" applyFill="1" applyBorder="1" applyAlignment="1">
      <alignment horizontal="center"/>
    </xf>
    <xf numFmtId="9" fontId="13" fillId="7" borderId="38" xfId="6" applyFont="1" applyFill="1" applyBorder="1" applyAlignment="1">
      <alignment horizontal="center"/>
    </xf>
    <xf numFmtId="0" fontId="0" fillId="0" borderId="0" xfId="0" applyAlignment="1"/>
    <xf numFmtId="0" fontId="33" fillId="7" borderId="35" xfId="7" applyAlignment="1">
      <alignment horizontal="center"/>
    </xf>
    <xf numFmtId="0" fontId="24" fillId="0" borderId="56" xfId="12" applyBorder="1" applyAlignment="1">
      <alignment vertical="top"/>
    </xf>
    <xf numFmtId="0" fontId="24" fillId="0" borderId="62" xfId="12" applyBorder="1" applyAlignment="1">
      <alignment vertical="top"/>
    </xf>
    <xf numFmtId="0" fontId="24" fillId="0" borderId="0" xfId="12" applyBorder="1" applyAlignment="1">
      <alignment vertical="top"/>
    </xf>
    <xf numFmtId="0" fontId="24" fillId="0" borderId="59" xfId="12" applyBorder="1" applyAlignment="1">
      <alignment vertical="top"/>
    </xf>
    <xf numFmtId="0" fontId="24" fillId="0" borderId="74" xfId="12" applyBorder="1" applyAlignment="1">
      <alignment vertical="top"/>
    </xf>
    <xf numFmtId="0" fontId="24" fillId="0" borderId="64" xfId="12" applyBorder="1" applyAlignment="1">
      <alignment vertical="top"/>
    </xf>
    <xf numFmtId="0" fontId="24" fillId="0" borderId="68" xfId="12" applyBorder="1" applyAlignment="1">
      <alignment vertical="top"/>
    </xf>
    <xf numFmtId="0" fontId="24" fillId="0" borderId="66" xfId="12" applyBorder="1" applyAlignment="1">
      <alignment vertical="top"/>
    </xf>
    <xf numFmtId="0" fontId="24" fillId="0" borderId="57" xfId="12" applyBorder="1" applyAlignment="1">
      <alignment vertical="top"/>
    </xf>
    <xf numFmtId="0" fontId="24" fillId="0" borderId="70" xfId="12" applyBorder="1" applyAlignment="1">
      <alignment vertical="top"/>
    </xf>
    <xf numFmtId="0" fontId="24" fillId="0" borderId="63" xfId="12" applyBorder="1" applyAlignment="1">
      <alignment vertical="top"/>
    </xf>
    <xf numFmtId="0" fontId="24" fillId="0" borderId="0" xfId="12" applyBorder="1" applyAlignment="1"/>
    <xf numFmtId="0" fontId="24" fillId="0" borderId="62" xfId="12" applyBorder="1" applyAlignment="1"/>
    <xf numFmtId="0" fontId="9" fillId="6" borderId="56" xfId="3" applyFont="1" applyBorder="1" applyAlignment="1">
      <alignment vertical="top"/>
    </xf>
    <xf numFmtId="0" fontId="9" fillId="6" borderId="62" xfId="3" applyFont="1" applyBorder="1" applyAlignment="1">
      <alignment vertical="top"/>
    </xf>
    <xf numFmtId="0" fontId="9" fillId="5" borderId="0" xfId="2" applyFont="1" applyBorder="1" applyAlignment="1">
      <alignment vertical="top"/>
    </xf>
    <xf numFmtId="0" fontId="9" fillId="5" borderId="56" xfId="2" applyFont="1" applyBorder="1" applyAlignment="1">
      <alignment vertical="top"/>
    </xf>
    <xf numFmtId="0" fontId="9" fillId="5" borderId="76" xfId="2" applyFont="1" applyBorder="1" applyAlignment="1">
      <alignment vertical="top"/>
    </xf>
    <xf numFmtId="0" fontId="9" fillId="6" borderId="54" xfId="3" applyFont="1" applyBorder="1" applyAlignment="1">
      <alignment vertical="top"/>
    </xf>
    <xf numFmtId="0" fontId="9" fillId="6" borderId="60" xfId="3" applyFont="1" applyBorder="1" applyAlignment="1">
      <alignment vertical="top"/>
    </xf>
    <xf numFmtId="0" fontId="9" fillId="5" borderId="61" xfId="2" applyFont="1" applyBorder="1" applyAlignment="1">
      <alignment vertical="top"/>
    </xf>
    <xf numFmtId="0" fontId="9" fillId="5" borderId="54" xfId="2" applyFont="1" applyBorder="1" applyAlignment="1">
      <alignment vertical="top"/>
    </xf>
    <xf numFmtId="0" fontId="9" fillId="5" borderId="72" xfId="2" applyFont="1" applyBorder="1" applyAlignment="1">
      <alignment vertical="top"/>
    </xf>
    <xf numFmtId="0" fontId="9" fillId="5" borderId="78" xfId="2" applyFont="1" applyBorder="1" applyAlignment="1">
      <alignment vertical="top"/>
    </xf>
    <xf numFmtId="0" fontId="9" fillId="5" borderId="73" xfId="2" applyFont="1" applyBorder="1" applyAlignment="1">
      <alignment vertical="top"/>
    </xf>
    <xf numFmtId="0" fontId="9" fillId="5" borderId="82" xfId="2" applyFont="1" applyBorder="1" applyAlignment="1">
      <alignment vertical="top"/>
    </xf>
    <xf numFmtId="0" fontId="9" fillId="6" borderId="67" xfId="3" applyFont="1" applyBorder="1" applyAlignment="1">
      <alignment vertical="top"/>
    </xf>
    <xf numFmtId="0" fontId="9" fillId="6" borderId="55" xfId="3" applyFont="1" applyBorder="1" applyAlignment="1">
      <alignment vertical="top"/>
    </xf>
    <xf numFmtId="0" fontId="9" fillId="5" borderId="67" xfId="2" applyFont="1" applyBorder="1" applyAlignment="1">
      <alignment vertical="top"/>
    </xf>
    <xf numFmtId="0" fontId="9" fillId="5" borderId="83" xfId="2" applyFont="1" applyBorder="1" applyAlignment="1">
      <alignment vertical="top"/>
    </xf>
    <xf numFmtId="0" fontId="9" fillId="5" borderId="79" xfId="2" applyFont="1" applyBorder="1" applyAlignment="1">
      <alignment vertical="top"/>
    </xf>
    <xf numFmtId="0" fontId="9" fillId="6" borderId="71" xfId="3" applyFont="1" applyBorder="1" applyAlignment="1">
      <alignment vertical="top"/>
    </xf>
    <xf numFmtId="0" fontId="21" fillId="4" borderId="0" xfId="11" applyFont="1" applyFill="1" applyBorder="1" applyAlignment="1"/>
    <xf numFmtId="0" fontId="21" fillId="4" borderId="0" xfId="11" applyFont="1" applyFill="1" applyBorder="1" applyAlignment="1">
      <alignment horizontal="center"/>
    </xf>
    <xf numFmtId="0" fontId="21" fillId="4" borderId="0" xfId="11" applyFont="1" applyFill="1" applyBorder="1" applyAlignment="1">
      <alignment horizontal="left"/>
    </xf>
    <xf numFmtId="0" fontId="21" fillId="0" borderId="0" xfId="11" applyFont="1" applyBorder="1" applyAlignment="1"/>
    <xf numFmtId="0" fontId="22" fillId="4" borderId="20" xfId="0" applyFont="1" applyFill="1" applyBorder="1" applyAlignment="1">
      <alignment horizontal="left"/>
    </xf>
    <xf numFmtId="0" fontId="22" fillId="4" borderId="20" xfId="0" applyFont="1" applyFill="1" applyBorder="1"/>
    <xf numFmtId="9" fontId="22" fillId="4" borderId="20" xfId="6" applyFont="1" applyFill="1" applyBorder="1" applyAlignment="1">
      <alignment horizontal="center"/>
    </xf>
    <xf numFmtId="0" fontId="23" fillId="10" borderId="83" xfId="13" applyFont="1" applyBorder="1" applyAlignment="1">
      <alignment vertical="top"/>
    </xf>
    <xf numFmtId="0" fontId="23" fillId="10" borderId="62" xfId="13" applyFont="1" applyBorder="1" applyAlignment="1">
      <alignment vertical="top"/>
    </xf>
    <xf numFmtId="0" fontId="23" fillId="10" borderId="62" xfId="13" applyFont="1" applyBorder="1" applyAlignment="1">
      <alignment horizontal="center" vertical="top"/>
    </xf>
    <xf numFmtId="0" fontId="23" fillId="10" borderId="62" xfId="13" applyFont="1" applyBorder="1" applyAlignment="1">
      <alignment horizontal="left" vertical="top"/>
    </xf>
    <xf numFmtId="0" fontId="21" fillId="0" borderId="0" xfId="11" applyFont="1" applyAlignment="1"/>
    <xf numFmtId="0" fontId="21" fillId="0" borderId="68" xfId="11" applyFont="1" applyBorder="1" applyAlignment="1">
      <alignment vertical="top"/>
    </xf>
    <xf numFmtId="0" fontId="21" fillId="0" borderId="62" xfId="11" applyFont="1" applyBorder="1" applyAlignment="1">
      <alignment vertical="top"/>
    </xf>
    <xf numFmtId="0" fontId="21" fillId="0" borderId="62" xfId="11" applyFont="1" applyBorder="1" applyAlignment="1">
      <alignment horizontal="center" vertical="top"/>
    </xf>
    <xf numFmtId="0" fontId="21" fillId="0" borderId="62" xfId="11" applyFont="1" applyBorder="1" applyAlignment="1">
      <alignment horizontal="left" vertical="top"/>
    </xf>
    <xf numFmtId="0" fontId="23" fillId="10" borderId="66" xfId="13" applyFont="1" applyBorder="1" applyAlignment="1">
      <alignment vertical="top"/>
    </xf>
    <xf numFmtId="0" fontId="23" fillId="10" borderId="65" xfId="13" applyFont="1" applyBorder="1" applyAlignment="1">
      <alignment vertical="top"/>
    </xf>
    <xf numFmtId="0" fontId="23" fillId="10" borderId="65" xfId="13" quotePrefix="1" applyFont="1" applyBorder="1" applyAlignment="1">
      <alignment horizontal="center" vertical="top"/>
    </xf>
    <xf numFmtId="0" fontId="23" fillId="10" borderId="65" xfId="13" applyFont="1" applyBorder="1" applyAlignment="1">
      <alignment horizontal="center" vertical="top"/>
    </xf>
    <xf numFmtId="0" fontId="23" fillId="10" borderId="65" xfId="13" applyFont="1" applyBorder="1" applyAlignment="1">
      <alignment horizontal="left" vertical="top"/>
    </xf>
    <xf numFmtId="0" fontId="21" fillId="0" borderId="79" xfId="11" applyFont="1" applyBorder="1" applyAlignment="1">
      <alignment vertical="top"/>
    </xf>
    <xf numFmtId="0" fontId="21" fillId="0" borderId="77" xfId="11" applyFont="1" applyBorder="1" applyAlignment="1">
      <alignment vertical="top"/>
    </xf>
    <xf numFmtId="0" fontId="21" fillId="0" borderId="77" xfId="11" applyFont="1" applyBorder="1" applyAlignment="1">
      <alignment horizontal="center" vertical="top"/>
    </xf>
    <xf numFmtId="0" fontId="21" fillId="0" borderId="77" xfId="11" applyFont="1" applyBorder="1" applyAlignment="1">
      <alignment horizontal="left" vertical="top"/>
    </xf>
    <xf numFmtId="0" fontId="23" fillId="10" borderId="68" xfId="13" applyFont="1" applyBorder="1" applyAlignment="1">
      <alignment vertical="top"/>
    </xf>
    <xf numFmtId="0" fontId="21" fillId="0" borderId="67" xfId="11" applyFont="1" applyBorder="1" applyAlignment="1">
      <alignment vertical="top"/>
    </xf>
    <xf numFmtId="0" fontId="21" fillId="0" borderId="60" xfId="11" applyFont="1" applyBorder="1" applyAlignment="1">
      <alignment vertical="top"/>
    </xf>
    <xf numFmtId="0" fontId="21" fillId="0" borderId="60" xfId="11" applyFont="1" applyBorder="1" applyAlignment="1">
      <alignment horizontal="center" vertical="top"/>
    </xf>
    <xf numFmtId="0" fontId="21" fillId="0" borderId="60" xfId="11" applyFont="1" applyBorder="1" applyAlignment="1">
      <alignment horizontal="left" vertical="top"/>
    </xf>
    <xf numFmtId="0" fontId="21" fillId="0" borderId="75" xfId="11" applyFont="1" applyBorder="1" applyAlignment="1">
      <alignment horizontal="center" vertical="top"/>
    </xf>
    <xf numFmtId="0" fontId="21" fillId="0" borderId="75" xfId="11" applyFont="1" applyBorder="1" applyAlignment="1">
      <alignment horizontal="left" vertical="top"/>
    </xf>
    <xf numFmtId="0" fontId="23" fillId="10" borderId="79" xfId="13" applyFont="1" applyBorder="1" applyAlignment="1">
      <alignment vertical="top"/>
    </xf>
    <xf numFmtId="0" fontId="23" fillId="10" borderId="77" xfId="13" applyFont="1" applyBorder="1" applyAlignment="1">
      <alignment vertical="top"/>
    </xf>
    <xf numFmtId="0" fontId="23" fillId="10" borderId="77" xfId="13" applyFont="1" applyBorder="1" applyAlignment="1">
      <alignment horizontal="center" vertical="top"/>
    </xf>
    <xf numFmtId="0" fontId="23" fillId="10" borderId="80" xfId="13" applyFont="1" applyBorder="1" applyAlignment="1">
      <alignment vertical="top"/>
    </xf>
    <xf numFmtId="0" fontId="23" fillId="10" borderId="81" xfId="13" applyFont="1" applyBorder="1" applyAlignment="1">
      <alignment vertical="top"/>
    </xf>
    <xf numFmtId="0" fontId="23" fillId="10" borderId="81" xfId="13" applyFont="1" applyBorder="1" applyAlignment="1">
      <alignment horizontal="center" vertical="top"/>
    </xf>
    <xf numFmtId="0" fontId="23" fillId="10" borderId="81" xfId="13" applyFont="1" applyBorder="1" applyAlignment="1">
      <alignment horizontal="left" vertical="top"/>
    </xf>
    <xf numFmtId="0" fontId="21" fillId="0" borderId="57" xfId="11" applyFont="1" applyBorder="1" applyAlignment="1">
      <alignment vertical="top"/>
    </xf>
    <xf numFmtId="0" fontId="21" fillId="0" borderId="57" xfId="11" applyFont="1" applyBorder="1" applyAlignment="1">
      <alignment horizontal="center" vertical="top"/>
    </xf>
    <xf numFmtId="0" fontId="21" fillId="0" borderId="57" xfId="11" applyFont="1" applyBorder="1" applyAlignment="1">
      <alignment horizontal="left" vertical="top"/>
    </xf>
    <xf numFmtId="0" fontId="23" fillId="10" borderId="69" xfId="13" applyFont="1" applyBorder="1" applyAlignment="1">
      <alignment vertical="top"/>
    </xf>
    <xf numFmtId="0" fontId="23" fillId="10" borderId="69" xfId="13" applyFont="1" applyBorder="1" applyAlignment="1">
      <alignment horizontal="center" vertical="top"/>
    </xf>
    <xf numFmtId="0" fontId="23" fillId="10" borderId="69" xfId="13" applyFont="1" applyBorder="1" applyAlignment="1">
      <alignment horizontal="left" vertical="top"/>
    </xf>
    <xf numFmtId="0" fontId="23" fillId="10" borderId="84" xfId="13" applyFont="1" applyBorder="1" applyAlignment="1">
      <alignment vertical="top"/>
    </xf>
    <xf numFmtId="0" fontId="23" fillId="10" borderId="57" xfId="13" applyFont="1" applyBorder="1" applyAlignment="1">
      <alignment vertical="top"/>
    </xf>
    <xf numFmtId="0" fontId="23" fillId="10" borderId="57" xfId="13" applyFont="1" applyBorder="1" applyAlignment="1">
      <alignment horizontal="center" vertical="top"/>
    </xf>
    <xf numFmtId="0" fontId="23" fillId="10" borderId="57" xfId="13" applyFont="1" applyBorder="1" applyAlignment="1">
      <alignment horizontal="left" vertical="top"/>
    </xf>
    <xf numFmtId="0" fontId="21" fillId="0" borderId="68" xfId="11" applyFont="1" applyBorder="1" applyAlignment="1"/>
    <xf numFmtId="0" fontId="21" fillId="0" borderId="0" xfId="11" applyFont="1" applyAlignment="1">
      <alignment vertical="top"/>
    </xf>
    <xf numFmtId="0" fontId="21" fillId="0" borderId="0" xfId="11" applyFont="1" applyAlignment="1">
      <alignment horizontal="center" vertical="top"/>
    </xf>
    <xf numFmtId="0" fontId="21" fillId="0" borderId="0" xfId="11" applyFont="1" applyAlignment="1">
      <alignment horizontal="left" vertical="top"/>
    </xf>
    <xf numFmtId="0" fontId="21" fillId="0" borderId="0" xfId="11" applyFont="1" applyAlignment="1">
      <alignment horizontal="center"/>
    </xf>
    <xf numFmtId="0" fontId="21" fillId="0" borderId="0" xfId="11" applyFont="1" applyAlignment="1">
      <alignment horizontal="left"/>
    </xf>
    <xf numFmtId="0" fontId="9" fillId="5" borderId="58" xfId="2" applyFont="1" applyBorder="1" applyAlignment="1">
      <alignment vertical="top"/>
    </xf>
    <xf numFmtId="0" fontId="23" fillId="10" borderId="85" xfId="13" applyFont="1" applyBorder="1" applyAlignment="1">
      <alignment vertical="top"/>
    </xf>
    <xf numFmtId="0" fontId="23" fillId="10" borderId="85" xfId="13" applyFont="1" applyBorder="1" applyAlignment="1">
      <alignment horizontal="center" vertical="top"/>
    </xf>
    <xf numFmtId="0" fontId="23" fillId="10" borderId="85" xfId="13" applyFont="1" applyBorder="1" applyAlignment="1">
      <alignment horizontal="left" vertical="top"/>
    </xf>
    <xf numFmtId="0" fontId="21" fillId="0" borderId="87" xfId="11" applyFont="1" applyBorder="1" applyAlignment="1">
      <alignment vertical="top"/>
    </xf>
    <xf numFmtId="0" fontId="21" fillId="0" borderId="88" xfId="11" applyFont="1" applyBorder="1" applyAlignment="1">
      <alignment vertical="top"/>
    </xf>
    <xf numFmtId="0" fontId="21" fillId="0" borderId="88" xfId="11" applyFont="1" applyBorder="1" applyAlignment="1">
      <alignment horizontal="center" vertical="top"/>
    </xf>
    <xf numFmtId="0" fontId="21" fillId="0" borderId="88" xfId="11" applyFont="1" applyBorder="1" applyAlignment="1">
      <alignment horizontal="left" vertical="top"/>
    </xf>
    <xf numFmtId="0" fontId="21" fillId="0" borderId="90" xfId="11" applyFont="1" applyBorder="1" applyAlignment="1">
      <alignment vertical="top"/>
    </xf>
    <xf numFmtId="0" fontId="21" fillId="0" borderId="91" xfId="11" applyFont="1" applyBorder="1" applyAlignment="1">
      <alignment vertical="top"/>
    </xf>
    <xf numFmtId="0" fontId="21" fillId="0" borderId="91" xfId="11" applyFont="1" applyBorder="1" applyAlignment="1">
      <alignment horizontal="center" vertical="top"/>
    </xf>
    <xf numFmtId="0" fontId="21" fillId="0" borderId="91" xfId="11" applyFont="1" applyBorder="1" applyAlignment="1">
      <alignment horizontal="left" vertical="top"/>
    </xf>
    <xf numFmtId="0" fontId="21" fillId="0" borderId="93" xfId="11" applyFont="1" applyBorder="1" applyAlignment="1">
      <alignment vertical="top"/>
    </xf>
    <xf numFmtId="0" fontId="21" fillId="0" borderId="94" xfId="11" applyFont="1" applyBorder="1" applyAlignment="1">
      <alignment vertical="top"/>
    </xf>
    <xf numFmtId="0" fontId="21" fillId="0" borderId="94" xfId="11" applyFont="1" applyBorder="1" applyAlignment="1">
      <alignment horizontal="center" vertical="top"/>
    </xf>
    <xf numFmtId="0" fontId="21" fillId="0" borderId="94" xfId="11" applyFont="1" applyBorder="1" applyAlignment="1">
      <alignment horizontal="left" vertical="top"/>
    </xf>
    <xf numFmtId="0" fontId="21" fillId="0" borderId="95" xfId="11" applyFont="1" applyBorder="1" applyAlignment="1">
      <alignment vertical="top"/>
    </xf>
    <xf numFmtId="0" fontId="21" fillId="0" borderId="96" xfId="11" applyFont="1" applyBorder="1" applyAlignment="1">
      <alignment vertical="top"/>
    </xf>
    <xf numFmtId="0" fontId="21" fillId="0" borderId="96" xfId="11" applyFont="1" applyBorder="1" applyAlignment="1">
      <alignment horizontal="center" vertical="top"/>
    </xf>
    <xf numFmtId="0" fontId="21" fillId="0" borderId="96" xfId="11" applyFont="1" applyBorder="1" applyAlignment="1">
      <alignment horizontal="left" vertical="top"/>
    </xf>
    <xf numFmtId="0" fontId="20" fillId="10" borderId="90" xfId="13" applyBorder="1" applyAlignment="1">
      <alignment vertical="top"/>
    </xf>
    <xf numFmtId="0" fontId="20" fillId="10" borderId="91" xfId="13" applyBorder="1" applyAlignment="1">
      <alignment vertical="top"/>
    </xf>
    <xf numFmtId="0" fontId="20" fillId="10" borderId="91" xfId="13" applyBorder="1" applyAlignment="1">
      <alignment horizontal="center" vertical="top"/>
    </xf>
    <xf numFmtId="0" fontId="20" fillId="10" borderId="91" xfId="13" applyBorder="1" applyAlignment="1">
      <alignment horizontal="left" vertical="top"/>
    </xf>
    <xf numFmtId="0" fontId="23" fillId="10" borderId="93" xfId="13" applyFont="1" applyBorder="1" applyAlignment="1">
      <alignment vertical="top"/>
    </xf>
    <xf numFmtId="0" fontId="23" fillId="10" borderId="94" xfId="13" applyFont="1" applyBorder="1" applyAlignment="1">
      <alignment vertical="top"/>
    </xf>
    <xf numFmtId="0" fontId="23" fillId="10" borderId="94" xfId="13" applyFont="1" applyBorder="1" applyAlignment="1">
      <alignment horizontal="center" vertical="top"/>
    </xf>
    <xf numFmtId="0" fontId="23" fillId="10" borderId="94" xfId="13" applyFont="1" applyBorder="1" applyAlignment="1">
      <alignment horizontal="left" vertical="top"/>
    </xf>
    <xf numFmtId="0" fontId="23" fillId="10" borderId="87" xfId="13" applyFont="1" applyBorder="1" applyAlignment="1">
      <alignment vertical="top"/>
    </xf>
    <xf numFmtId="0" fontId="23" fillId="10" borderId="88" xfId="13" applyFont="1" applyBorder="1" applyAlignment="1">
      <alignment vertical="top"/>
    </xf>
    <xf numFmtId="0" fontId="23" fillId="10" borderId="88" xfId="13" applyFont="1" applyBorder="1" applyAlignment="1">
      <alignment horizontal="center" vertical="top"/>
    </xf>
    <xf numFmtId="0" fontId="23" fillId="10" borderId="88" xfId="13" applyFont="1" applyBorder="1" applyAlignment="1">
      <alignment horizontal="left" vertical="top"/>
    </xf>
    <xf numFmtId="0" fontId="21" fillId="0" borderId="97" xfId="11" applyFont="1" applyBorder="1" applyAlignment="1">
      <alignment vertical="top"/>
    </xf>
    <xf numFmtId="0" fontId="21" fillId="0" borderId="97" xfId="11" applyFont="1" applyBorder="1" applyAlignment="1">
      <alignment horizontal="center" vertical="top"/>
    </xf>
    <xf numFmtId="0" fontId="21" fillId="0" borderId="97" xfId="11" applyFont="1" applyBorder="1" applyAlignment="1">
      <alignment horizontal="left" vertical="top"/>
    </xf>
    <xf numFmtId="0" fontId="21" fillId="0" borderId="98" xfId="11" applyFont="1" applyBorder="1" applyAlignment="1">
      <alignment vertical="top"/>
    </xf>
    <xf numFmtId="0" fontId="21" fillId="0" borderId="98" xfId="11" applyFont="1" applyBorder="1" applyAlignment="1">
      <alignment horizontal="center" vertical="top"/>
    </xf>
    <xf numFmtId="0" fontId="21" fillId="0" borderId="98" xfId="11" applyFont="1" applyBorder="1" applyAlignment="1">
      <alignment horizontal="left" vertical="top"/>
    </xf>
    <xf numFmtId="0" fontId="21" fillId="0" borderId="99" xfId="11" applyFont="1" applyBorder="1" applyAlignment="1">
      <alignment vertical="top"/>
    </xf>
    <xf numFmtId="0" fontId="21" fillId="0" borderId="99" xfId="11" applyFont="1" applyBorder="1" applyAlignment="1">
      <alignment horizontal="center" vertical="top"/>
    </xf>
    <xf numFmtId="0" fontId="21" fillId="0" borderId="99" xfId="11" applyFont="1" applyBorder="1" applyAlignment="1">
      <alignment horizontal="left" vertical="top"/>
    </xf>
    <xf numFmtId="0" fontId="23" fillId="10" borderId="95" xfId="13" applyFont="1" applyBorder="1" applyAlignment="1">
      <alignment vertical="top"/>
    </xf>
    <xf numFmtId="0" fontId="23" fillId="10" borderId="100" xfId="13" applyFont="1" applyBorder="1" applyAlignment="1"/>
    <xf numFmtId="0" fontId="23" fillId="10" borderId="100" xfId="13" applyFont="1" applyBorder="1" applyAlignment="1">
      <alignment horizontal="center"/>
    </xf>
    <xf numFmtId="0" fontId="23" fillId="10" borderId="100" xfId="13" applyFont="1" applyBorder="1" applyAlignment="1">
      <alignment horizontal="left"/>
    </xf>
    <xf numFmtId="0" fontId="23" fillId="10" borderId="96" xfId="13" applyFont="1" applyBorder="1" applyAlignment="1">
      <alignment vertical="top"/>
    </xf>
    <xf numFmtId="0" fontId="23" fillId="10" borderId="96" xfId="13" applyFont="1" applyBorder="1" applyAlignment="1">
      <alignment horizontal="center" vertical="top"/>
    </xf>
    <xf numFmtId="0" fontId="23" fillId="10" borderId="96" xfId="13" applyFont="1" applyBorder="1" applyAlignment="1">
      <alignment horizontal="left" vertical="top"/>
    </xf>
    <xf numFmtId="0" fontId="23" fillId="10" borderId="92" xfId="13" applyFont="1" applyBorder="1" applyAlignment="1">
      <alignment horizontal="left" vertical="top"/>
    </xf>
    <xf numFmtId="0" fontId="23" fillId="10" borderId="92" xfId="13" applyFont="1" applyBorder="1" applyAlignment="1">
      <alignment horizontal="center" vertical="top"/>
    </xf>
    <xf numFmtId="0" fontId="21" fillId="0" borderId="87" xfId="11" applyFont="1" applyBorder="1" applyAlignment="1"/>
    <xf numFmtId="0" fontId="27" fillId="0" borderId="101" xfId="14"/>
    <xf numFmtId="0" fontId="27" fillId="0" borderId="101" xfId="14" applyAlignment="1">
      <alignment horizontal="center"/>
    </xf>
    <xf numFmtId="0" fontId="20" fillId="10" borderId="87" xfId="13" applyBorder="1" applyAlignment="1">
      <alignment vertical="top"/>
    </xf>
    <xf numFmtId="0" fontId="20" fillId="10" borderId="88" xfId="13" applyBorder="1" applyAlignment="1">
      <alignment vertical="top"/>
    </xf>
    <xf numFmtId="0" fontId="20" fillId="10" borderId="88" xfId="13" applyBorder="1" applyAlignment="1">
      <alignment horizontal="center" vertical="top"/>
    </xf>
    <xf numFmtId="0" fontId="20" fillId="10" borderId="88" xfId="13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4" fillId="3" borderId="0" xfId="10" applyFont="1" applyFill="1" applyBorder="1"/>
    <xf numFmtId="0" fontId="34" fillId="3" borderId="0" xfId="10" applyFont="1" applyFill="1" applyBorder="1" applyAlignment="1"/>
    <xf numFmtId="0" fontId="25" fillId="0" borderId="0" xfId="0" applyFont="1" applyAlignment="1">
      <alignment horizontal="center"/>
    </xf>
    <xf numFmtId="0" fontId="25" fillId="0" borderId="20" xfId="0" applyFont="1" applyBorder="1"/>
    <xf numFmtId="0" fontId="25" fillId="0" borderId="0" xfId="0" applyFont="1"/>
    <xf numFmtId="0" fontId="32" fillId="8" borderId="34" xfId="5" applyFont="1"/>
    <xf numFmtId="0" fontId="33" fillId="7" borderId="36" xfId="8" applyFont="1"/>
    <xf numFmtId="0" fontId="32" fillId="8" borderId="34" xfId="5" applyFont="1" applyAlignment="1">
      <alignment horizontal="left"/>
    </xf>
    <xf numFmtId="0" fontId="35" fillId="8" borderId="34" xfId="5" applyFont="1" applyAlignment="1">
      <alignment horizontal="left"/>
    </xf>
    <xf numFmtId="0" fontId="35" fillId="8" borderId="31" xfId="5" applyFont="1" applyBorder="1" applyAlignment="1">
      <alignment horizontal="left"/>
    </xf>
    <xf numFmtId="0" fontId="21" fillId="0" borderId="100" xfId="11" applyFont="1" applyBorder="1" applyAlignment="1">
      <alignment horizontal="center" vertical="top"/>
    </xf>
    <xf numFmtId="0" fontId="22" fillId="4" borderId="20" xfId="0" applyFont="1" applyFill="1" applyBorder="1" applyAlignment="1">
      <alignment horizontal="center"/>
    </xf>
    <xf numFmtId="0" fontId="21" fillId="0" borderId="86" xfId="11" applyFont="1" applyBorder="1" applyAlignment="1">
      <alignment horizontal="center" vertical="top"/>
    </xf>
    <xf numFmtId="0" fontId="21" fillId="0" borderId="92" xfId="1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5" fillId="0" borderId="0" xfId="0" applyFont="1" applyBorder="1"/>
    <xf numFmtId="3" fontId="33" fillId="7" borderId="35" xfId="7" applyNumberFormat="1" applyAlignment="1">
      <alignment horizontal="center"/>
    </xf>
    <xf numFmtId="0" fontId="11" fillId="8" borderId="34" xfId="22"/>
    <xf numFmtId="49" fontId="32" fillId="8" borderId="105" xfId="5" applyNumberFormat="1" applyBorder="1" applyAlignment="1">
      <alignment horizontal="center" vertical="center"/>
    </xf>
    <xf numFmtId="49" fontId="8" fillId="2" borderId="106" xfId="1" applyNumberFormat="1" applyBorder="1" applyAlignment="1">
      <alignment horizontal="center" vertical="center"/>
    </xf>
    <xf numFmtId="49" fontId="8" fillId="2" borderId="107" xfId="1" applyNumberFormat="1" applyBorder="1" applyAlignment="1">
      <alignment horizontal="center" vertical="center"/>
    </xf>
    <xf numFmtId="49" fontId="32" fillId="8" borderId="108" xfId="5" applyNumberFormat="1" applyBorder="1" applyAlignment="1">
      <alignment horizontal="center" vertical="center"/>
    </xf>
    <xf numFmtId="49" fontId="8" fillId="2" borderId="88" xfId="1" applyNumberFormat="1" applyBorder="1" applyAlignment="1">
      <alignment horizontal="center" vertical="center"/>
    </xf>
    <xf numFmtId="49" fontId="0" fillId="0" borderId="109" xfId="0" applyNumberFormat="1" applyBorder="1" applyAlignment="1">
      <alignment horizontal="center" vertical="center"/>
    </xf>
    <xf numFmtId="49" fontId="32" fillId="8" borderId="110" xfId="5" applyNumberFormat="1" applyBorder="1" applyAlignment="1">
      <alignment horizontal="center" vertical="center"/>
    </xf>
    <xf numFmtId="49" fontId="32" fillId="8" borderId="111" xfId="5" applyNumberFormat="1" applyBorder="1" applyAlignment="1">
      <alignment horizontal="center" vertical="center"/>
    </xf>
    <xf numFmtId="0" fontId="7" fillId="0" borderId="112" xfId="0" applyFont="1" applyBorder="1"/>
    <xf numFmtId="0" fontId="0" fillId="0" borderId="112" xfId="0" applyBorder="1"/>
    <xf numFmtId="0" fontId="32" fillId="8" borderId="113" xfId="5" applyBorder="1"/>
    <xf numFmtId="49" fontId="32" fillId="8" borderId="114" xfId="5" applyNumberFormat="1" applyBorder="1" applyAlignment="1">
      <alignment horizontal="center" vertical="center"/>
    </xf>
    <xf numFmtId="49" fontId="32" fillId="8" borderId="115" xfId="5" applyNumberFormat="1" applyBorder="1" applyAlignment="1">
      <alignment horizontal="center" vertical="center"/>
    </xf>
    <xf numFmtId="49" fontId="0" fillId="0" borderId="116" xfId="0" applyNumberFormat="1" applyBorder="1" applyAlignment="1">
      <alignment horizontal="center" vertical="center"/>
    </xf>
    <xf numFmtId="49" fontId="8" fillId="2" borderId="117" xfId="1" applyNumberFormat="1" applyBorder="1" applyAlignment="1">
      <alignment horizontal="center" vertical="center"/>
    </xf>
    <xf numFmtId="49" fontId="8" fillId="2" borderId="94" xfId="1" applyNumberFormat="1" applyBorder="1" applyAlignment="1">
      <alignment horizontal="center" vertical="center"/>
    </xf>
    <xf numFmtId="49" fontId="8" fillId="2" borderId="118" xfId="1" applyNumberFormat="1" applyBorder="1" applyAlignment="1">
      <alignment horizontal="center" vertical="center"/>
    </xf>
    <xf numFmtId="0" fontId="26" fillId="7" borderId="119" xfId="4" applyNumberFormat="1" applyBorder="1" applyAlignment="1">
      <alignment horizontal="left"/>
    </xf>
    <xf numFmtId="0" fontId="0" fillId="0" borderId="68" xfId="0" applyBorder="1" applyAlignment="1">
      <alignment horizontal="center" textRotation="45"/>
    </xf>
    <xf numFmtId="49" fontId="0" fillId="0" borderId="120" xfId="0" applyNumberFormat="1" applyBorder="1" applyAlignment="1">
      <alignment horizontal="center" vertical="center"/>
    </xf>
    <xf numFmtId="49" fontId="32" fillId="8" borderId="121" xfId="5" applyNumberFormat="1" applyBorder="1" applyAlignment="1">
      <alignment horizontal="center" vertical="center"/>
    </xf>
    <xf numFmtId="49" fontId="32" fillId="8" borderId="121" xfId="5" quotePrefix="1" applyNumberFormat="1" applyBorder="1" applyAlignment="1">
      <alignment horizontal="center" vertical="center"/>
    </xf>
    <xf numFmtId="49" fontId="32" fillId="8" borderId="122" xfId="5" applyNumberFormat="1" applyBorder="1" applyAlignment="1">
      <alignment horizontal="center" vertical="center"/>
    </xf>
    <xf numFmtId="49" fontId="32" fillId="8" borderId="123" xfId="5" quotePrefix="1" applyNumberFormat="1" applyBorder="1" applyAlignment="1">
      <alignment horizontal="center" vertical="center"/>
    </xf>
    <xf numFmtId="49" fontId="32" fillId="8" borderId="124" xfId="5" applyNumberFormat="1" applyBorder="1" applyAlignment="1">
      <alignment horizontal="center" vertical="center"/>
    </xf>
    <xf numFmtId="0" fontId="0" fillId="0" borderId="7" xfId="0" applyBorder="1" applyAlignment="1">
      <alignment horizontal="center" textRotation="45"/>
    </xf>
    <xf numFmtId="0" fontId="0" fillId="0" borderId="70" xfId="0" applyBorder="1" applyAlignment="1">
      <alignment horizontal="center" textRotation="45"/>
    </xf>
    <xf numFmtId="0" fontId="3" fillId="0" borderId="126" xfId="0" applyFont="1" applyBorder="1"/>
    <xf numFmtId="9" fontId="3" fillId="0" borderId="126" xfId="6" applyFont="1" applyBorder="1" applyAlignment="1">
      <alignment horizontal="center"/>
    </xf>
    <xf numFmtId="0" fontId="3" fillId="0" borderId="125" xfId="0" applyFont="1" applyBorder="1"/>
    <xf numFmtId="0" fontId="3" fillId="0" borderId="127" xfId="0" applyFont="1" applyBorder="1"/>
    <xf numFmtId="9" fontId="3" fillId="0" borderId="127" xfId="6" applyFont="1" applyBorder="1" applyAlignment="1">
      <alignment horizontal="center"/>
    </xf>
    <xf numFmtId="0" fontId="3" fillId="0" borderId="128" xfId="0" applyFont="1" applyBorder="1"/>
    <xf numFmtId="0" fontId="0" fillId="0" borderId="0" xfId="0" applyAlignment="1">
      <alignment horizontal="center"/>
    </xf>
    <xf numFmtId="20" fontId="3" fillId="0" borderId="0" xfId="0" applyNumberFormat="1" applyFont="1"/>
    <xf numFmtId="16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66" fontId="27" fillId="0" borderId="101" xfId="14" applyNumberFormat="1" applyAlignment="1">
      <alignment horizontal="right"/>
    </xf>
    <xf numFmtId="9" fontId="27" fillId="0" borderId="101" xfId="14" applyNumberForma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quotePrefix="1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33" fillId="7" borderId="35" xfId="7" applyNumberFormat="1" applyAlignment="1">
      <alignment horizontal="center"/>
    </xf>
    <xf numFmtId="0" fontId="3" fillId="0" borderId="7" xfId="0" applyFont="1" applyBorder="1"/>
    <xf numFmtId="3" fontId="27" fillId="0" borderId="101" xfId="14" applyNumberFormat="1" applyAlignment="1">
      <alignment horizontal="center"/>
    </xf>
    <xf numFmtId="3" fontId="3" fillId="0" borderId="7" xfId="0" applyNumberFormat="1" applyFont="1" applyBorder="1" applyAlignment="1">
      <alignment horizontal="left"/>
    </xf>
    <xf numFmtId="0" fontId="3" fillId="0" borderId="129" xfId="0" applyFont="1" applyBorder="1"/>
    <xf numFmtId="0" fontId="3" fillId="0" borderId="130" xfId="0" applyFont="1" applyBorder="1"/>
    <xf numFmtId="0" fontId="3" fillId="0" borderId="131" xfId="0" applyFont="1" applyBorder="1"/>
    <xf numFmtId="0" fontId="3" fillId="0" borderId="132" xfId="0" applyFont="1" applyBorder="1"/>
    <xf numFmtId="0" fontId="3" fillId="0" borderId="133" xfId="0" applyFont="1" applyBorder="1"/>
    <xf numFmtId="0" fontId="3" fillId="0" borderId="20" xfId="0" applyFont="1" applyBorder="1"/>
    <xf numFmtId="3" fontId="3" fillId="0" borderId="133" xfId="0" applyNumberFormat="1" applyFont="1" applyBorder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right"/>
    </xf>
    <xf numFmtId="9" fontId="0" fillId="0" borderId="0" xfId="0" applyNumberFormat="1"/>
    <xf numFmtId="0" fontId="32" fillId="8" borderId="134" xfId="5" applyBorder="1"/>
    <xf numFmtId="0" fontId="3" fillId="4" borderId="2" xfId="0" applyFont="1" applyFill="1" applyBorder="1"/>
    <xf numFmtId="0" fontId="5" fillId="0" borderId="8" xfId="0" applyFont="1" applyBorder="1"/>
    <xf numFmtId="9" fontId="3" fillId="0" borderId="8" xfId="6" applyFont="1" applyBorder="1" applyAlignment="1">
      <alignment horizontal="center"/>
    </xf>
    <xf numFmtId="9" fontId="3" fillId="0" borderId="8" xfId="6" applyFont="1" applyBorder="1" applyAlignment="1">
      <alignment horizontal="right"/>
    </xf>
    <xf numFmtId="0" fontId="32" fillId="8" borderId="135" xfId="5" applyBorder="1"/>
    <xf numFmtId="0" fontId="3" fillId="0" borderId="138" xfId="0" applyFont="1" applyBorder="1"/>
    <xf numFmtId="0" fontId="3" fillId="0" borderId="136" xfId="0" applyFont="1" applyBorder="1" applyAlignment="1">
      <alignment horizontal="center" textRotation="45"/>
    </xf>
    <xf numFmtId="0" fontId="3" fillId="0" borderId="137" xfId="0" applyFont="1" applyBorder="1" applyAlignment="1">
      <alignment horizontal="center" textRotation="45"/>
    </xf>
    <xf numFmtId="0" fontId="3" fillId="0" borderId="139" xfId="0" applyFont="1" applyBorder="1" applyAlignment="1">
      <alignment horizontal="center" textRotation="90"/>
    </xf>
    <xf numFmtId="2" fontId="3" fillId="0" borderId="0" xfId="0" applyNumberFormat="1" applyFont="1" applyAlignment="1">
      <alignment horizontal="center"/>
    </xf>
    <xf numFmtId="0" fontId="33" fillId="7" borderId="35" xfId="7" applyAlignment="1">
      <alignment horizontal="center"/>
    </xf>
    <xf numFmtId="0" fontId="3" fillId="0" borderId="0" xfId="0" applyFont="1" applyAlignment="1">
      <alignment horizontal="center"/>
    </xf>
    <xf numFmtId="0" fontId="11" fillId="8" borderId="34" xfId="22" applyAlignment="1">
      <alignment horizontal="center"/>
    </xf>
    <xf numFmtId="168" fontId="33" fillId="7" borderId="35" xfId="7" quotePrefix="1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33" fillId="7" borderId="35" xfId="7" applyFont="1" applyAlignment="1">
      <alignment horizontal="center"/>
    </xf>
    <xf numFmtId="0" fontId="13" fillId="7" borderId="35" xfId="23" applyAlignment="1">
      <alignment horizontal="center"/>
    </xf>
    <xf numFmtId="3" fontId="32" fillId="8" borderId="34" xfId="5" applyNumberFormat="1" applyAlignment="1"/>
    <xf numFmtId="0" fontId="3" fillId="4" borderId="1" xfId="0" applyFont="1" applyFill="1" applyBorder="1" applyAlignment="1">
      <alignment horizontal="center"/>
    </xf>
    <xf numFmtId="9" fontId="26" fillId="7" borderId="34" xfId="4" applyNumberFormat="1" applyAlignment="1">
      <alignment horizontal="center"/>
    </xf>
    <xf numFmtId="0" fontId="3" fillId="0" borderId="0" xfId="0" quotePrefix="1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9" fontId="3" fillId="0" borderId="0" xfId="6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9" fontId="11" fillId="8" borderId="34" xfId="22" applyNumberFormat="1" applyAlignment="1">
      <alignment horizontal="center" vertical="top" wrapText="1"/>
    </xf>
    <xf numFmtId="0" fontId="11" fillId="8" borderId="34" xfId="22" applyAlignment="1">
      <alignment horizontal="center" vertical="top" wrapText="1"/>
    </xf>
    <xf numFmtId="0" fontId="5" fillId="0" borderId="0" xfId="0" applyFont="1" applyAlignment="1">
      <alignment horizontal="center"/>
    </xf>
    <xf numFmtId="9" fontId="5" fillId="0" borderId="0" xfId="6" applyFont="1" applyAlignment="1">
      <alignment horizontal="center"/>
    </xf>
    <xf numFmtId="0" fontId="32" fillId="8" borderId="119" xfId="5" applyBorder="1"/>
    <xf numFmtId="0" fontId="3" fillId="0" borderId="141" xfId="0" applyFont="1" applyBorder="1" applyAlignment="1">
      <alignment horizontal="center"/>
    </xf>
    <xf numFmtId="170" fontId="3" fillId="0" borderId="141" xfId="6" applyNumberFormat="1" applyFont="1" applyBorder="1" applyAlignment="1">
      <alignment horizontal="center"/>
    </xf>
    <xf numFmtId="170" fontId="3" fillId="0" borderId="141" xfId="0" applyNumberFormat="1" applyFont="1" applyBorder="1" applyAlignment="1">
      <alignment horizontal="center"/>
    </xf>
    <xf numFmtId="0" fontId="3" fillId="0" borderId="142" xfId="0" applyFont="1" applyBorder="1"/>
    <xf numFmtId="0" fontId="3" fillId="0" borderId="2" xfId="0" applyFont="1" applyBorder="1" applyAlignment="1">
      <alignment vertical="top"/>
    </xf>
    <xf numFmtId="0" fontId="3" fillId="0" borderId="142" xfId="0" applyFont="1" applyBorder="1" applyAlignment="1">
      <alignment horizontal="center" vertical="top"/>
    </xf>
    <xf numFmtId="170" fontId="5" fillId="0" borderId="0" xfId="0" applyNumberFormat="1" applyFont="1" applyAlignment="1">
      <alignment horizontal="center"/>
    </xf>
    <xf numFmtId="170" fontId="11" fillId="8" borderId="108" xfId="22" applyNumberFormat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26" fillId="7" borderId="34" xfId="4" applyNumberFormat="1" applyAlignment="1">
      <alignment horizontal="center"/>
    </xf>
    <xf numFmtId="166" fontId="3" fillId="0" borderId="0" xfId="0" applyNumberFormat="1" applyFont="1" applyAlignment="1">
      <alignment horizontal="center" vertical="top"/>
    </xf>
    <xf numFmtId="166" fontId="33" fillId="7" borderId="35" xfId="7" applyNumberFormat="1" applyAlignment="1">
      <alignment horizontal="center"/>
    </xf>
    <xf numFmtId="171" fontId="13" fillId="7" borderId="35" xfId="23" applyNumberFormat="1" applyAlignment="1">
      <alignment horizontal="center"/>
    </xf>
    <xf numFmtId="171" fontId="3" fillId="0" borderId="0" xfId="0" applyNumberFormat="1" applyFont="1" applyAlignment="1">
      <alignment horizontal="center"/>
    </xf>
    <xf numFmtId="171" fontId="3" fillId="4" borderId="1" xfId="0" applyNumberFormat="1" applyFont="1" applyFill="1" applyBorder="1" applyAlignment="1">
      <alignment horizontal="center"/>
    </xf>
    <xf numFmtId="171" fontId="3" fillId="0" borderId="0" xfId="0" applyNumberFormat="1" applyFont="1" applyAlignment="1">
      <alignment horizontal="center" vertical="top"/>
    </xf>
    <xf numFmtId="0" fontId="27" fillId="0" borderId="101" xfId="14" applyAlignment="1">
      <alignment horizontal="left" indent="4"/>
    </xf>
    <xf numFmtId="1" fontId="27" fillId="0" borderId="101" xfId="14" applyNumberFormat="1" applyAlignment="1">
      <alignment horizontal="left" indent="4"/>
    </xf>
    <xf numFmtId="0" fontId="32" fillId="8" borderId="146" xfId="5" applyBorder="1" applyAlignment="1">
      <alignment horizontal="center"/>
    </xf>
    <xf numFmtId="166" fontId="32" fillId="8" borderId="147" xfId="5" applyNumberFormat="1" applyBorder="1" applyAlignment="1">
      <alignment horizontal="center"/>
    </xf>
    <xf numFmtId="166" fontId="32" fillId="8" borderId="148" xfId="5" applyNumberFormat="1" applyBorder="1" applyAlignment="1">
      <alignment horizontal="center"/>
    </xf>
    <xf numFmtId="0" fontId="32" fillId="8" borderId="149" xfId="5" applyBorder="1" applyAlignment="1">
      <alignment horizontal="center"/>
    </xf>
    <xf numFmtId="1" fontId="32" fillId="8" borderId="146" xfId="5" applyNumberFormat="1" applyBorder="1" applyAlignment="1">
      <alignment horizontal="center"/>
    </xf>
    <xf numFmtId="0" fontId="0" fillId="13" borderId="0" xfId="0" applyFill="1"/>
    <xf numFmtId="0" fontId="42" fillId="0" borderId="0" xfId="0" applyFont="1"/>
    <xf numFmtId="0" fontId="43" fillId="0" borderId="0" xfId="0" applyFont="1"/>
    <xf numFmtId="0" fontId="42" fillId="0" borderId="150" xfId="0" applyFont="1" applyBorder="1" applyAlignment="1">
      <alignment horizontal="center"/>
    </xf>
    <xf numFmtId="0" fontId="0" fillId="0" borderId="150" xfId="0" applyBorder="1" applyAlignment="1">
      <alignment wrapText="1"/>
    </xf>
    <xf numFmtId="0" fontId="0" fillId="0" borderId="150" xfId="0" applyBorder="1"/>
    <xf numFmtId="0" fontId="42" fillId="0" borderId="150" xfId="0" applyFont="1" applyBorder="1"/>
    <xf numFmtId="0" fontId="42" fillId="0" borderId="0" xfId="0" applyFont="1" applyBorder="1"/>
    <xf numFmtId="0" fontId="32" fillId="8" borderId="151" xfId="5" applyBorder="1" applyAlignment="1">
      <alignment horizontal="center"/>
    </xf>
    <xf numFmtId="166" fontId="32" fillId="8" borderId="152" xfId="5" applyNumberFormat="1" applyBorder="1" applyAlignment="1">
      <alignment horizontal="center"/>
    </xf>
    <xf numFmtId="166" fontId="32" fillId="8" borderId="153" xfId="5" applyNumberFormat="1" applyBorder="1" applyAlignment="1">
      <alignment horizontal="center"/>
    </xf>
    <xf numFmtId="0" fontId="32" fillId="8" borderId="154" xfId="5" applyBorder="1" applyAlignment="1">
      <alignment horizontal="center"/>
    </xf>
    <xf numFmtId="1" fontId="32" fillId="8" borderId="151" xfId="5" applyNumberFormat="1" applyBorder="1" applyAlignment="1">
      <alignment horizontal="center"/>
    </xf>
    <xf numFmtId="164" fontId="26" fillId="7" borderId="152" xfId="4" applyNumberFormat="1" applyBorder="1" applyAlignment="1">
      <alignment horizontal="center"/>
    </xf>
    <xf numFmtId="0" fontId="6" fillId="8" borderId="34" xfId="5" applyFont="1" applyAlignment="1">
      <alignment wrapText="1"/>
    </xf>
    <xf numFmtId="3" fontId="0" fillId="0" borderId="0" xfId="0" applyNumberFormat="1"/>
    <xf numFmtId="0" fontId="0" fillId="0" borderId="150" xfId="0" applyFill="1" applyBorder="1" applyAlignment="1">
      <alignment wrapText="1"/>
    </xf>
    <xf numFmtId="166" fontId="5" fillId="0" borderId="0" xfId="0" applyNumberFormat="1" applyFont="1" applyBorder="1"/>
    <xf numFmtId="0" fontId="0" fillId="0" borderId="0" xfId="0" applyAlignment="1">
      <alignment horizontal="center"/>
    </xf>
    <xf numFmtId="0" fontId="42" fillId="0" borderId="150" xfId="0" applyFont="1" applyFill="1" applyBorder="1" applyAlignment="1">
      <alignment horizontal="center"/>
    </xf>
    <xf numFmtId="0" fontId="0" fillId="13" borderId="150" xfId="0" applyFill="1" applyBorder="1"/>
    <xf numFmtId="0" fontId="0" fillId="14" borderId="150" xfId="0" applyFill="1" applyBorder="1"/>
    <xf numFmtId="0" fontId="4" fillId="15" borderId="150" xfId="0" applyFont="1" applyFill="1" applyBorder="1"/>
    <xf numFmtId="0" fontId="0" fillId="0" borderId="0" xfId="0" applyFill="1" applyBorder="1"/>
    <xf numFmtId="0" fontId="27" fillId="0" borderId="101" xfId="14" applyFill="1"/>
    <xf numFmtId="0" fontId="27" fillId="0" borderId="101" xfId="14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1" fillId="8" borderId="34" xfId="5" applyFont="1" applyAlignment="1">
      <alignment horizontal="left"/>
    </xf>
    <xf numFmtId="3" fontId="33" fillId="0" borderId="35" xfId="7" applyNumberFormat="1" applyFill="1" applyAlignment="1">
      <alignment horizontal="center"/>
    </xf>
    <xf numFmtId="0" fontId="45" fillId="8" borderId="34" xfId="22" applyFont="1"/>
    <xf numFmtId="166" fontId="3" fillId="0" borderId="0" xfId="0" applyNumberFormat="1" applyFont="1" applyAlignment="1">
      <alignment horizontal="right"/>
    </xf>
    <xf numFmtId="0" fontId="11" fillId="8" borderId="119" xfId="22" applyBorder="1" applyAlignment="1">
      <alignment horizontal="center"/>
    </xf>
    <xf numFmtId="0" fontId="11" fillId="8" borderId="140" xfId="22" applyBorder="1" applyAlignment="1">
      <alignment horizontal="center"/>
    </xf>
    <xf numFmtId="0" fontId="11" fillId="8" borderId="108" xfId="22" applyBorder="1" applyAlignment="1">
      <alignment horizontal="center"/>
    </xf>
    <xf numFmtId="0" fontId="11" fillId="8" borderId="34" xfId="22" applyAlignment="1">
      <alignment horizontal="center"/>
    </xf>
    <xf numFmtId="166" fontId="33" fillId="7" borderId="143" xfId="7" applyNumberFormat="1" applyBorder="1" applyAlignment="1">
      <alignment horizontal="center" vertical="center"/>
    </xf>
    <xf numFmtId="166" fontId="33" fillId="7" borderId="144" xfId="7" applyNumberFormat="1" applyBorder="1" applyAlignment="1">
      <alignment horizontal="center" vertical="center"/>
    </xf>
    <xf numFmtId="166" fontId="33" fillId="7" borderId="145" xfId="7" applyNumberFormat="1" applyBorder="1" applyAlignment="1">
      <alignment horizontal="center" vertical="center"/>
    </xf>
    <xf numFmtId="0" fontId="34" fillId="3" borderId="0" xfId="10" applyFont="1" applyFill="1" applyBorder="1" applyAlignment="1">
      <alignment horizontal="center"/>
    </xf>
    <xf numFmtId="165" fontId="33" fillId="7" borderId="35" xfId="7" applyNumberFormat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33" xfId="0" applyFont="1" applyBorder="1" applyAlignment="1">
      <alignment horizontal="right"/>
    </xf>
    <xf numFmtId="165" fontId="27" fillId="0" borderId="101" xfId="14" applyNumberFormat="1" applyAlignment="1">
      <alignment horizontal="center"/>
    </xf>
    <xf numFmtId="169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7" fillId="9" borderId="42" xfId="0" applyFont="1" applyFill="1" applyBorder="1" applyAlignment="1">
      <alignment horizontal="center" vertical="center"/>
    </xf>
    <xf numFmtId="0" fontId="17" fillId="9" borderId="43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0" fontId="17" fillId="9" borderId="46" xfId="0" applyFont="1" applyFill="1" applyBorder="1" applyAlignment="1">
      <alignment horizontal="center" vertical="center"/>
    </xf>
    <xf numFmtId="0" fontId="17" fillId="9" borderId="4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26" fillId="7" borderId="48" xfId="4" applyNumberFormat="1" applyBorder="1" applyAlignment="1">
      <alignment horizontal="center"/>
    </xf>
    <xf numFmtId="3" fontId="26" fillId="7" borderId="49" xfId="4" applyNumberFormat="1" applyBorder="1" applyAlignment="1">
      <alignment horizontal="center"/>
    </xf>
    <xf numFmtId="3" fontId="26" fillId="7" borderId="50" xfId="4" applyNumberFormat="1" applyBorder="1" applyAlignment="1">
      <alignment horizontal="center"/>
    </xf>
    <xf numFmtId="0" fontId="26" fillId="7" borderId="51" xfId="4" applyBorder="1" applyAlignment="1">
      <alignment horizontal="center" vertical="center"/>
    </xf>
    <xf numFmtId="0" fontId="26" fillId="7" borderId="52" xfId="4" applyBorder="1" applyAlignment="1">
      <alignment horizontal="center" vertical="center"/>
    </xf>
    <xf numFmtId="0" fontId="26" fillId="7" borderId="53" xfId="4" applyBorder="1" applyAlignment="1">
      <alignment horizontal="center" vertical="center"/>
    </xf>
    <xf numFmtId="3" fontId="44" fillId="7" borderId="36" xfId="8" applyNumberFormat="1" applyFont="1" applyAlignment="1">
      <alignment horizontal="center"/>
    </xf>
    <xf numFmtId="0" fontId="21" fillId="0" borderId="89" xfId="11" applyFont="1" applyBorder="1" applyAlignment="1">
      <alignment horizontal="left" vertical="top"/>
    </xf>
    <xf numFmtId="0" fontId="21" fillId="0" borderId="86" xfId="11" applyFont="1" applyBorder="1" applyAlignment="1">
      <alignment horizontal="left" vertical="top"/>
    </xf>
  </cellXfs>
  <cellStyles count="134">
    <cellStyle name="20 % - Accent1 2" xfId="20"/>
    <cellStyle name="20% - Accent1" xfId="1" builtinId="30"/>
    <cellStyle name="60% - Accent1" xfId="2" builtinId="32"/>
    <cellStyle name="Accent1" xfId="3" builtinId="29"/>
    <cellStyle name="Berekening" xfId="4" builtinId="22" customBuiltin="1"/>
    <cellStyle name="Calcul 2" xfId="21"/>
    <cellStyle name="Controlecel" xfId="16" builtinId="23" customBuiltin="1"/>
    <cellStyle name="Data from other table" xfId="14"/>
    <cellStyle name="Do not use" xfId="13"/>
    <cellStyle name="Entrée 2" xfId="22"/>
    <cellStyle name="Gekoppelde cel" xfId="15" builtinId="24" customBuilti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5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3" builtinId="9" hidden="1"/>
    <cellStyle name="Gevolgde hyperlink" xfId="95" builtinId="9" hidden="1"/>
    <cellStyle name="Gevolgde hyperlink" xfId="97" builtinId="9" hidden="1"/>
    <cellStyle name="Gevolgde hyperlink" xfId="99" builtinId="9" hidden="1"/>
    <cellStyle name="Gevolgde hyperlink" xfId="101" builtinId="9" hidden="1"/>
    <cellStyle name="Gevolgde hyperlink" xfId="103" builtinId="9" hidden="1"/>
    <cellStyle name="Gevolgde hyperlink" xfId="105" builtinId="9" hidden="1"/>
    <cellStyle name="Gevolgde hyperlink" xfId="107" builtinId="9" hidden="1"/>
    <cellStyle name="Gevolgde hyperlink" xfId="109" builtinId="9" hidden="1"/>
    <cellStyle name="Gevolgde hyperlink" xfId="111" builtinId="9" hidden="1"/>
    <cellStyle name="Gevolgde hyperlink" xfId="113" builtinId="9" hidden="1"/>
    <cellStyle name="Gevolgde hyperlink" xfId="115" builtinId="9" hidden="1"/>
    <cellStyle name="Gevolgde hyperlink" xfId="117" builtinId="9" hidden="1"/>
    <cellStyle name="Gevolgde hyperlink" xfId="119" builtinId="9" hidden="1"/>
    <cellStyle name="Gevolgde hyperlink" xfId="121" builtinId="9" hidden="1"/>
    <cellStyle name="Gevolgde hyperlink" xfId="123" builtinId="9" hidden="1"/>
    <cellStyle name="Gevolgde hyperlink" xfId="125" builtinId="9" hidden="1"/>
    <cellStyle name="Gevolgde hyperlink" xfId="127" builtinId="9" hidden="1"/>
    <cellStyle name="Gevolgde hyperlink" xfId="129" builtinId="9" hidden="1"/>
    <cellStyle name="Gevolgde hyperlink" xfId="131" builtinId="9" hidden="1"/>
    <cellStyle name="Gevolgde hyperlink" xfId="133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Invoer" xfId="5" builtinId="20" customBuiltin="1"/>
    <cellStyle name="Kop 1" xfId="10" builtinId="16"/>
    <cellStyle name="Light (répétition pour tri)" xfId="12"/>
    <cellStyle name="Normal 2" xfId="11"/>
    <cellStyle name="Normal 3" xfId="19"/>
    <cellStyle name="Notitie" xfId="18" builtinId="10" customBuiltin="1"/>
    <cellStyle name="Procent" xfId="6" builtinId="5"/>
    <cellStyle name="Sortie 2" xfId="23"/>
    <cellStyle name="Sous Total" xfId="8"/>
    <cellStyle name="Sous Total 2" xfId="24"/>
    <cellStyle name="Standaard" xfId="0" builtinId="0" customBuiltin="1"/>
    <cellStyle name="Texte explicatif 2" xfId="25"/>
    <cellStyle name="Uitvoer" xfId="7" builtinId="21" customBuiltin="1"/>
    <cellStyle name="Verklarende tekst" xfId="9" builtinId="53" customBuiltin="1"/>
    <cellStyle name="Waarschuwingstekst" xfId="17" builtinId="11" customBuiltin="1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outlinePr summaryBelow="0"/>
    <pageSetUpPr fitToPage="1"/>
  </sheetPr>
  <dimension ref="A1:AA239"/>
  <sheetViews>
    <sheetView showGridLines="0" topLeftCell="A161" zoomScale="120" zoomScaleNormal="120" zoomScaleSheetLayoutView="100" zoomScalePageLayoutView="85" workbookViewId="0">
      <selection activeCell="D174" sqref="D174"/>
    </sheetView>
  </sheetViews>
  <sheetFormatPr defaultColWidth="9.140625" defaultRowHeight="12.75" x14ac:dyDescent="0.2"/>
  <cols>
    <col min="1" max="1" width="5.85546875" style="4" customWidth="1"/>
    <col min="2" max="2" width="13.5703125" style="5" customWidth="1"/>
    <col min="3" max="3" width="33.28515625" style="5" bestFit="1" customWidth="1"/>
    <col min="4" max="7" width="8" style="5" customWidth="1"/>
    <col min="8" max="8" width="9.5703125" style="5" customWidth="1"/>
    <col min="9" max="9" width="8" style="5" customWidth="1"/>
    <col min="10" max="11" width="8" style="6" customWidth="1"/>
    <col min="12" max="15" width="8" style="5" customWidth="1"/>
    <col min="16" max="17" width="9.140625" style="5" customWidth="1"/>
    <col min="18" max="19" width="11.42578125" style="5" customWidth="1"/>
    <col min="20" max="25" width="9.140625" style="5" customWidth="1"/>
    <col min="26" max="26" width="10" style="5" bestFit="1" customWidth="1"/>
    <col min="27" max="27" width="9.7109375" style="5" bestFit="1" customWidth="1"/>
    <col min="28" max="16384" width="9.140625" style="5"/>
  </cols>
  <sheetData>
    <row r="1" spans="1:25" s="293" customFormat="1" ht="19.5" x14ac:dyDescent="0.3">
      <c r="A1" s="466" t="str">
        <f>UPPER("établissement du Programme des Besoins • Partie 1 • Programme global")</f>
        <v>ÉTABLISSEMENT DU PROGRAMME DES BESOINS • PARTIE 1 • PROGRAMME GLOBAL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</row>
    <row r="2" spans="1:25" ht="13.5" thickBot="1" x14ac:dyDescent="0.25"/>
    <row r="3" spans="1:25" s="67" customFormat="1" x14ac:dyDescent="0.2">
      <c r="A3" s="66">
        <v>1</v>
      </c>
      <c r="B3" s="67" t="str">
        <f>UPPER("Bureaux et support local • OA + LSA • Définition des types de fonction")</f>
        <v>BUREAUX ET SUPPORT LOCAL • OA + LSA • DÉFINITION DES TYPES DE FONCTION</v>
      </c>
      <c r="J3" s="68"/>
      <c r="K3" s="68"/>
    </row>
    <row r="5" spans="1:25" s="11" customFormat="1" ht="25.5" x14ac:dyDescent="0.2">
      <c r="A5" s="10"/>
      <c r="B5" s="11" t="str">
        <f>UPPER("Type de fonctions")</f>
        <v>TYPE DE FONCTIONS</v>
      </c>
      <c r="F5" s="11" t="str">
        <f>UPPER("Exemples et remarques")</f>
        <v>EXEMPLES ET REMARQUES</v>
      </c>
      <c r="N5" s="12" t="s">
        <v>46</v>
      </c>
      <c r="O5" s="12" t="s">
        <v>41</v>
      </c>
      <c r="P5" s="13" t="str">
        <f>UPPER("Coef.
Cor.")</f>
        <v>COEF.
COR.</v>
      </c>
      <c r="Q5" s="75" t="str">
        <f>UPPER("Coef.
CLient")</f>
        <v>COEF.
CLIENT</v>
      </c>
      <c r="R5" s="14" t="s">
        <v>56</v>
      </c>
      <c r="S5" s="14" t="s">
        <v>63</v>
      </c>
    </row>
    <row r="6" spans="1:25" s="64" customFormat="1" x14ac:dyDescent="0.2">
      <c r="A6" s="74" t="s">
        <v>12</v>
      </c>
      <c r="B6" s="64" t="s">
        <v>51</v>
      </c>
      <c r="J6" s="65"/>
      <c r="K6" s="65"/>
      <c r="P6" s="65"/>
      <c r="Q6" s="65"/>
    </row>
    <row r="7" spans="1:25" x14ac:dyDescent="0.2">
      <c r="P7" s="6"/>
      <c r="Q7" s="6"/>
    </row>
    <row r="8" spans="1:25" s="16" customFormat="1" x14ac:dyDescent="0.2">
      <c r="A8" s="15" t="s">
        <v>52</v>
      </c>
      <c r="B8" s="16" t="s">
        <v>0</v>
      </c>
      <c r="N8" s="47">
        <f>SUM(D49:D156)</f>
        <v>1434</v>
      </c>
      <c r="O8" s="78">
        <f>SUM(E49:E156)</f>
        <v>1291.4199999999996</v>
      </c>
      <c r="P8" s="17">
        <v>1</v>
      </c>
      <c r="Q8" s="142">
        <v>1</v>
      </c>
      <c r="R8" s="97">
        <f>O8*P8*Q8</f>
        <v>1291.4199999999996</v>
      </c>
      <c r="S8" s="96">
        <f>R8*Surf_ETPcorr</f>
        <v>17434.169999999995</v>
      </c>
    </row>
    <row r="9" spans="1:25" x14ac:dyDescent="0.2">
      <c r="B9" s="5" t="s">
        <v>6</v>
      </c>
      <c r="F9" s="5" t="s">
        <v>7</v>
      </c>
      <c r="O9" s="79"/>
      <c r="P9" s="6"/>
      <c r="Q9" s="6"/>
      <c r="R9" s="79"/>
    </row>
    <row r="10" spans="1:25" x14ac:dyDescent="0.2">
      <c r="O10" s="79"/>
      <c r="P10" s="6"/>
      <c r="Q10" s="6"/>
      <c r="R10" s="79"/>
    </row>
    <row r="11" spans="1:25" s="16" customFormat="1" x14ac:dyDescent="0.2">
      <c r="A11" s="15" t="s">
        <v>53</v>
      </c>
      <c r="B11" s="16" t="s">
        <v>1</v>
      </c>
      <c r="N11" s="47">
        <f>SUM(F49:F156)</f>
        <v>85</v>
      </c>
      <c r="O11" s="47">
        <f>SUM(G49:G156)</f>
        <v>74.599999999999994</v>
      </c>
      <c r="P11" s="17">
        <v>0</v>
      </c>
      <c r="Q11" s="142">
        <v>1</v>
      </c>
      <c r="R11" s="97">
        <f>O11*P11*Q11</f>
        <v>0</v>
      </c>
      <c r="S11" s="96">
        <f>R11*Surf_ETPcorr</f>
        <v>0</v>
      </c>
    </row>
    <row r="12" spans="1:25" x14ac:dyDescent="0.2">
      <c r="B12" s="5" t="s">
        <v>4</v>
      </c>
      <c r="F12" s="5" t="s">
        <v>11</v>
      </c>
      <c r="O12" s="79"/>
      <c r="P12" s="6"/>
      <c r="Q12" s="6"/>
      <c r="R12" s="79"/>
    </row>
    <row r="13" spans="1:25" x14ac:dyDescent="0.2">
      <c r="B13" s="5" t="s">
        <v>5</v>
      </c>
      <c r="F13" s="5" t="s">
        <v>8</v>
      </c>
      <c r="O13" s="79"/>
      <c r="P13" s="6"/>
      <c r="Q13" s="6"/>
      <c r="R13" s="79"/>
    </row>
    <row r="14" spans="1:25" x14ac:dyDescent="0.2">
      <c r="O14" s="79"/>
      <c r="P14" s="6"/>
      <c r="Q14" s="6"/>
      <c r="R14" s="79"/>
    </row>
    <row r="15" spans="1:25" s="16" customFormat="1" x14ac:dyDescent="0.2">
      <c r="A15" s="15" t="s">
        <v>54</v>
      </c>
      <c r="B15" s="16" t="s">
        <v>15</v>
      </c>
      <c r="J15" s="17"/>
      <c r="K15" s="17"/>
    </row>
    <row r="16" spans="1:25" s="1" customFormat="1" x14ac:dyDescent="0.2">
      <c r="A16" s="2"/>
      <c r="F16" s="338" t="s">
        <v>721</v>
      </c>
      <c r="G16" s="338"/>
      <c r="H16" s="338"/>
      <c r="I16" s="338"/>
      <c r="J16" s="339"/>
      <c r="K16" s="339"/>
      <c r="L16" s="338"/>
      <c r="M16" s="340"/>
      <c r="N16" s="99">
        <f>H157</f>
        <v>0</v>
      </c>
      <c r="O16" s="78">
        <f>I157</f>
        <v>0</v>
      </c>
      <c r="P16" s="17">
        <v>0.5</v>
      </c>
      <c r="Q16" s="142">
        <v>1</v>
      </c>
      <c r="R16" s="97">
        <f>O16*P16*Q16</f>
        <v>0</v>
      </c>
      <c r="S16" s="96">
        <f>R16*Surf_ETPcorr</f>
        <v>0</v>
      </c>
    </row>
    <row r="17" spans="1:19" s="1" customFormat="1" x14ac:dyDescent="0.2">
      <c r="A17" s="2"/>
      <c r="F17" s="341" t="s">
        <v>720</v>
      </c>
      <c r="G17" s="341"/>
      <c r="H17" s="341"/>
      <c r="I17" s="341"/>
      <c r="J17" s="342"/>
      <c r="K17" s="342"/>
      <c r="L17" s="341"/>
      <c r="M17" s="343"/>
      <c r="N17" s="99">
        <f>J157</f>
        <v>0</v>
      </c>
      <c r="O17" s="78">
        <f>K157</f>
        <v>0</v>
      </c>
      <c r="P17" s="17">
        <f>1/3</f>
        <v>0.33333333333333331</v>
      </c>
      <c r="Q17" s="142">
        <v>1</v>
      </c>
      <c r="R17" s="97">
        <f>O17*P17*Q17</f>
        <v>0</v>
      </c>
      <c r="S17" s="96">
        <f>R17*Surf_ETPcorr</f>
        <v>0</v>
      </c>
    </row>
    <row r="18" spans="1:19" x14ac:dyDescent="0.2">
      <c r="O18" s="79"/>
      <c r="P18" s="6"/>
      <c r="Q18" s="6"/>
      <c r="R18" s="79"/>
    </row>
    <row r="19" spans="1:19" s="16" customFormat="1" x14ac:dyDescent="0.2">
      <c r="A19" s="15" t="s">
        <v>55</v>
      </c>
      <c r="B19" s="16" t="s">
        <v>3</v>
      </c>
    </row>
    <row r="20" spans="1:19" x14ac:dyDescent="0.2">
      <c r="B20" s="5" t="s">
        <v>2</v>
      </c>
      <c r="F20" s="5" t="s">
        <v>9</v>
      </c>
      <c r="O20" s="79"/>
      <c r="P20" s="6"/>
      <c r="Q20" s="6"/>
      <c r="R20" s="79"/>
    </row>
    <row r="21" spans="1:19" x14ac:dyDescent="0.2">
      <c r="F21" s="338" t="s">
        <v>659</v>
      </c>
      <c r="G21" s="338"/>
      <c r="H21" s="338"/>
      <c r="I21" s="338"/>
      <c r="J21" s="339"/>
      <c r="K21" s="339"/>
      <c r="L21" s="338"/>
      <c r="M21" s="340"/>
      <c r="N21" s="99">
        <f>SUM(L49:L156)</f>
        <v>112</v>
      </c>
      <c r="O21" s="78">
        <f>SUM(M49:M156)</f>
        <v>106.7</v>
      </c>
      <c r="P21" s="17">
        <v>0.8</v>
      </c>
      <c r="Q21" s="142">
        <v>1</v>
      </c>
      <c r="R21" s="97">
        <f>O21*P21*Q21</f>
        <v>85.360000000000014</v>
      </c>
      <c r="S21" s="96">
        <f>R21*Surf_ETPcorr</f>
        <v>1152.3600000000001</v>
      </c>
    </row>
    <row r="22" spans="1:19" x14ac:dyDescent="0.2">
      <c r="F22" s="341" t="s">
        <v>660</v>
      </c>
      <c r="G22" s="341"/>
      <c r="H22" s="341"/>
      <c r="I22" s="341"/>
      <c r="J22" s="342"/>
      <c r="K22" s="342"/>
      <c r="L22" s="341"/>
      <c r="M22" s="343"/>
      <c r="N22" s="99">
        <f>SUM(N49:N156)</f>
        <v>0</v>
      </c>
      <c r="O22" s="78">
        <f>SUM(O49:O156)</f>
        <v>0</v>
      </c>
      <c r="P22" s="17">
        <v>0.6</v>
      </c>
      <c r="Q22" s="142">
        <v>1</v>
      </c>
      <c r="R22" s="97">
        <f>O22*P22*Q22</f>
        <v>0</v>
      </c>
      <c r="S22" s="96">
        <f>R22*Surf_ETPcorr</f>
        <v>0</v>
      </c>
    </row>
    <row r="23" spans="1:19" x14ac:dyDescent="0.2">
      <c r="F23" s="341" t="s">
        <v>661</v>
      </c>
      <c r="G23" s="341"/>
      <c r="H23" s="341"/>
      <c r="I23" s="341"/>
      <c r="J23" s="342"/>
      <c r="K23" s="342"/>
      <c r="L23" s="341"/>
      <c r="M23" s="343"/>
      <c r="N23" s="99">
        <f>SUM(P49:P156)</f>
        <v>0</v>
      </c>
      <c r="O23" s="78">
        <f>SUM(Q49:Q156)</f>
        <v>0</v>
      </c>
      <c r="P23" s="17">
        <v>0.4</v>
      </c>
      <c r="Q23" s="142">
        <v>1</v>
      </c>
      <c r="R23" s="97">
        <f>O23*P23*Q23</f>
        <v>0</v>
      </c>
      <c r="S23" s="96">
        <f>R23*Surf_ETPcorr</f>
        <v>0</v>
      </c>
    </row>
    <row r="24" spans="1:19" x14ac:dyDescent="0.2">
      <c r="F24" s="341" t="s">
        <v>662</v>
      </c>
      <c r="G24" s="341"/>
      <c r="H24" s="341"/>
      <c r="I24" s="341"/>
      <c r="J24" s="342"/>
      <c r="K24" s="342"/>
      <c r="L24" s="341"/>
      <c r="M24" s="343"/>
      <c r="N24" s="99">
        <f>SUM(R49:R156)</f>
        <v>0</v>
      </c>
      <c r="O24" s="78">
        <f>SUM(S49:S156)</f>
        <v>0</v>
      </c>
      <c r="P24" s="17">
        <v>0.2</v>
      </c>
      <c r="Q24" s="142">
        <v>1</v>
      </c>
      <c r="R24" s="97">
        <f>O24*P24*Q24</f>
        <v>0</v>
      </c>
      <c r="S24" s="96">
        <f>R24*Surf_ETPcorr</f>
        <v>0</v>
      </c>
    </row>
    <row r="25" spans="1:19" x14ac:dyDescent="0.2">
      <c r="O25" s="79"/>
      <c r="P25" s="6"/>
      <c r="Q25" s="6"/>
      <c r="R25" s="79"/>
    </row>
    <row r="26" spans="1:19" x14ac:dyDescent="0.2">
      <c r="F26" s="468" t="s">
        <v>28</v>
      </c>
      <c r="G26" s="468"/>
      <c r="H26" s="468"/>
      <c r="I26" s="468"/>
      <c r="J26" s="468"/>
      <c r="K26" s="468"/>
      <c r="L26" s="468"/>
      <c r="M26" s="469"/>
      <c r="N26" s="73">
        <f>SUBTOTAL(9,N8:N25)</f>
        <v>1631</v>
      </c>
      <c r="O26" s="73">
        <f>SUBTOTAL(9,O8:O25)</f>
        <v>1472.7199999999996</v>
      </c>
      <c r="P26" s="6"/>
      <c r="Q26" s="6"/>
      <c r="R26" s="73">
        <f>SUBTOTAL(9,R8:R25)</f>
        <v>1376.7799999999997</v>
      </c>
      <c r="S26" s="96">
        <f>SUBTOTAL(9,S8:S25)</f>
        <v>18586.529999999995</v>
      </c>
    </row>
    <row r="27" spans="1:19" x14ac:dyDescent="0.2">
      <c r="F27" s="471">
        <f>IF(O26&lt;&gt;0,N26/O26,"")</f>
        <v>1.1074746048128636</v>
      </c>
      <c r="G27" s="471"/>
      <c r="H27" s="471"/>
      <c r="I27" s="471"/>
      <c r="J27" s="471"/>
      <c r="K27" s="471"/>
      <c r="L27" s="471"/>
      <c r="M27" s="471"/>
      <c r="O27" s="79"/>
      <c r="P27" s="6"/>
      <c r="Q27" s="6"/>
      <c r="R27" s="79"/>
    </row>
    <row r="28" spans="1:19" x14ac:dyDescent="0.2">
      <c r="M28" s="27"/>
      <c r="O28" s="79"/>
      <c r="P28" s="6"/>
      <c r="Q28" s="6"/>
      <c r="R28" s="79"/>
    </row>
    <row r="29" spans="1:19" s="64" customFormat="1" x14ac:dyDescent="0.2">
      <c r="A29" s="74" t="s">
        <v>13</v>
      </c>
      <c r="B29" s="64" t="s">
        <v>57</v>
      </c>
      <c r="J29" s="65"/>
      <c r="K29" s="65"/>
      <c r="M29" s="76"/>
      <c r="O29" s="81"/>
      <c r="P29" s="65"/>
      <c r="Q29" s="65"/>
      <c r="R29" s="81"/>
    </row>
    <row r="30" spans="1:19" x14ac:dyDescent="0.2">
      <c r="O30" s="79"/>
      <c r="P30" s="6"/>
      <c r="Q30" s="6"/>
      <c r="R30" s="79"/>
    </row>
    <row r="31" spans="1:19" x14ac:dyDescent="0.2">
      <c r="A31" s="4" t="s">
        <v>58</v>
      </c>
      <c r="B31" s="5" t="s">
        <v>47</v>
      </c>
      <c r="G31" s="1"/>
      <c r="H31" s="1"/>
      <c r="I31" s="1"/>
      <c r="J31" s="1"/>
      <c r="K31" s="1"/>
      <c r="L31" s="1"/>
      <c r="M31" s="1"/>
      <c r="N31" s="99">
        <f>SUM(T49:T156)</f>
        <v>107</v>
      </c>
      <c r="O31" s="99">
        <f>SUM(U49:U156)</f>
        <v>107</v>
      </c>
      <c r="P31" s="3">
        <v>1</v>
      </c>
      <c r="Q31" s="142">
        <v>1</v>
      </c>
      <c r="R31" s="97">
        <f>O31*P31*Q31</f>
        <v>107</v>
      </c>
      <c r="S31" s="96">
        <f>R31*Surf_ETPcorr</f>
        <v>1444.5</v>
      </c>
    </row>
    <row r="32" spans="1:19" s="20" customFormat="1" x14ac:dyDescent="0.2">
      <c r="A32" s="19"/>
      <c r="B32" s="69" t="s">
        <v>48</v>
      </c>
      <c r="C32" s="69"/>
      <c r="F32" s="20" t="s">
        <v>10</v>
      </c>
      <c r="O32" s="80"/>
      <c r="R32" s="80"/>
    </row>
    <row r="33" spans="1:27" s="1" customFormat="1" x14ac:dyDescent="0.2">
      <c r="A33" s="2"/>
      <c r="B33" s="70"/>
      <c r="C33" s="70"/>
      <c r="O33" s="82"/>
      <c r="R33" s="82"/>
    </row>
    <row r="34" spans="1:27" s="1" customFormat="1" x14ac:dyDescent="0.2">
      <c r="A34" s="2" t="s">
        <v>59</v>
      </c>
      <c r="B34" s="70" t="s">
        <v>49</v>
      </c>
      <c r="C34" s="70"/>
      <c r="N34" s="47">
        <f>SUM(V49:V68)</f>
        <v>0</v>
      </c>
      <c r="O34" s="78">
        <f>SUM(W49:W68)</f>
        <v>0</v>
      </c>
      <c r="P34" s="17">
        <v>0</v>
      </c>
      <c r="Q34" s="142">
        <v>1</v>
      </c>
      <c r="R34" s="97">
        <f>O34*P34*Q34</f>
        <v>0</v>
      </c>
      <c r="S34" s="96">
        <f>R34*Surf_ETPcorr</f>
        <v>0</v>
      </c>
    </row>
    <row r="35" spans="1:27" s="20" customFormat="1" x14ac:dyDescent="0.2">
      <c r="A35" s="19"/>
      <c r="B35" s="69" t="s">
        <v>50</v>
      </c>
      <c r="C35" s="69"/>
      <c r="F35" s="20" t="s">
        <v>752</v>
      </c>
      <c r="N35" s="71"/>
      <c r="O35" s="83"/>
      <c r="P35" s="72"/>
      <c r="Q35" s="72"/>
      <c r="R35" s="80"/>
    </row>
    <row r="36" spans="1:27" s="1" customFormat="1" x14ac:dyDescent="0.2">
      <c r="A36" s="2"/>
      <c r="B36" s="70"/>
      <c r="C36" s="70"/>
      <c r="N36" s="77"/>
      <c r="O36" s="84"/>
      <c r="P36" s="3"/>
      <c r="Q36" s="3"/>
      <c r="R36" s="82"/>
    </row>
    <row r="37" spans="1:27" x14ac:dyDescent="0.2">
      <c r="F37" s="468" t="s">
        <v>28</v>
      </c>
      <c r="G37" s="468"/>
      <c r="H37" s="468"/>
      <c r="I37" s="468"/>
      <c r="J37" s="468"/>
      <c r="K37" s="468"/>
      <c r="L37" s="468"/>
      <c r="M37" s="469"/>
      <c r="N37" s="73">
        <f>SUBTOTAL(9,N31:N36)</f>
        <v>107</v>
      </c>
      <c r="O37" s="73">
        <f>SUBTOTAL(9,O31:O36)</f>
        <v>107</v>
      </c>
      <c r="P37" s="6"/>
      <c r="Q37" s="6"/>
      <c r="R37" s="73">
        <f>SUBTOTAL(9,R31:R36)</f>
        <v>107</v>
      </c>
      <c r="S37" s="96">
        <f>SUBTOTAL(9,S31:S36)</f>
        <v>1444.5</v>
      </c>
    </row>
    <row r="38" spans="1:27" x14ac:dyDescent="0.2">
      <c r="F38" s="471">
        <f>IF(O37&lt;&gt;0,N37/O37,"")</f>
        <v>1</v>
      </c>
      <c r="G38" s="471"/>
      <c r="H38" s="471"/>
      <c r="I38" s="471"/>
      <c r="J38" s="471"/>
      <c r="K38" s="471"/>
      <c r="L38" s="471"/>
      <c r="M38" s="471"/>
      <c r="N38" s="379"/>
      <c r="O38" s="18"/>
      <c r="P38" s="6"/>
      <c r="Q38" s="6"/>
      <c r="R38" s="18"/>
    </row>
    <row r="39" spans="1:27" x14ac:dyDescent="0.2">
      <c r="M39" s="27"/>
      <c r="O39" s="18"/>
      <c r="P39" s="6"/>
      <c r="Q39" s="6"/>
      <c r="R39" s="18"/>
    </row>
    <row r="40" spans="1:27" s="64" customFormat="1" x14ac:dyDescent="0.2">
      <c r="A40" s="74" t="s">
        <v>14</v>
      </c>
      <c r="B40" s="64" t="s">
        <v>60</v>
      </c>
      <c r="J40" s="65"/>
      <c r="K40" s="65"/>
      <c r="M40" s="76"/>
      <c r="O40" s="81"/>
      <c r="P40" s="65"/>
      <c r="Q40" s="65"/>
      <c r="R40" s="81"/>
    </row>
    <row r="41" spans="1:27" x14ac:dyDescent="0.2">
      <c r="M41" s="26" t="s">
        <v>28</v>
      </c>
      <c r="N41" s="47">
        <f>SUBTOTAL(9,N8:N40)</f>
        <v>1738</v>
      </c>
      <c r="O41" s="47">
        <f>SUBTOTAL(9,O8:O40)</f>
        <v>1579.7199999999996</v>
      </c>
      <c r="P41" s="6"/>
      <c r="Q41" s="6"/>
      <c r="R41" s="47">
        <f>SUBTOTAL(9,R8:R40)</f>
        <v>1483.7799999999997</v>
      </c>
      <c r="S41" s="96">
        <f>SUBTOTAL(9,S8:S40)</f>
        <v>20031.029999999995</v>
      </c>
    </row>
    <row r="42" spans="1:27" x14ac:dyDescent="0.2">
      <c r="M42" s="27"/>
      <c r="O42" s="18"/>
      <c r="P42" s="6"/>
      <c r="Q42" s="6"/>
      <c r="R42" s="18"/>
    </row>
    <row r="43" spans="1:27" x14ac:dyDescent="0.2">
      <c r="M43" s="27"/>
      <c r="O43" s="18"/>
      <c r="P43" s="6"/>
      <c r="Q43" s="6"/>
      <c r="R43" s="18"/>
    </row>
    <row r="44" spans="1:27" s="23" customFormat="1" ht="13.5" thickBot="1" x14ac:dyDescent="0.25">
      <c r="A44" s="22"/>
      <c r="J44" s="24"/>
      <c r="K44" s="26"/>
      <c r="L44"/>
    </row>
    <row r="45" spans="1:27" s="8" customFormat="1" x14ac:dyDescent="0.2">
      <c r="A45" s="7">
        <v>2</v>
      </c>
      <c r="B45" s="8" t="str">
        <f>UPPER("Bureaux et support local • OA + LSA • Détail par service")</f>
        <v>BUREAUX ET SUPPORT LOCAL • OA + LSA • DÉTAIL PAR SERVICE</v>
      </c>
      <c r="J45" s="9"/>
      <c r="K45" s="9"/>
    </row>
    <row r="46" spans="1:27" s="1" customFormat="1" ht="9" customHeight="1" x14ac:dyDescent="0.2">
      <c r="A46" s="2"/>
      <c r="J46" s="3"/>
      <c r="K46" s="27"/>
      <c r="L46" s="39"/>
    </row>
    <row r="47" spans="1:27" s="43" customFormat="1" ht="147.75" customHeight="1" x14ac:dyDescent="0.2">
      <c r="D47" s="44" t="str">
        <f>A8&amp;" • "&amp;B8</f>
        <v>1A.1 • Fonctions standards</v>
      </c>
      <c r="E47" s="45"/>
      <c r="F47" s="44" t="str">
        <f>A11&amp;" • "&amp;B11</f>
        <v>1A.2 • Fonctions de support</v>
      </c>
      <c r="G47" s="45"/>
      <c r="H47" s="44" t="str">
        <f>A15&amp;" • "&amp;B15&amp;"  • "&amp;F16</f>
        <v>1A.3 • Fonctions "shifts" (24/7)  • 2 pauses</v>
      </c>
      <c r="I47" s="45"/>
      <c r="J47" s="44" t="str">
        <f>A15&amp;" • "&amp;B15&amp;"  • "&amp;F17</f>
        <v>1A.3 • Fonctions "shifts" (24/7)  • 3 pauses</v>
      </c>
      <c r="K47" s="45"/>
      <c r="L47" s="46" t="str">
        <f>$A$19&amp;" • "&amp;$B$19&amp;" • "&amp;LEFT($F21,7)</f>
        <v xml:space="preserve">1A.4 • Itinérants • 1 jour </v>
      </c>
      <c r="M47" s="45"/>
      <c r="N47" s="46" t="str">
        <f>$A$19&amp;" • "&amp;$B$19&amp;" • "&amp;LEFT($F22,7)</f>
        <v>1A.4 • Itinérants • 2 jours</v>
      </c>
      <c r="O47" s="45"/>
      <c r="P47" s="46" t="str">
        <f>$A$19&amp;" • "&amp;$B$19&amp;" • "&amp;LEFT($F23,7)</f>
        <v>1A.4 • Itinérants • 3 jours</v>
      </c>
      <c r="Q47" s="45"/>
      <c r="R47" s="46" t="str">
        <f>$A$19&amp;" • "&amp;$B$19&amp;" • "&amp;LEFT($F24,7)</f>
        <v>1A.4 • Itinérants • 4 jours</v>
      </c>
      <c r="S47" s="45"/>
      <c r="T47" s="85" t="str">
        <f>A31&amp;" • "&amp;B31</f>
        <v>1B.1 • Externes - type 1</v>
      </c>
      <c r="U47" s="86"/>
      <c r="V47" s="85" t="str">
        <f>A34&amp;" • "&amp;B34</f>
        <v>1B.2 • Externes - type 2</v>
      </c>
      <c r="W47" s="86"/>
      <c r="X47" s="91" t="s">
        <v>64</v>
      </c>
      <c r="Y47" s="100" t="s">
        <v>61</v>
      </c>
      <c r="Z47" s="93" t="s">
        <v>62</v>
      </c>
      <c r="AA47" s="93" t="s">
        <v>1290</v>
      </c>
    </row>
    <row r="48" spans="1:27" s="40" customFormat="1" ht="32.25" x14ac:dyDescent="0.2">
      <c r="C48" s="119" t="str">
        <f>UPPER("Détail")</f>
        <v>DÉTAIL</v>
      </c>
      <c r="D48" s="41" t="s">
        <v>40</v>
      </c>
      <c r="E48" s="40" t="s">
        <v>41</v>
      </c>
      <c r="F48" s="41" t="str">
        <f t="shared" ref="F48:I48" si="0">D48</f>
        <v>PERS</v>
      </c>
      <c r="G48" s="40" t="str">
        <f t="shared" si="0"/>
        <v>ETP</v>
      </c>
      <c r="H48" s="41" t="str">
        <f t="shared" si="0"/>
        <v>PERS</v>
      </c>
      <c r="I48" s="40" t="str">
        <f t="shared" si="0"/>
        <v>ETP</v>
      </c>
      <c r="J48" s="378" t="str">
        <f t="shared" ref="J48" si="1">H48</f>
        <v>PERS</v>
      </c>
      <c r="K48" s="40" t="str">
        <f t="shared" ref="K48" si="2">I48</f>
        <v>ETP</v>
      </c>
      <c r="L48" s="41" t="str">
        <f>H48</f>
        <v>PERS</v>
      </c>
      <c r="M48" s="40" t="str">
        <f>I48</f>
        <v>ETP</v>
      </c>
      <c r="N48" s="41" t="str">
        <f t="shared" ref="N48" si="3">L48</f>
        <v>PERS</v>
      </c>
      <c r="O48" s="40" t="str">
        <f t="shared" ref="O48" si="4">M48</f>
        <v>ETP</v>
      </c>
      <c r="P48" s="41" t="str">
        <f t="shared" ref="P48" si="5">N48</f>
        <v>PERS</v>
      </c>
      <c r="Q48" s="40" t="str">
        <f t="shared" ref="Q48" si="6">O48</f>
        <v>ETP</v>
      </c>
      <c r="R48" s="41" t="str">
        <f t="shared" ref="R48" si="7">P48</f>
        <v>PERS</v>
      </c>
      <c r="S48" s="40" t="str">
        <f t="shared" ref="S48" si="8">Q48</f>
        <v>ETP</v>
      </c>
      <c r="T48" s="87" t="str">
        <f>L48</f>
        <v>PERS</v>
      </c>
      <c r="U48" s="88" t="str">
        <f>M48</f>
        <v>ETP</v>
      </c>
      <c r="V48" s="87" t="str">
        <f>T48</f>
        <v>PERS</v>
      </c>
      <c r="W48" s="88" t="str">
        <f>U48</f>
        <v>ETP</v>
      </c>
      <c r="X48" s="94"/>
      <c r="Y48" s="94"/>
      <c r="Z48" s="94"/>
      <c r="AA48" s="94"/>
    </row>
    <row r="49" spans="1:27" s="23" customFormat="1" ht="15" x14ac:dyDescent="0.25">
      <c r="A49" s="22"/>
      <c r="B49" s="42" t="s">
        <v>33</v>
      </c>
      <c r="C49" s="123" t="s">
        <v>1166</v>
      </c>
      <c r="D49" s="50">
        <v>5</v>
      </c>
      <c r="E49" s="51">
        <v>2.8</v>
      </c>
      <c r="F49" s="50"/>
      <c r="G49" s="52"/>
      <c r="H49" s="53"/>
      <c r="I49" s="51"/>
      <c r="J49" s="50"/>
      <c r="K49" s="51"/>
      <c r="L49" s="48"/>
      <c r="M49" s="52"/>
      <c r="N49" s="48"/>
      <c r="O49" s="52"/>
      <c r="P49" s="48"/>
      <c r="Q49" s="52"/>
      <c r="R49" s="48"/>
      <c r="S49" s="52"/>
      <c r="T49" s="48">
        <v>1</v>
      </c>
      <c r="U49" s="52">
        <v>1</v>
      </c>
      <c r="V49" s="48"/>
      <c r="W49" s="52"/>
      <c r="X49" s="92">
        <f t="shared" ref="X49:X156" si="9">D49+F49+H49+J49+L49+N49+P49+R49+T49+V49</f>
        <v>6</v>
      </c>
      <c r="Y49" s="92">
        <f t="shared" ref="Y49:Y156" si="10">E49*$P$8*$Q$8+G49*$P$11*$Q$11+I49*$P$16*$Q$16+K49*$P$17*$Q$17+M49*$P$21*$Q$21+O49*$P$22*$Q$22+Q49*$P$23*$Q$23+S49*$P$24*$Q$24+U49*$P$31*$Q$31+W49*$P$34*$Q$34</f>
        <v>3.8</v>
      </c>
      <c r="Z49" s="96">
        <f t="shared" ref="Z49:Z156" si="11">Y49*Surf_ETPcorr</f>
        <v>51.3</v>
      </c>
      <c r="AA49" s="96">
        <f>Z49/13.5*10.5</f>
        <v>39.9</v>
      </c>
    </row>
    <row r="50" spans="1:27" s="23" customFormat="1" ht="15" x14ac:dyDescent="0.25">
      <c r="A50" s="22"/>
      <c r="B50" s="21" t="s">
        <v>34</v>
      </c>
      <c r="C50" s="123" t="s">
        <v>1165</v>
      </c>
      <c r="D50" s="54">
        <v>2</v>
      </c>
      <c r="E50" s="55">
        <v>1.8</v>
      </c>
      <c r="F50" s="54"/>
      <c r="G50" s="56"/>
      <c r="H50" s="57"/>
      <c r="I50" s="55"/>
      <c r="J50" s="54"/>
      <c r="K50" s="55"/>
      <c r="L50" s="49"/>
      <c r="M50" s="56"/>
      <c r="N50" s="49"/>
      <c r="O50" s="56"/>
      <c r="P50" s="49"/>
      <c r="Q50" s="56"/>
      <c r="R50" s="49"/>
      <c r="S50" s="56"/>
      <c r="T50" s="49"/>
      <c r="U50" s="56"/>
      <c r="V50" s="49"/>
      <c r="W50" s="56"/>
      <c r="X50" s="92">
        <f t="shared" si="9"/>
        <v>2</v>
      </c>
      <c r="Y50" s="92">
        <f t="shared" si="10"/>
        <v>1.8</v>
      </c>
      <c r="Z50" s="96">
        <f t="shared" si="11"/>
        <v>24.3</v>
      </c>
      <c r="AA50" s="96">
        <f t="shared" ref="AA50:AA111" si="12">Z50/13.5*10.5</f>
        <v>18.900000000000002</v>
      </c>
    </row>
    <row r="51" spans="1:27" s="23" customFormat="1" ht="15" x14ac:dyDescent="0.25">
      <c r="A51" s="22"/>
      <c r="B51" s="21" t="s">
        <v>35</v>
      </c>
      <c r="C51" s="123" t="s">
        <v>1161</v>
      </c>
      <c r="D51" s="435">
        <v>2</v>
      </c>
      <c r="E51" s="436">
        <v>1.8</v>
      </c>
      <c r="F51" s="435"/>
      <c r="G51" s="437"/>
      <c r="H51" s="438"/>
      <c r="I51" s="436"/>
      <c r="J51" s="435"/>
      <c r="K51" s="436"/>
      <c r="L51" s="439"/>
      <c r="M51" s="437"/>
      <c r="N51" s="439"/>
      <c r="O51" s="437"/>
      <c r="P51" s="439"/>
      <c r="Q51" s="437"/>
      <c r="R51" s="439"/>
      <c r="S51" s="437"/>
      <c r="T51" s="439"/>
      <c r="U51" s="437"/>
      <c r="V51" s="439"/>
      <c r="W51" s="437"/>
      <c r="X51" s="92">
        <f t="shared" si="9"/>
        <v>2</v>
      </c>
      <c r="Y51" s="92">
        <f t="shared" si="10"/>
        <v>1.8</v>
      </c>
      <c r="Z51" s="96">
        <f t="shared" si="11"/>
        <v>24.3</v>
      </c>
      <c r="AA51" s="96">
        <f t="shared" si="12"/>
        <v>18.900000000000002</v>
      </c>
    </row>
    <row r="52" spans="1:27" s="23" customFormat="1" ht="15" x14ac:dyDescent="0.25">
      <c r="A52" s="22"/>
      <c r="B52" s="21" t="s">
        <v>36</v>
      </c>
      <c r="C52" s="123" t="s">
        <v>1162</v>
      </c>
      <c r="D52" s="435">
        <v>4</v>
      </c>
      <c r="E52" s="436">
        <v>4</v>
      </c>
      <c r="F52" s="435"/>
      <c r="G52" s="437"/>
      <c r="H52" s="438"/>
      <c r="I52" s="436"/>
      <c r="J52" s="435"/>
      <c r="K52" s="436"/>
      <c r="L52" s="439"/>
      <c r="M52" s="437"/>
      <c r="N52" s="439"/>
      <c r="O52" s="437"/>
      <c r="P52" s="439"/>
      <c r="Q52" s="437"/>
      <c r="R52" s="439"/>
      <c r="S52" s="437"/>
      <c r="T52" s="439"/>
      <c r="U52" s="437"/>
      <c r="V52" s="439"/>
      <c r="W52" s="437"/>
      <c r="X52" s="92">
        <f t="shared" si="9"/>
        <v>4</v>
      </c>
      <c r="Y52" s="92">
        <f t="shared" si="10"/>
        <v>4</v>
      </c>
      <c r="Z52" s="96">
        <f t="shared" si="11"/>
        <v>54</v>
      </c>
      <c r="AA52" s="96">
        <f t="shared" si="12"/>
        <v>42</v>
      </c>
    </row>
    <row r="53" spans="1:27" s="23" customFormat="1" ht="15" x14ac:dyDescent="0.25">
      <c r="A53" s="22"/>
      <c r="B53" s="21" t="s">
        <v>37</v>
      </c>
      <c r="C53" s="123" t="s">
        <v>1163</v>
      </c>
      <c r="D53" s="435">
        <v>3</v>
      </c>
      <c r="E53" s="436">
        <v>2.6</v>
      </c>
      <c r="F53" s="435"/>
      <c r="G53" s="437"/>
      <c r="H53" s="438"/>
      <c r="I53" s="436"/>
      <c r="J53" s="435"/>
      <c r="K53" s="436"/>
      <c r="L53" s="439"/>
      <c r="M53" s="437"/>
      <c r="N53" s="439"/>
      <c r="O53" s="437"/>
      <c r="P53" s="439"/>
      <c r="Q53" s="437"/>
      <c r="R53" s="439"/>
      <c r="S53" s="437"/>
      <c r="T53" s="439"/>
      <c r="U53" s="437"/>
      <c r="V53" s="439"/>
      <c r="W53" s="437"/>
      <c r="X53" s="92">
        <f t="shared" si="9"/>
        <v>3</v>
      </c>
      <c r="Y53" s="92">
        <f t="shared" si="10"/>
        <v>2.6</v>
      </c>
      <c r="Z53" s="96">
        <f t="shared" si="11"/>
        <v>35.1</v>
      </c>
      <c r="AA53" s="96">
        <f t="shared" si="12"/>
        <v>27.3</v>
      </c>
    </row>
    <row r="54" spans="1:27" s="23" customFormat="1" ht="15" x14ac:dyDescent="0.25">
      <c r="A54" s="22"/>
      <c r="B54" s="21" t="s">
        <v>38</v>
      </c>
      <c r="C54" s="123" t="s">
        <v>1164</v>
      </c>
      <c r="D54" s="435">
        <v>2</v>
      </c>
      <c r="E54" s="436">
        <v>2</v>
      </c>
      <c r="F54" s="435"/>
      <c r="G54" s="437"/>
      <c r="H54" s="438"/>
      <c r="I54" s="436"/>
      <c r="J54" s="435"/>
      <c r="K54" s="436"/>
      <c r="L54" s="439"/>
      <c r="M54" s="437"/>
      <c r="N54" s="439"/>
      <c r="O54" s="437"/>
      <c r="P54" s="439"/>
      <c r="Q54" s="437"/>
      <c r="R54" s="439"/>
      <c r="S54" s="437"/>
      <c r="T54" s="439"/>
      <c r="U54" s="437"/>
      <c r="V54" s="439"/>
      <c r="W54" s="437"/>
      <c r="X54" s="92">
        <f t="shared" si="9"/>
        <v>2</v>
      </c>
      <c r="Y54" s="92">
        <f t="shared" si="10"/>
        <v>2</v>
      </c>
      <c r="Z54" s="96">
        <f t="shared" si="11"/>
        <v>27</v>
      </c>
      <c r="AA54" s="96">
        <f t="shared" si="12"/>
        <v>21</v>
      </c>
    </row>
    <row r="55" spans="1:27" s="23" customFormat="1" ht="15" x14ac:dyDescent="0.25">
      <c r="A55" s="22"/>
      <c r="B55" s="21" t="s">
        <v>39</v>
      </c>
      <c r="C55" s="123" t="s">
        <v>795</v>
      </c>
      <c r="D55" s="54">
        <v>0</v>
      </c>
      <c r="E55" s="55">
        <v>0</v>
      </c>
      <c r="F55" s="54">
        <v>13</v>
      </c>
      <c r="G55" s="56">
        <v>11.5</v>
      </c>
      <c r="H55" s="57"/>
      <c r="I55" s="55"/>
      <c r="J55" s="54"/>
      <c r="K55" s="55"/>
      <c r="L55" s="49"/>
      <c r="M55" s="56"/>
      <c r="N55" s="49"/>
      <c r="O55" s="56"/>
      <c r="P55" s="49"/>
      <c r="Q55" s="56"/>
      <c r="R55" s="49"/>
      <c r="S55" s="56"/>
      <c r="T55" s="49">
        <v>1</v>
      </c>
      <c r="U55" s="56">
        <v>1</v>
      </c>
      <c r="V55" s="49"/>
      <c r="W55" s="56"/>
      <c r="X55" s="92">
        <f t="shared" si="9"/>
        <v>14</v>
      </c>
      <c r="Y55" s="92">
        <f t="shared" si="10"/>
        <v>1</v>
      </c>
      <c r="Z55" s="96">
        <f t="shared" si="11"/>
        <v>13.5</v>
      </c>
      <c r="AA55" s="96">
        <f t="shared" si="12"/>
        <v>10.5</v>
      </c>
    </row>
    <row r="56" spans="1:27" s="23" customFormat="1" ht="15" x14ac:dyDescent="0.25">
      <c r="A56" s="22"/>
      <c r="B56" s="21" t="s">
        <v>42</v>
      </c>
      <c r="C56" s="123" t="s">
        <v>796</v>
      </c>
      <c r="D56" s="54">
        <v>8</v>
      </c>
      <c r="E56" s="55">
        <v>6.6</v>
      </c>
      <c r="F56" s="54"/>
      <c r="G56" s="56"/>
      <c r="H56" s="57"/>
      <c r="I56" s="55"/>
      <c r="J56" s="54"/>
      <c r="K56" s="55"/>
      <c r="L56" s="49"/>
      <c r="M56" s="56"/>
      <c r="N56" s="49"/>
      <c r="O56" s="56"/>
      <c r="P56" s="49"/>
      <c r="Q56" s="56"/>
      <c r="R56" s="49"/>
      <c r="S56" s="56"/>
      <c r="T56" s="49"/>
      <c r="U56" s="56"/>
      <c r="V56" s="49"/>
      <c r="W56" s="56"/>
      <c r="X56" s="92">
        <f t="shared" si="9"/>
        <v>8</v>
      </c>
      <c r="Y56" s="92">
        <f t="shared" si="10"/>
        <v>6.6</v>
      </c>
      <c r="Z56" s="96">
        <f t="shared" si="11"/>
        <v>89.1</v>
      </c>
      <c r="AA56" s="96">
        <f t="shared" si="12"/>
        <v>69.3</v>
      </c>
    </row>
    <row r="57" spans="1:27" s="23" customFormat="1" ht="15" x14ac:dyDescent="0.25">
      <c r="A57" s="22"/>
      <c r="B57" s="21" t="s">
        <v>43</v>
      </c>
      <c r="C57" s="123" t="s">
        <v>797</v>
      </c>
      <c r="D57" s="54">
        <v>7</v>
      </c>
      <c r="E57" s="55">
        <v>5</v>
      </c>
      <c r="F57" s="54"/>
      <c r="G57" s="56"/>
      <c r="H57" s="57"/>
      <c r="I57" s="55"/>
      <c r="J57" s="54"/>
      <c r="K57" s="55"/>
      <c r="L57" s="49"/>
      <c r="M57" s="56"/>
      <c r="N57" s="49"/>
      <c r="O57" s="56"/>
      <c r="P57" s="49"/>
      <c r="Q57" s="56"/>
      <c r="R57" s="49"/>
      <c r="S57" s="56"/>
      <c r="T57" s="49"/>
      <c r="U57" s="56"/>
      <c r="V57" s="49"/>
      <c r="W57" s="56"/>
      <c r="X57" s="92">
        <f t="shared" si="9"/>
        <v>7</v>
      </c>
      <c r="Y57" s="92">
        <f t="shared" si="10"/>
        <v>5</v>
      </c>
      <c r="Z57" s="96">
        <f t="shared" si="11"/>
        <v>67.5</v>
      </c>
      <c r="AA57" s="96">
        <f t="shared" si="12"/>
        <v>52.5</v>
      </c>
    </row>
    <row r="58" spans="1:27" s="23" customFormat="1" ht="15" x14ac:dyDescent="0.25">
      <c r="A58" s="22"/>
      <c r="B58" s="21" t="s">
        <v>44</v>
      </c>
      <c r="C58" s="123" t="s">
        <v>798</v>
      </c>
      <c r="D58" s="54">
        <v>5</v>
      </c>
      <c r="E58" s="55">
        <v>4.3</v>
      </c>
      <c r="F58" s="54"/>
      <c r="G58" s="56"/>
      <c r="H58" s="57"/>
      <c r="I58" s="55"/>
      <c r="J58" s="54"/>
      <c r="K58" s="55"/>
      <c r="L58" s="49"/>
      <c r="M58" s="56"/>
      <c r="N58" s="49"/>
      <c r="O58" s="56"/>
      <c r="P58" s="49"/>
      <c r="Q58" s="56"/>
      <c r="R58" s="49"/>
      <c r="S58" s="56"/>
      <c r="T58" s="49"/>
      <c r="U58" s="56"/>
      <c r="V58" s="49"/>
      <c r="W58" s="56"/>
      <c r="X58" s="92">
        <f t="shared" si="9"/>
        <v>5</v>
      </c>
      <c r="Y58" s="92">
        <f t="shared" si="10"/>
        <v>4.3</v>
      </c>
      <c r="Z58" s="96">
        <f t="shared" si="11"/>
        <v>58.05</v>
      </c>
      <c r="AA58" s="96">
        <f t="shared" si="12"/>
        <v>45.15</v>
      </c>
    </row>
    <row r="59" spans="1:27" s="23" customFormat="1" ht="15" x14ac:dyDescent="0.25">
      <c r="A59" s="22"/>
      <c r="B59" s="21" t="s">
        <v>98</v>
      </c>
      <c r="C59" s="123" t="s">
        <v>799</v>
      </c>
      <c r="D59" s="54">
        <v>5</v>
      </c>
      <c r="E59" s="55">
        <v>4.5999999999999996</v>
      </c>
      <c r="F59" s="54"/>
      <c r="G59" s="56"/>
      <c r="H59" s="57"/>
      <c r="I59" s="55"/>
      <c r="J59" s="54"/>
      <c r="K59" s="55"/>
      <c r="L59" s="49"/>
      <c r="M59" s="56"/>
      <c r="N59" s="49"/>
      <c r="O59" s="56"/>
      <c r="P59" s="49"/>
      <c r="Q59" s="56"/>
      <c r="R59" s="49"/>
      <c r="S59" s="56"/>
      <c r="T59" s="49"/>
      <c r="U59" s="56"/>
      <c r="V59" s="49"/>
      <c r="W59" s="56"/>
      <c r="X59" s="92">
        <f t="shared" si="9"/>
        <v>5</v>
      </c>
      <c r="Y59" s="92">
        <f t="shared" si="10"/>
        <v>4.5999999999999996</v>
      </c>
      <c r="Z59" s="96">
        <f t="shared" si="11"/>
        <v>62.099999999999994</v>
      </c>
      <c r="AA59" s="96">
        <f t="shared" si="12"/>
        <v>48.3</v>
      </c>
    </row>
    <row r="60" spans="1:27" s="23" customFormat="1" ht="15" x14ac:dyDescent="0.25">
      <c r="A60" s="22"/>
      <c r="B60" s="21" t="s">
        <v>99</v>
      </c>
      <c r="C60" s="123" t="s">
        <v>800</v>
      </c>
      <c r="D60" s="54">
        <v>4</v>
      </c>
      <c r="E60" s="55">
        <v>2.1</v>
      </c>
      <c r="F60" s="54">
        <v>4</v>
      </c>
      <c r="G60" s="56">
        <v>3.6</v>
      </c>
      <c r="H60" s="57"/>
      <c r="I60" s="55"/>
      <c r="J60" s="54"/>
      <c r="K60" s="55"/>
      <c r="L60" s="49"/>
      <c r="M60" s="56"/>
      <c r="N60" s="49"/>
      <c r="O60" s="56"/>
      <c r="P60" s="49"/>
      <c r="Q60" s="56"/>
      <c r="R60" s="49"/>
      <c r="S60" s="56"/>
      <c r="T60" s="49"/>
      <c r="U60" s="56"/>
      <c r="V60" s="49"/>
      <c r="W60" s="56"/>
      <c r="X60" s="92">
        <f t="shared" si="9"/>
        <v>8</v>
      </c>
      <c r="Y60" s="92">
        <f t="shared" si="10"/>
        <v>2.1</v>
      </c>
      <c r="Z60" s="96">
        <f t="shared" si="11"/>
        <v>28.35</v>
      </c>
      <c r="AA60" s="96">
        <f t="shared" si="12"/>
        <v>22.05</v>
      </c>
    </row>
    <row r="61" spans="1:27" s="23" customFormat="1" ht="15" x14ac:dyDescent="0.25">
      <c r="A61" s="22"/>
      <c r="B61" s="21" t="s">
        <v>100</v>
      </c>
      <c r="C61" s="123" t="s">
        <v>801</v>
      </c>
      <c r="D61" s="54">
        <v>18</v>
      </c>
      <c r="E61" s="55">
        <v>15.3</v>
      </c>
      <c r="F61" s="54"/>
      <c r="G61" s="56"/>
      <c r="H61" s="57"/>
      <c r="I61" s="55"/>
      <c r="J61" s="54"/>
      <c r="K61" s="55"/>
      <c r="L61" s="49"/>
      <c r="M61" s="56"/>
      <c r="N61" s="49"/>
      <c r="O61" s="56"/>
      <c r="P61" s="49"/>
      <c r="Q61" s="56"/>
      <c r="R61" s="49"/>
      <c r="S61" s="56"/>
      <c r="T61" s="49"/>
      <c r="U61" s="56"/>
      <c r="V61" s="49"/>
      <c r="W61" s="56"/>
      <c r="X61" s="92">
        <f t="shared" si="9"/>
        <v>18</v>
      </c>
      <c r="Y61" s="92">
        <f t="shared" si="10"/>
        <v>15.3</v>
      </c>
      <c r="Z61" s="96">
        <f t="shared" si="11"/>
        <v>206.55</v>
      </c>
      <c r="AA61" s="96">
        <f t="shared" si="12"/>
        <v>160.65</v>
      </c>
    </row>
    <row r="62" spans="1:27" s="23" customFormat="1" ht="15" x14ac:dyDescent="0.25">
      <c r="A62" s="22"/>
      <c r="B62" s="21" t="s">
        <v>101</v>
      </c>
      <c r="C62" s="123" t="s">
        <v>955</v>
      </c>
      <c r="D62" s="422">
        <v>10</v>
      </c>
      <c r="E62" s="423">
        <v>10</v>
      </c>
      <c r="F62" s="422"/>
      <c r="G62" s="424"/>
      <c r="H62" s="425"/>
      <c r="I62" s="423"/>
      <c r="J62" s="422"/>
      <c r="K62" s="423"/>
      <c r="L62" s="426"/>
      <c r="M62" s="424"/>
      <c r="N62" s="426"/>
      <c r="O62" s="424"/>
      <c r="P62" s="426"/>
      <c r="Q62" s="424"/>
      <c r="R62" s="426"/>
      <c r="S62" s="424"/>
      <c r="T62" s="426"/>
      <c r="U62" s="424"/>
      <c r="V62" s="426"/>
      <c r="W62" s="424"/>
      <c r="X62" s="92">
        <f t="shared" si="9"/>
        <v>10</v>
      </c>
      <c r="Y62" s="92">
        <f t="shared" si="10"/>
        <v>10</v>
      </c>
      <c r="Z62" s="96">
        <f t="shared" si="11"/>
        <v>135</v>
      </c>
      <c r="AA62" s="96">
        <f t="shared" si="12"/>
        <v>105</v>
      </c>
    </row>
    <row r="63" spans="1:27" s="23" customFormat="1" ht="15" x14ac:dyDescent="0.25">
      <c r="A63" s="22"/>
      <c r="B63" s="21" t="s">
        <v>102</v>
      </c>
      <c r="C63" s="123" t="s">
        <v>770</v>
      </c>
      <c r="D63" s="50">
        <v>9</v>
      </c>
      <c r="E63" s="51">
        <v>8.5</v>
      </c>
      <c r="F63" s="50"/>
      <c r="G63" s="52"/>
      <c r="H63" s="53"/>
      <c r="I63" s="51"/>
      <c r="J63" s="50"/>
      <c r="K63" s="51"/>
      <c r="L63" s="48"/>
      <c r="M63" s="52"/>
      <c r="N63" s="48"/>
      <c r="O63" s="52"/>
      <c r="P63" s="48"/>
      <c r="Q63" s="52"/>
      <c r="R63" s="48"/>
      <c r="S63" s="52"/>
      <c r="T63" s="48"/>
      <c r="U63" s="52"/>
      <c r="V63" s="48"/>
      <c r="W63" s="52"/>
      <c r="X63" s="92">
        <f t="shared" si="9"/>
        <v>9</v>
      </c>
      <c r="Y63" s="92">
        <f t="shared" si="10"/>
        <v>8.5</v>
      </c>
      <c r="Z63" s="96">
        <f t="shared" si="11"/>
        <v>114.75</v>
      </c>
      <c r="AA63" s="96">
        <f t="shared" si="12"/>
        <v>89.25</v>
      </c>
    </row>
    <row r="64" spans="1:27" s="23" customFormat="1" ht="15" x14ac:dyDescent="0.25">
      <c r="A64" s="22"/>
      <c r="B64" s="21" t="s">
        <v>103</v>
      </c>
      <c r="C64" s="123" t="s">
        <v>774</v>
      </c>
      <c r="D64" s="54">
        <v>37</v>
      </c>
      <c r="E64" s="55">
        <v>34.200000000000003</v>
      </c>
      <c r="F64" s="54">
        <v>20</v>
      </c>
      <c r="G64" s="56">
        <v>17.399999999999999</v>
      </c>
      <c r="H64" s="57"/>
      <c r="I64" s="55"/>
      <c r="J64" s="54"/>
      <c r="K64" s="55"/>
      <c r="L64" s="49"/>
      <c r="M64" s="56"/>
      <c r="N64" s="49"/>
      <c r="O64" s="56"/>
      <c r="P64" s="49"/>
      <c r="Q64" s="56"/>
      <c r="R64" s="49"/>
      <c r="S64" s="56"/>
      <c r="T64" s="49">
        <v>5</v>
      </c>
      <c r="U64" s="56">
        <v>5</v>
      </c>
      <c r="V64" s="49"/>
      <c r="W64" s="56"/>
      <c r="X64" s="92">
        <f t="shared" si="9"/>
        <v>62</v>
      </c>
      <c r="Y64" s="92">
        <f t="shared" si="10"/>
        <v>39.200000000000003</v>
      </c>
      <c r="Z64" s="96">
        <f t="shared" si="11"/>
        <v>529.20000000000005</v>
      </c>
      <c r="AA64" s="96">
        <f t="shared" si="12"/>
        <v>411.6</v>
      </c>
    </row>
    <row r="65" spans="1:27" s="23" customFormat="1" ht="15" x14ac:dyDescent="0.25">
      <c r="A65" s="22"/>
      <c r="B65" s="21" t="s">
        <v>104</v>
      </c>
      <c r="C65" s="123" t="s">
        <v>773</v>
      </c>
      <c r="D65" s="54">
        <v>6</v>
      </c>
      <c r="E65" s="55">
        <v>4.5999999999999996</v>
      </c>
      <c r="F65" s="54">
        <v>13</v>
      </c>
      <c r="G65" s="56">
        <v>11.7</v>
      </c>
      <c r="H65" s="57"/>
      <c r="I65" s="55"/>
      <c r="J65" s="54"/>
      <c r="K65" s="55"/>
      <c r="L65" s="49"/>
      <c r="M65" s="56"/>
      <c r="N65" s="49"/>
      <c r="O65" s="56"/>
      <c r="P65" s="49"/>
      <c r="Q65" s="56"/>
      <c r="R65" s="49"/>
      <c r="S65" s="56"/>
      <c r="T65" s="49">
        <v>2</v>
      </c>
      <c r="U65" s="56">
        <v>2</v>
      </c>
      <c r="V65" s="49"/>
      <c r="W65" s="56"/>
      <c r="X65" s="92">
        <f t="shared" si="9"/>
        <v>21</v>
      </c>
      <c r="Y65" s="92">
        <f t="shared" si="10"/>
        <v>6.6</v>
      </c>
      <c r="Z65" s="96">
        <f t="shared" si="11"/>
        <v>89.1</v>
      </c>
      <c r="AA65" s="96">
        <f t="shared" si="12"/>
        <v>69.3</v>
      </c>
    </row>
    <row r="66" spans="1:27" s="23" customFormat="1" ht="15" x14ac:dyDescent="0.25">
      <c r="A66" s="22"/>
      <c r="B66" s="21" t="s">
        <v>105</v>
      </c>
      <c r="C66" s="123" t="s">
        <v>771</v>
      </c>
      <c r="D66" s="54">
        <v>19</v>
      </c>
      <c r="E66" s="55">
        <v>17.3</v>
      </c>
      <c r="F66" s="54"/>
      <c r="G66" s="56"/>
      <c r="H66" s="57"/>
      <c r="I66" s="55"/>
      <c r="J66" s="54"/>
      <c r="K66" s="55"/>
      <c r="L66" s="49"/>
      <c r="M66" s="56"/>
      <c r="N66" s="49"/>
      <c r="O66" s="56"/>
      <c r="P66" s="49"/>
      <c r="Q66" s="56"/>
      <c r="R66" s="49"/>
      <c r="S66" s="56"/>
      <c r="T66" s="49"/>
      <c r="U66" s="56"/>
      <c r="V66" s="49"/>
      <c r="W66" s="56"/>
      <c r="X66" s="92">
        <f t="shared" si="9"/>
        <v>19</v>
      </c>
      <c r="Y66" s="92">
        <f t="shared" si="10"/>
        <v>17.3</v>
      </c>
      <c r="Z66" s="96">
        <f t="shared" si="11"/>
        <v>233.55</v>
      </c>
      <c r="AA66" s="96">
        <f t="shared" si="12"/>
        <v>181.65</v>
      </c>
    </row>
    <row r="67" spans="1:27" s="23" customFormat="1" ht="15" x14ac:dyDescent="0.25">
      <c r="A67" s="22"/>
      <c r="B67" s="21" t="s">
        <v>810</v>
      </c>
      <c r="C67" s="123" t="s">
        <v>772</v>
      </c>
      <c r="D67" s="54">
        <v>5</v>
      </c>
      <c r="E67" s="55">
        <v>5</v>
      </c>
      <c r="F67" s="54"/>
      <c r="G67" s="56"/>
      <c r="H67" s="57"/>
      <c r="I67" s="55"/>
      <c r="J67" s="54"/>
      <c r="K67" s="55"/>
      <c r="L67" s="49"/>
      <c r="M67" s="56"/>
      <c r="N67" s="49"/>
      <c r="O67" s="56"/>
      <c r="P67" s="49"/>
      <c r="Q67" s="56"/>
      <c r="R67" s="49"/>
      <c r="S67" s="56"/>
      <c r="T67" s="49"/>
      <c r="U67" s="56"/>
      <c r="V67" s="49"/>
      <c r="W67" s="56"/>
      <c r="X67" s="92">
        <f t="shared" si="9"/>
        <v>5</v>
      </c>
      <c r="Y67" s="92">
        <f t="shared" si="10"/>
        <v>5</v>
      </c>
      <c r="Z67" s="96">
        <f t="shared" si="11"/>
        <v>67.5</v>
      </c>
      <c r="AA67" s="96">
        <f t="shared" si="12"/>
        <v>52.5</v>
      </c>
    </row>
    <row r="68" spans="1:27" s="23" customFormat="1" ht="15" x14ac:dyDescent="0.25">
      <c r="A68" s="22"/>
      <c r="B68" s="21" t="s">
        <v>811</v>
      </c>
      <c r="C68" s="123" t="s">
        <v>775</v>
      </c>
      <c r="D68" s="54">
        <v>12</v>
      </c>
      <c r="E68" s="55">
        <v>12</v>
      </c>
      <c r="F68" s="54"/>
      <c r="G68" s="56"/>
      <c r="H68" s="57"/>
      <c r="I68" s="55"/>
      <c r="J68" s="54"/>
      <c r="K68" s="55"/>
      <c r="L68" s="49"/>
      <c r="M68" s="56"/>
      <c r="N68" s="49"/>
      <c r="O68" s="56"/>
      <c r="P68" s="49"/>
      <c r="Q68" s="56"/>
      <c r="R68" s="49"/>
      <c r="S68" s="56"/>
      <c r="T68" s="49"/>
      <c r="U68" s="56"/>
      <c r="V68" s="49"/>
      <c r="W68" s="56"/>
      <c r="X68" s="92">
        <f t="shared" si="9"/>
        <v>12</v>
      </c>
      <c r="Y68" s="92">
        <f t="shared" si="10"/>
        <v>12</v>
      </c>
      <c r="Z68" s="96">
        <f t="shared" si="11"/>
        <v>162</v>
      </c>
      <c r="AA68" s="96">
        <f t="shared" si="12"/>
        <v>126</v>
      </c>
    </row>
    <row r="69" spans="1:27" s="23" customFormat="1" ht="15" x14ac:dyDescent="0.25">
      <c r="A69" s="22"/>
      <c r="B69" s="21" t="s">
        <v>812</v>
      </c>
      <c r="C69" s="123" t="s">
        <v>808</v>
      </c>
      <c r="D69" s="54">
        <v>2</v>
      </c>
      <c r="E69" s="55">
        <v>2</v>
      </c>
      <c r="F69" s="54"/>
      <c r="G69" s="56"/>
      <c r="H69" s="57"/>
      <c r="I69" s="55"/>
      <c r="J69" s="54"/>
      <c r="K69" s="55"/>
      <c r="L69" s="49"/>
      <c r="M69" s="56"/>
      <c r="N69" s="49"/>
      <c r="O69" s="56"/>
      <c r="P69" s="49"/>
      <c r="Q69" s="56"/>
      <c r="R69" s="49"/>
      <c r="S69" s="56"/>
      <c r="T69" s="49"/>
      <c r="U69" s="56"/>
      <c r="V69" s="49"/>
      <c r="W69" s="56"/>
      <c r="X69" s="92">
        <f t="shared" si="9"/>
        <v>2</v>
      </c>
      <c r="Y69" s="92">
        <f t="shared" si="10"/>
        <v>2</v>
      </c>
      <c r="Z69" s="96">
        <f t="shared" si="11"/>
        <v>27</v>
      </c>
      <c r="AA69" s="96">
        <f t="shared" si="12"/>
        <v>21</v>
      </c>
    </row>
    <row r="70" spans="1:27" s="23" customFormat="1" ht="15" x14ac:dyDescent="0.25">
      <c r="A70" s="22"/>
      <c r="B70" s="21" t="s">
        <v>813</v>
      </c>
      <c r="C70" s="123" t="s">
        <v>809</v>
      </c>
      <c r="D70" s="54">
        <v>16</v>
      </c>
      <c r="E70" s="55">
        <v>12.1</v>
      </c>
      <c r="F70" s="54"/>
      <c r="G70" s="56"/>
      <c r="H70" s="57"/>
      <c r="I70" s="55"/>
      <c r="J70" s="54"/>
      <c r="K70" s="55"/>
      <c r="L70" s="49"/>
      <c r="M70" s="56"/>
      <c r="N70" s="49"/>
      <c r="O70" s="56"/>
      <c r="P70" s="49"/>
      <c r="Q70" s="56"/>
      <c r="R70" s="49"/>
      <c r="S70" s="56"/>
      <c r="T70" s="49">
        <v>8</v>
      </c>
      <c r="U70" s="56">
        <v>8</v>
      </c>
      <c r="V70" s="49"/>
      <c r="W70" s="56"/>
      <c r="X70" s="92">
        <f t="shared" si="9"/>
        <v>24</v>
      </c>
      <c r="Y70" s="92">
        <f t="shared" si="10"/>
        <v>20.100000000000001</v>
      </c>
      <c r="Z70" s="96">
        <f t="shared" si="11"/>
        <v>271.35000000000002</v>
      </c>
      <c r="AA70" s="96">
        <f t="shared" si="12"/>
        <v>211.05</v>
      </c>
    </row>
    <row r="71" spans="1:27" s="23" customFormat="1" ht="15" x14ac:dyDescent="0.25">
      <c r="A71" s="22"/>
      <c r="B71" s="21" t="s">
        <v>814</v>
      </c>
      <c r="C71" s="123" t="s">
        <v>820</v>
      </c>
      <c r="D71" s="54">
        <v>30</v>
      </c>
      <c r="E71" s="55">
        <v>26.9</v>
      </c>
      <c r="F71" s="54">
        <v>6</v>
      </c>
      <c r="G71" s="56">
        <v>5.3</v>
      </c>
      <c r="H71" s="57"/>
      <c r="I71" s="55"/>
      <c r="J71" s="54"/>
      <c r="K71" s="55"/>
      <c r="L71" s="49"/>
      <c r="M71" s="56"/>
      <c r="N71" s="49"/>
      <c r="O71" s="56"/>
      <c r="P71" s="49"/>
      <c r="Q71" s="56"/>
      <c r="R71" s="49"/>
      <c r="S71" s="56"/>
      <c r="T71" s="49">
        <v>2</v>
      </c>
      <c r="U71" s="56">
        <v>2</v>
      </c>
      <c r="V71" s="49"/>
      <c r="W71" s="56"/>
      <c r="X71" s="92">
        <f t="shared" si="9"/>
        <v>38</v>
      </c>
      <c r="Y71" s="92">
        <f t="shared" si="10"/>
        <v>28.9</v>
      </c>
      <c r="Z71" s="96">
        <f t="shared" si="11"/>
        <v>390.15</v>
      </c>
      <c r="AA71" s="96">
        <f t="shared" si="12"/>
        <v>303.45</v>
      </c>
    </row>
    <row r="72" spans="1:27" s="23" customFormat="1" ht="15" x14ac:dyDescent="0.25">
      <c r="A72" s="22"/>
      <c r="B72" s="21" t="s">
        <v>815</v>
      </c>
      <c r="C72" s="123" t="s">
        <v>821</v>
      </c>
      <c r="D72" s="54">
        <v>15</v>
      </c>
      <c r="E72" s="55">
        <v>14</v>
      </c>
      <c r="F72" s="54"/>
      <c r="G72" s="56"/>
      <c r="H72" s="57"/>
      <c r="I72" s="55"/>
      <c r="J72" s="54"/>
      <c r="K72" s="55"/>
      <c r="L72" s="49"/>
      <c r="M72" s="56"/>
      <c r="N72" s="49"/>
      <c r="O72" s="56"/>
      <c r="P72" s="49"/>
      <c r="Q72" s="56"/>
      <c r="R72" s="49"/>
      <c r="S72" s="56"/>
      <c r="T72" s="49">
        <v>13</v>
      </c>
      <c r="U72" s="56">
        <v>13</v>
      </c>
      <c r="V72" s="49"/>
      <c r="W72" s="56"/>
      <c r="X72" s="92">
        <f t="shared" si="9"/>
        <v>28</v>
      </c>
      <c r="Y72" s="92">
        <f t="shared" si="10"/>
        <v>27</v>
      </c>
      <c r="Z72" s="96">
        <f t="shared" si="11"/>
        <v>364.5</v>
      </c>
      <c r="AA72" s="96">
        <f t="shared" si="12"/>
        <v>283.5</v>
      </c>
    </row>
    <row r="73" spans="1:27" s="23" customFormat="1" ht="15" x14ac:dyDescent="0.25">
      <c r="A73" s="22"/>
      <c r="B73" s="21" t="s">
        <v>816</v>
      </c>
      <c r="C73" s="123" t="s">
        <v>822</v>
      </c>
      <c r="D73" s="54">
        <v>18</v>
      </c>
      <c r="E73" s="55">
        <v>17.600000000000001</v>
      </c>
      <c r="F73" s="54"/>
      <c r="G73" s="56"/>
      <c r="H73" s="57"/>
      <c r="I73" s="55"/>
      <c r="J73" s="54"/>
      <c r="K73" s="55"/>
      <c r="L73" s="49"/>
      <c r="M73" s="56"/>
      <c r="N73" s="49"/>
      <c r="O73" s="56"/>
      <c r="P73" s="49"/>
      <c r="Q73" s="56"/>
      <c r="R73" s="49"/>
      <c r="S73" s="56"/>
      <c r="T73" s="49">
        <v>30</v>
      </c>
      <c r="U73" s="56">
        <v>30</v>
      </c>
      <c r="V73" s="49"/>
      <c r="W73" s="56"/>
      <c r="X73" s="92">
        <f t="shared" si="9"/>
        <v>48</v>
      </c>
      <c r="Y73" s="92">
        <f t="shared" si="10"/>
        <v>47.6</v>
      </c>
      <c r="Z73" s="96">
        <f t="shared" si="11"/>
        <v>642.6</v>
      </c>
      <c r="AA73" s="96">
        <f t="shared" si="12"/>
        <v>499.8</v>
      </c>
    </row>
    <row r="74" spans="1:27" s="23" customFormat="1" ht="15" x14ac:dyDescent="0.25">
      <c r="A74" s="22"/>
      <c r="B74" s="21" t="s">
        <v>817</v>
      </c>
      <c r="C74" s="123" t="s">
        <v>823</v>
      </c>
      <c r="D74" s="54">
        <v>25</v>
      </c>
      <c r="E74" s="55">
        <v>23.7</v>
      </c>
      <c r="F74" s="54"/>
      <c r="G74" s="56"/>
      <c r="H74" s="57"/>
      <c r="I74" s="55"/>
      <c r="J74" s="54"/>
      <c r="K74" s="55"/>
      <c r="L74" s="49"/>
      <c r="M74" s="56"/>
      <c r="N74" s="49"/>
      <c r="O74" s="56"/>
      <c r="P74" s="49"/>
      <c r="Q74" s="56"/>
      <c r="R74" s="49"/>
      <c r="S74" s="56"/>
      <c r="T74" s="49">
        <v>9</v>
      </c>
      <c r="U74" s="56">
        <v>9</v>
      </c>
      <c r="V74" s="49"/>
      <c r="W74" s="56"/>
      <c r="X74" s="92">
        <f t="shared" si="9"/>
        <v>34</v>
      </c>
      <c r="Y74" s="92">
        <f t="shared" si="10"/>
        <v>32.700000000000003</v>
      </c>
      <c r="Z74" s="96">
        <f t="shared" si="11"/>
        <v>441.45000000000005</v>
      </c>
      <c r="AA74" s="96">
        <f t="shared" si="12"/>
        <v>343.35</v>
      </c>
    </row>
    <row r="75" spans="1:27" s="23" customFormat="1" ht="15" x14ac:dyDescent="0.25">
      <c r="A75" s="22"/>
      <c r="B75" s="21" t="s">
        <v>818</v>
      </c>
      <c r="C75" s="123" t="s">
        <v>824</v>
      </c>
      <c r="D75" s="54">
        <v>48</v>
      </c>
      <c r="E75" s="55">
        <v>40.6</v>
      </c>
      <c r="F75" s="54"/>
      <c r="G75" s="56"/>
      <c r="H75" s="57"/>
      <c r="I75" s="55"/>
      <c r="J75" s="54"/>
      <c r="K75" s="55"/>
      <c r="L75" s="49"/>
      <c r="M75" s="56"/>
      <c r="N75" s="49"/>
      <c r="O75" s="56"/>
      <c r="P75" s="49"/>
      <c r="Q75" s="56"/>
      <c r="R75" s="49"/>
      <c r="S75" s="56"/>
      <c r="T75" s="49">
        <v>5</v>
      </c>
      <c r="U75" s="56">
        <v>5</v>
      </c>
      <c r="V75" s="49"/>
      <c r="W75" s="56"/>
      <c r="X75" s="92">
        <f t="shared" si="9"/>
        <v>53</v>
      </c>
      <c r="Y75" s="92">
        <f t="shared" si="10"/>
        <v>45.6</v>
      </c>
      <c r="Z75" s="96">
        <f t="shared" si="11"/>
        <v>615.6</v>
      </c>
      <c r="AA75" s="96">
        <f t="shared" si="12"/>
        <v>478.8</v>
      </c>
    </row>
    <row r="76" spans="1:27" s="23" customFormat="1" ht="15" x14ac:dyDescent="0.25">
      <c r="A76" s="22"/>
      <c r="B76" s="21" t="s">
        <v>819</v>
      </c>
      <c r="C76" s="123" t="s">
        <v>957</v>
      </c>
      <c r="D76" s="54"/>
      <c r="E76" s="55"/>
      <c r="F76" s="54"/>
      <c r="G76" s="56"/>
      <c r="H76" s="57"/>
      <c r="I76" s="55"/>
      <c r="J76" s="54"/>
      <c r="K76" s="55"/>
      <c r="L76" s="49"/>
      <c r="M76" s="56"/>
      <c r="N76" s="49"/>
      <c r="O76" s="56"/>
      <c r="P76" s="49"/>
      <c r="Q76" s="56"/>
      <c r="R76" s="49"/>
      <c r="S76" s="56"/>
      <c r="T76" s="49">
        <v>3</v>
      </c>
      <c r="U76" s="56">
        <v>3</v>
      </c>
      <c r="V76" s="49"/>
      <c r="W76" s="56"/>
      <c r="X76" s="92">
        <f t="shared" si="9"/>
        <v>3</v>
      </c>
      <c r="Y76" s="92">
        <f t="shared" si="10"/>
        <v>3</v>
      </c>
      <c r="Z76" s="96">
        <f t="shared" si="11"/>
        <v>40.5</v>
      </c>
      <c r="AA76" s="96">
        <f t="shared" si="12"/>
        <v>31.5</v>
      </c>
    </row>
    <row r="77" spans="1:27" s="23" customFormat="1" ht="15" x14ac:dyDescent="0.25">
      <c r="A77" s="22"/>
      <c r="B77" s="21" t="s">
        <v>825</v>
      </c>
      <c r="C77" s="123" t="s">
        <v>956</v>
      </c>
      <c r="D77" s="54">
        <v>32</v>
      </c>
      <c r="E77" s="55">
        <v>32</v>
      </c>
      <c r="F77" s="54"/>
      <c r="G77" s="56"/>
      <c r="H77" s="57"/>
      <c r="I77" s="55"/>
      <c r="J77" s="54"/>
      <c r="K77" s="55"/>
      <c r="L77" s="49"/>
      <c r="M77" s="56"/>
      <c r="N77" s="49"/>
      <c r="O77" s="56"/>
      <c r="P77" s="49"/>
      <c r="Q77" s="56"/>
      <c r="R77" s="49"/>
      <c r="S77" s="56"/>
      <c r="T77" s="49">
        <v>6</v>
      </c>
      <c r="U77" s="56">
        <v>6</v>
      </c>
      <c r="V77" s="49"/>
      <c r="W77" s="56"/>
      <c r="X77" s="92">
        <f t="shared" si="9"/>
        <v>38</v>
      </c>
      <c r="Y77" s="92">
        <f t="shared" si="10"/>
        <v>38</v>
      </c>
      <c r="Z77" s="96">
        <f t="shared" si="11"/>
        <v>513</v>
      </c>
      <c r="AA77" s="96">
        <f t="shared" si="12"/>
        <v>399</v>
      </c>
    </row>
    <row r="78" spans="1:27" s="23" customFormat="1" ht="15" x14ac:dyDescent="0.25">
      <c r="A78" s="22"/>
      <c r="B78" s="21" t="s">
        <v>826</v>
      </c>
      <c r="C78" s="123" t="s">
        <v>832</v>
      </c>
      <c r="D78" s="54">
        <v>5</v>
      </c>
      <c r="E78" s="55">
        <v>1</v>
      </c>
      <c r="F78" s="54"/>
      <c r="G78" s="56"/>
      <c r="H78" s="57"/>
      <c r="I78" s="55"/>
      <c r="J78" s="54"/>
      <c r="K78" s="55"/>
      <c r="L78" s="49"/>
      <c r="M78" s="56"/>
      <c r="N78" s="49"/>
      <c r="O78" s="56"/>
      <c r="P78" s="49"/>
      <c r="Q78" s="56"/>
      <c r="R78" s="49"/>
      <c r="S78" s="56"/>
      <c r="T78" s="49">
        <v>2</v>
      </c>
      <c r="U78" s="56">
        <v>2</v>
      </c>
      <c r="V78" s="49"/>
      <c r="W78" s="56"/>
      <c r="X78" s="92">
        <f t="shared" si="9"/>
        <v>7</v>
      </c>
      <c r="Y78" s="92">
        <f t="shared" si="10"/>
        <v>3</v>
      </c>
      <c r="Z78" s="96">
        <f t="shared" si="11"/>
        <v>40.5</v>
      </c>
      <c r="AA78" s="96">
        <f t="shared" si="12"/>
        <v>31.5</v>
      </c>
    </row>
    <row r="79" spans="1:27" s="23" customFormat="1" ht="15" x14ac:dyDescent="0.25">
      <c r="A79" s="22"/>
      <c r="B79" s="21" t="s">
        <v>827</v>
      </c>
      <c r="C79" s="123" t="s">
        <v>833</v>
      </c>
      <c r="D79" s="54">
        <v>2</v>
      </c>
      <c r="E79" s="55">
        <v>2</v>
      </c>
      <c r="F79" s="54"/>
      <c r="G79" s="56"/>
      <c r="H79" s="57"/>
      <c r="I79" s="55"/>
      <c r="J79" s="54"/>
      <c r="K79" s="55"/>
      <c r="L79" s="49"/>
      <c r="M79" s="56"/>
      <c r="N79" s="49"/>
      <c r="O79" s="56"/>
      <c r="P79" s="49"/>
      <c r="Q79" s="56"/>
      <c r="R79" s="49"/>
      <c r="S79" s="56"/>
      <c r="T79" s="49"/>
      <c r="U79" s="56"/>
      <c r="V79" s="49"/>
      <c r="W79" s="56"/>
      <c r="X79" s="92">
        <f t="shared" si="9"/>
        <v>2</v>
      </c>
      <c r="Y79" s="92">
        <f t="shared" si="10"/>
        <v>2</v>
      </c>
      <c r="Z79" s="96">
        <f t="shared" si="11"/>
        <v>27</v>
      </c>
      <c r="AA79" s="96">
        <f t="shared" si="12"/>
        <v>21</v>
      </c>
    </row>
    <row r="80" spans="1:27" s="23" customFormat="1" ht="15" x14ac:dyDescent="0.25">
      <c r="A80" s="22"/>
      <c r="B80" s="21" t="s">
        <v>828</v>
      </c>
      <c r="C80" s="123" t="s">
        <v>834</v>
      </c>
      <c r="D80" s="54">
        <v>13</v>
      </c>
      <c r="E80" s="55">
        <v>12</v>
      </c>
      <c r="F80" s="54"/>
      <c r="G80" s="56"/>
      <c r="H80" s="57"/>
      <c r="I80" s="55"/>
      <c r="J80" s="54"/>
      <c r="K80" s="55"/>
      <c r="L80" s="49"/>
      <c r="M80" s="56"/>
      <c r="N80" s="49"/>
      <c r="O80" s="56"/>
      <c r="P80" s="49"/>
      <c r="Q80" s="56"/>
      <c r="R80" s="49"/>
      <c r="S80" s="56"/>
      <c r="T80" s="49"/>
      <c r="U80" s="56"/>
      <c r="V80" s="49"/>
      <c r="W80" s="56"/>
      <c r="X80" s="92">
        <f t="shared" si="9"/>
        <v>13</v>
      </c>
      <c r="Y80" s="92">
        <f t="shared" si="10"/>
        <v>12</v>
      </c>
      <c r="Z80" s="96">
        <f t="shared" si="11"/>
        <v>162</v>
      </c>
      <c r="AA80" s="96">
        <f t="shared" si="12"/>
        <v>126</v>
      </c>
    </row>
    <row r="81" spans="1:27" s="23" customFormat="1" ht="15" x14ac:dyDescent="0.25">
      <c r="A81" s="22"/>
      <c r="B81" s="21" t="s">
        <v>829</v>
      </c>
      <c r="C81" s="123" t="s">
        <v>835</v>
      </c>
      <c r="D81" s="54">
        <v>13</v>
      </c>
      <c r="E81" s="55">
        <v>12</v>
      </c>
      <c r="F81" s="54"/>
      <c r="G81" s="56"/>
      <c r="H81" s="57"/>
      <c r="I81" s="55"/>
      <c r="J81" s="54"/>
      <c r="K81" s="55"/>
      <c r="L81" s="49"/>
      <c r="M81" s="56"/>
      <c r="N81" s="49"/>
      <c r="O81" s="56"/>
      <c r="P81" s="49"/>
      <c r="Q81" s="56"/>
      <c r="R81" s="49"/>
      <c r="S81" s="56"/>
      <c r="T81" s="49"/>
      <c r="U81" s="56"/>
      <c r="V81" s="49"/>
      <c r="W81" s="56"/>
      <c r="X81" s="92">
        <f t="shared" si="9"/>
        <v>13</v>
      </c>
      <c r="Y81" s="92">
        <f t="shared" si="10"/>
        <v>12</v>
      </c>
      <c r="Z81" s="96">
        <f t="shared" si="11"/>
        <v>162</v>
      </c>
      <c r="AA81" s="96">
        <f t="shared" si="12"/>
        <v>126</v>
      </c>
    </row>
    <row r="82" spans="1:27" s="23" customFormat="1" ht="15" x14ac:dyDescent="0.25">
      <c r="A82" s="22"/>
      <c r="B82" s="21" t="s">
        <v>830</v>
      </c>
      <c r="C82" s="123" t="s">
        <v>836</v>
      </c>
      <c r="D82" s="54">
        <v>11</v>
      </c>
      <c r="E82" s="55">
        <v>9.4</v>
      </c>
      <c r="F82" s="54"/>
      <c r="G82" s="56"/>
      <c r="H82" s="57"/>
      <c r="I82" s="55"/>
      <c r="J82" s="54"/>
      <c r="K82" s="55"/>
      <c r="L82" s="49"/>
      <c r="M82" s="56"/>
      <c r="N82" s="49"/>
      <c r="O82" s="56"/>
      <c r="P82" s="49"/>
      <c r="Q82" s="56"/>
      <c r="R82" s="49"/>
      <c r="S82" s="56"/>
      <c r="T82" s="49"/>
      <c r="U82" s="56"/>
      <c r="V82" s="49"/>
      <c r="W82" s="56"/>
      <c r="X82" s="92">
        <f t="shared" si="9"/>
        <v>11</v>
      </c>
      <c r="Y82" s="92">
        <f t="shared" si="10"/>
        <v>9.4</v>
      </c>
      <c r="Z82" s="96">
        <f t="shared" si="11"/>
        <v>126.9</v>
      </c>
      <c r="AA82" s="96">
        <f t="shared" si="12"/>
        <v>98.7</v>
      </c>
    </row>
    <row r="83" spans="1:27" s="23" customFormat="1" ht="15" x14ac:dyDescent="0.25">
      <c r="A83" s="22"/>
      <c r="B83" s="21" t="s">
        <v>831</v>
      </c>
      <c r="C83" s="123" t="s">
        <v>837</v>
      </c>
      <c r="D83" s="54">
        <v>10</v>
      </c>
      <c r="E83" s="55">
        <v>9.8000000000000007</v>
      </c>
      <c r="F83" s="54"/>
      <c r="G83" s="56"/>
      <c r="H83" s="57"/>
      <c r="I83" s="55"/>
      <c r="J83" s="54"/>
      <c r="K83" s="55"/>
      <c r="L83" s="49"/>
      <c r="M83" s="56"/>
      <c r="N83" s="49"/>
      <c r="O83" s="56"/>
      <c r="P83" s="49"/>
      <c r="Q83" s="56"/>
      <c r="R83" s="49"/>
      <c r="S83" s="56"/>
      <c r="T83" s="49"/>
      <c r="U83" s="56"/>
      <c r="V83" s="49"/>
      <c r="W83" s="56"/>
      <c r="X83" s="92">
        <f t="shared" si="9"/>
        <v>10</v>
      </c>
      <c r="Y83" s="92">
        <f t="shared" si="10"/>
        <v>9.8000000000000007</v>
      </c>
      <c r="Z83" s="96">
        <f t="shared" si="11"/>
        <v>132.30000000000001</v>
      </c>
      <c r="AA83" s="96">
        <f t="shared" si="12"/>
        <v>102.9</v>
      </c>
    </row>
    <row r="84" spans="1:27" s="23" customFormat="1" ht="15" x14ac:dyDescent="0.25">
      <c r="A84" s="22"/>
      <c r="B84" s="21" t="s">
        <v>841</v>
      </c>
      <c r="C84" s="123" t="s">
        <v>838</v>
      </c>
      <c r="D84" s="54">
        <v>0</v>
      </c>
      <c r="E84" s="55">
        <v>0</v>
      </c>
      <c r="F84" s="54">
        <v>23</v>
      </c>
      <c r="G84" s="56">
        <v>19.100000000000001</v>
      </c>
      <c r="H84" s="57"/>
      <c r="I84" s="55"/>
      <c r="J84" s="54"/>
      <c r="K84" s="55"/>
      <c r="L84" s="49"/>
      <c r="M84" s="56"/>
      <c r="N84" s="49"/>
      <c r="O84" s="56"/>
      <c r="P84" s="49"/>
      <c r="Q84" s="56"/>
      <c r="R84" s="49"/>
      <c r="S84" s="56"/>
      <c r="T84" s="49"/>
      <c r="U84" s="56"/>
      <c r="V84" s="49"/>
      <c r="W84" s="56"/>
      <c r="X84" s="92">
        <f t="shared" si="9"/>
        <v>23</v>
      </c>
      <c r="Y84" s="92">
        <f t="shared" si="10"/>
        <v>0</v>
      </c>
      <c r="Z84" s="96">
        <f t="shared" si="11"/>
        <v>0</v>
      </c>
      <c r="AA84" s="96">
        <f t="shared" si="12"/>
        <v>0</v>
      </c>
    </row>
    <row r="85" spans="1:27" s="23" customFormat="1" ht="15" x14ac:dyDescent="0.25">
      <c r="A85" s="22"/>
      <c r="B85" s="21" t="s">
        <v>842</v>
      </c>
      <c r="C85" s="123" t="s">
        <v>839</v>
      </c>
      <c r="D85" s="54">
        <v>0</v>
      </c>
      <c r="E85" s="55">
        <v>0</v>
      </c>
      <c r="F85" s="54">
        <v>5</v>
      </c>
      <c r="G85" s="56">
        <v>5</v>
      </c>
      <c r="H85" s="57"/>
      <c r="I85" s="55"/>
      <c r="J85" s="54"/>
      <c r="K85" s="55"/>
      <c r="L85" s="49"/>
      <c r="M85" s="56"/>
      <c r="N85" s="49"/>
      <c r="O85" s="56"/>
      <c r="P85" s="49"/>
      <c r="Q85" s="56"/>
      <c r="R85" s="49"/>
      <c r="S85" s="56"/>
      <c r="T85" s="49"/>
      <c r="U85" s="56"/>
      <c r="V85" s="49"/>
      <c r="W85" s="56"/>
      <c r="X85" s="92">
        <f t="shared" si="9"/>
        <v>5</v>
      </c>
      <c r="Y85" s="92">
        <f t="shared" si="10"/>
        <v>0</v>
      </c>
      <c r="Z85" s="96">
        <f t="shared" si="11"/>
        <v>0</v>
      </c>
      <c r="AA85" s="96">
        <f t="shared" si="12"/>
        <v>0</v>
      </c>
    </row>
    <row r="86" spans="1:27" s="23" customFormat="1" ht="15" x14ac:dyDescent="0.25">
      <c r="A86" s="22"/>
      <c r="B86" s="21" t="s">
        <v>843</v>
      </c>
      <c r="C86" s="123" t="s">
        <v>958</v>
      </c>
      <c r="D86" s="54">
        <v>4</v>
      </c>
      <c r="E86" s="55">
        <v>4</v>
      </c>
      <c r="F86" s="54"/>
      <c r="G86" s="56"/>
      <c r="H86" s="57"/>
      <c r="I86" s="55"/>
      <c r="J86" s="54"/>
      <c r="K86" s="55"/>
      <c r="L86" s="49"/>
      <c r="M86" s="56"/>
      <c r="N86" s="49"/>
      <c r="O86" s="56"/>
      <c r="P86" s="49"/>
      <c r="Q86" s="56"/>
      <c r="R86" s="49"/>
      <c r="S86" s="56"/>
      <c r="T86" s="49"/>
      <c r="U86" s="56"/>
      <c r="V86" s="49"/>
      <c r="W86" s="56"/>
      <c r="X86" s="92">
        <f t="shared" si="9"/>
        <v>4</v>
      </c>
      <c r="Y86" s="92">
        <f t="shared" si="10"/>
        <v>4</v>
      </c>
      <c r="Z86" s="96">
        <f t="shared" si="11"/>
        <v>54</v>
      </c>
      <c r="AA86" s="96">
        <f t="shared" si="12"/>
        <v>42</v>
      </c>
    </row>
    <row r="87" spans="1:27" s="23" customFormat="1" ht="15" x14ac:dyDescent="0.25">
      <c r="A87" s="22"/>
      <c r="B87" s="21" t="s">
        <v>844</v>
      </c>
      <c r="C87" s="123" t="s">
        <v>854</v>
      </c>
      <c r="D87" s="54">
        <v>3</v>
      </c>
      <c r="E87" s="55">
        <v>3</v>
      </c>
      <c r="F87" s="54"/>
      <c r="G87" s="56"/>
      <c r="H87" s="57"/>
      <c r="I87" s="55"/>
      <c r="J87" s="54"/>
      <c r="K87" s="55"/>
      <c r="L87" s="49"/>
      <c r="M87" s="56"/>
      <c r="N87" s="49"/>
      <c r="O87" s="56"/>
      <c r="P87" s="49"/>
      <c r="Q87" s="56"/>
      <c r="R87" s="49"/>
      <c r="S87" s="56"/>
      <c r="T87" s="49"/>
      <c r="U87" s="56"/>
      <c r="V87" s="49"/>
      <c r="W87" s="56"/>
      <c r="X87" s="92">
        <f t="shared" si="9"/>
        <v>3</v>
      </c>
      <c r="Y87" s="92">
        <f t="shared" si="10"/>
        <v>3</v>
      </c>
      <c r="Z87" s="96">
        <f t="shared" si="11"/>
        <v>40.5</v>
      </c>
      <c r="AA87" s="96">
        <f t="shared" si="12"/>
        <v>31.5</v>
      </c>
    </row>
    <row r="88" spans="1:27" s="23" customFormat="1" ht="15" x14ac:dyDescent="0.25">
      <c r="A88" s="22"/>
      <c r="B88" s="21" t="s">
        <v>845</v>
      </c>
      <c r="C88" s="123" t="s">
        <v>855</v>
      </c>
      <c r="D88" s="54">
        <v>1</v>
      </c>
      <c r="E88" s="55">
        <v>0.67</v>
      </c>
      <c r="F88" s="54"/>
      <c r="G88" s="56"/>
      <c r="H88" s="57"/>
      <c r="I88" s="55"/>
      <c r="J88" s="54"/>
      <c r="K88" s="55"/>
      <c r="L88" s="49"/>
      <c r="M88" s="56"/>
      <c r="N88" s="49"/>
      <c r="O88" s="56"/>
      <c r="P88" s="49"/>
      <c r="Q88" s="56"/>
      <c r="R88" s="49"/>
      <c r="S88" s="56"/>
      <c r="T88" s="49"/>
      <c r="U88" s="56"/>
      <c r="V88" s="49"/>
      <c r="W88" s="56"/>
      <c r="X88" s="92">
        <f t="shared" si="9"/>
        <v>1</v>
      </c>
      <c r="Y88" s="92">
        <f t="shared" si="10"/>
        <v>0.67</v>
      </c>
      <c r="Z88" s="96">
        <f t="shared" si="11"/>
        <v>9.0449999999999999</v>
      </c>
      <c r="AA88" s="96">
        <f t="shared" si="12"/>
        <v>7.0350000000000001</v>
      </c>
    </row>
    <row r="89" spans="1:27" s="23" customFormat="1" ht="15" x14ac:dyDescent="0.25">
      <c r="A89" s="22"/>
      <c r="B89" s="21" t="s">
        <v>846</v>
      </c>
      <c r="C89" s="123" t="s">
        <v>856</v>
      </c>
      <c r="D89" s="54">
        <v>1</v>
      </c>
      <c r="E89" s="55">
        <v>0.8</v>
      </c>
      <c r="F89" s="54"/>
      <c r="G89" s="56"/>
      <c r="H89" s="57"/>
      <c r="I89" s="55"/>
      <c r="J89" s="54"/>
      <c r="K89" s="55"/>
      <c r="L89" s="49"/>
      <c r="M89" s="56"/>
      <c r="N89" s="49"/>
      <c r="O89" s="56"/>
      <c r="P89" s="49"/>
      <c r="Q89" s="56"/>
      <c r="R89" s="49"/>
      <c r="S89" s="56"/>
      <c r="T89" s="49"/>
      <c r="U89" s="56"/>
      <c r="V89" s="49"/>
      <c r="W89" s="56"/>
      <c r="X89" s="92">
        <f t="shared" si="9"/>
        <v>1</v>
      </c>
      <c r="Y89" s="92">
        <f t="shared" si="10"/>
        <v>0.8</v>
      </c>
      <c r="Z89" s="96">
        <f t="shared" si="11"/>
        <v>10.8</v>
      </c>
      <c r="AA89" s="96">
        <f t="shared" si="12"/>
        <v>8.4</v>
      </c>
    </row>
    <row r="90" spans="1:27" s="23" customFormat="1" ht="15" x14ac:dyDescent="0.25">
      <c r="A90" s="22"/>
      <c r="B90" s="21" t="s">
        <v>847</v>
      </c>
      <c r="C90" s="123" t="s">
        <v>857</v>
      </c>
      <c r="D90" s="54">
        <v>4</v>
      </c>
      <c r="E90" s="55">
        <v>4</v>
      </c>
      <c r="F90" s="54"/>
      <c r="G90" s="56"/>
      <c r="H90" s="57"/>
      <c r="I90" s="55"/>
      <c r="J90" s="54"/>
      <c r="K90" s="55"/>
      <c r="L90" s="49"/>
      <c r="M90" s="56"/>
      <c r="N90" s="49"/>
      <c r="O90" s="56"/>
      <c r="P90" s="49"/>
      <c r="Q90" s="56"/>
      <c r="R90" s="49"/>
      <c r="S90" s="56"/>
      <c r="T90" s="49"/>
      <c r="U90" s="56"/>
      <c r="V90" s="49"/>
      <c r="W90" s="56"/>
      <c r="X90" s="92">
        <f t="shared" si="9"/>
        <v>4</v>
      </c>
      <c r="Y90" s="92">
        <f t="shared" si="10"/>
        <v>4</v>
      </c>
      <c r="Z90" s="96">
        <f t="shared" si="11"/>
        <v>54</v>
      </c>
      <c r="AA90" s="96">
        <f t="shared" si="12"/>
        <v>42</v>
      </c>
    </row>
    <row r="91" spans="1:27" s="23" customFormat="1" ht="15" x14ac:dyDescent="0.25">
      <c r="A91" s="22"/>
      <c r="B91" s="21" t="s">
        <v>848</v>
      </c>
      <c r="C91" s="123" t="s">
        <v>858</v>
      </c>
      <c r="D91" s="54">
        <v>1</v>
      </c>
      <c r="E91" s="55">
        <v>1</v>
      </c>
      <c r="F91" s="54"/>
      <c r="G91" s="56"/>
      <c r="H91" s="57"/>
      <c r="I91" s="55"/>
      <c r="J91" s="54"/>
      <c r="K91" s="55"/>
      <c r="L91" s="49"/>
      <c r="M91" s="56"/>
      <c r="N91" s="49"/>
      <c r="O91" s="56"/>
      <c r="P91" s="49"/>
      <c r="Q91" s="56"/>
      <c r="R91" s="49"/>
      <c r="S91" s="56"/>
      <c r="T91" s="49"/>
      <c r="U91" s="56"/>
      <c r="V91" s="49"/>
      <c r="W91" s="56"/>
      <c r="X91" s="92">
        <f t="shared" si="9"/>
        <v>1</v>
      </c>
      <c r="Y91" s="92">
        <f t="shared" si="10"/>
        <v>1</v>
      </c>
      <c r="Z91" s="96">
        <f t="shared" si="11"/>
        <v>13.5</v>
      </c>
      <c r="AA91" s="96">
        <f t="shared" si="12"/>
        <v>10.5</v>
      </c>
    </row>
    <row r="92" spans="1:27" s="23" customFormat="1" ht="15" x14ac:dyDescent="0.25">
      <c r="A92" s="22"/>
      <c r="B92" s="21" t="s">
        <v>849</v>
      </c>
      <c r="C92" s="123" t="s">
        <v>859</v>
      </c>
      <c r="D92" s="54">
        <v>32</v>
      </c>
      <c r="E92" s="55">
        <v>31.4</v>
      </c>
      <c r="F92" s="54"/>
      <c r="G92" s="56"/>
      <c r="H92" s="57"/>
      <c r="I92" s="55"/>
      <c r="J92" s="54"/>
      <c r="K92" s="55"/>
      <c r="L92" s="49"/>
      <c r="M92" s="56"/>
      <c r="N92" s="49"/>
      <c r="O92" s="56"/>
      <c r="P92" s="49"/>
      <c r="Q92" s="56"/>
      <c r="R92" s="49"/>
      <c r="S92" s="56"/>
      <c r="T92" s="49"/>
      <c r="U92" s="56"/>
      <c r="V92" s="49"/>
      <c r="W92" s="56"/>
      <c r="X92" s="92">
        <f t="shared" si="9"/>
        <v>32</v>
      </c>
      <c r="Y92" s="92">
        <f t="shared" si="10"/>
        <v>31.4</v>
      </c>
      <c r="Z92" s="96">
        <f t="shared" si="11"/>
        <v>423.9</v>
      </c>
      <c r="AA92" s="96">
        <f t="shared" si="12"/>
        <v>329.7</v>
      </c>
    </row>
    <row r="93" spans="1:27" s="23" customFormat="1" ht="15" x14ac:dyDescent="0.25">
      <c r="A93" s="22"/>
      <c r="B93" s="21" t="s">
        <v>850</v>
      </c>
      <c r="C93" s="123" t="s">
        <v>860</v>
      </c>
      <c r="D93" s="54">
        <v>1</v>
      </c>
      <c r="E93" s="55">
        <v>1</v>
      </c>
      <c r="F93" s="54"/>
      <c r="G93" s="56"/>
      <c r="H93" s="57"/>
      <c r="I93" s="55"/>
      <c r="J93" s="54"/>
      <c r="K93" s="55"/>
      <c r="L93" s="49"/>
      <c r="M93" s="56"/>
      <c r="N93" s="49"/>
      <c r="O93" s="56"/>
      <c r="P93" s="49"/>
      <c r="Q93" s="56"/>
      <c r="R93" s="49"/>
      <c r="S93" s="56"/>
      <c r="T93" s="49"/>
      <c r="U93" s="56"/>
      <c r="V93" s="49"/>
      <c r="W93" s="56"/>
      <c r="X93" s="92">
        <f t="shared" si="9"/>
        <v>1</v>
      </c>
      <c r="Y93" s="92">
        <f t="shared" si="10"/>
        <v>1</v>
      </c>
      <c r="Z93" s="96">
        <f t="shared" si="11"/>
        <v>13.5</v>
      </c>
      <c r="AA93" s="96">
        <f t="shared" si="12"/>
        <v>10.5</v>
      </c>
    </row>
    <row r="94" spans="1:27" s="23" customFormat="1" ht="15" x14ac:dyDescent="0.25">
      <c r="A94" s="22"/>
      <c r="B94" s="21" t="s">
        <v>851</v>
      </c>
      <c r="C94" s="123" t="s">
        <v>861</v>
      </c>
      <c r="D94" s="54">
        <v>6</v>
      </c>
      <c r="E94" s="55">
        <v>6</v>
      </c>
      <c r="F94" s="54"/>
      <c r="G94" s="56"/>
      <c r="H94" s="57"/>
      <c r="I94" s="55"/>
      <c r="J94" s="54"/>
      <c r="K94" s="55"/>
      <c r="L94" s="49"/>
      <c r="M94" s="56"/>
      <c r="N94" s="49"/>
      <c r="O94" s="56"/>
      <c r="P94" s="49"/>
      <c r="Q94" s="56"/>
      <c r="R94" s="49"/>
      <c r="S94" s="56"/>
      <c r="T94" s="49"/>
      <c r="U94" s="56"/>
      <c r="V94" s="49"/>
      <c r="W94" s="56"/>
      <c r="X94" s="92">
        <f t="shared" si="9"/>
        <v>6</v>
      </c>
      <c r="Y94" s="92">
        <f t="shared" si="10"/>
        <v>6</v>
      </c>
      <c r="Z94" s="96">
        <f t="shared" si="11"/>
        <v>81</v>
      </c>
      <c r="AA94" s="96">
        <f t="shared" si="12"/>
        <v>63</v>
      </c>
    </row>
    <row r="95" spans="1:27" s="23" customFormat="1" ht="15" x14ac:dyDescent="0.25">
      <c r="A95" s="22"/>
      <c r="B95" s="21" t="s">
        <v>852</v>
      </c>
      <c r="C95" s="123" t="s">
        <v>959</v>
      </c>
      <c r="D95" s="54">
        <v>3</v>
      </c>
      <c r="E95" s="55">
        <v>3</v>
      </c>
      <c r="F95" s="54"/>
      <c r="G95" s="56"/>
      <c r="H95" s="57"/>
      <c r="I95" s="55"/>
      <c r="J95" s="54"/>
      <c r="K95" s="55"/>
      <c r="L95" s="49"/>
      <c r="M95" s="56"/>
      <c r="N95" s="49"/>
      <c r="O95" s="56"/>
      <c r="P95" s="49"/>
      <c r="Q95" s="56"/>
      <c r="R95" s="49"/>
      <c r="S95" s="56"/>
      <c r="T95" s="49"/>
      <c r="U95" s="56"/>
      <c r="V95" s="49"/>
      <c r="W95" s="56"/>
      <c r="X95" s="92">
        <f t="shared" si="9"/>
        <v>3</v>
      </c>
      <c r="Y95" s="92">
        <f t="shared" si="10"/>
        <v>3</v>
      </c>
      <c r="Z95" s="96">
        <f t="shared" si="11"/>
        <v>40.5</v>
      </c>
      <c r="AA95" s="96">
        <f t="shared" si="12"/>
        <v>31.5</v>
      </c>
    </row>
    <row r="96" spans="1:27" s="23" customFormat="1" ht="15" x14ac:dyDescent="0.25">
      <c r="A96" s="22"/>
      <c r="B96" s="21" t="s">
        <v>853</v>
      </c>
      <c r="C96" s="123" t="s">
        <v>874</v>
      </c>
      <c r="D96" s="54">
        <v>2</v>
      </c>
      <c r="E96" s="55">
        <v>2</v>
      </c>
      <c r="F96" s="54"/>
      <c r="G96" s="56"/>
      <c r="H96" s="57"/>
      <c r="I96" s="55"/>
      <c r="J96" s="54"/>
      <c r="K96" s="55"/>
      <c r="L96" s="49"/>
      <c r="M96" s="56"/>
      <c r="N96" s="49"/>
      <c r="O96" s="56"/>
      <c r="P96" s="49"/>
      <c r="Q96" s="56"/>
      <c r="R96" s="49"/>
      <c r="S96" s="56"/>
      <c r="T96" s="49"/>
      <c r="U96" s="56"/>
      <c r="V96" s="49"/>
      <c r="W96" s="56"/>
      <c r="X96" s="92">
        <f t="shared" si="9"/>
        <v>2</v>
      </c>
      <c r="Y96" s="92">
        <f t="shared" si="10"/>
        <v>2</v>
      </c>
      <c r="Z96" s="96">
        <f t="shared" si="11"/>
        <v>27</v>
      </c>
      <c r="AA96" s="96">
        <f t="shared" si="12"/>
        <v>21</v>
      </c>
    </row>
    <row r="97" spans="1:27" s="23" customFormat="1" ht="15" x14ac:dyDescent="0.25">
      <c r="A97" s="22"/>
      <c r="B97" s="21" t="s">
        <v>862</v>
      </c>
      <c r="C97" s="123" t="s">
        <v>875</v>
      </c>
      <c r="D97" s="54">
        <v>8</v>
      </c>
      <c r="E97" s="55">
        <v>7.3</v>
      </c>
      <c r="F97" s="54"/>
      <c r="G97" s="56"/>
      <c r="H97" s="57"/>
      <c r="I97" s="55"/>
      <c r="J97" s="54"/>
      <c r="K97" s="55"/>
      <c r="L97" s="49"/>
      <c r="M97" s="56"/>
      <c r="N97" s="49"/>
      <c r="O97" s="56"/>
      <c r="P97" s="49"/>
      <c r="Q97" s="56"/>
      <c r="R97" s="49"/>
      <c r="S97" s="56"/>
      <c r="T97" s="49"/>
      <c r="U97" s="56"/>
      <c r="V97" s="49"/>
      <c r="W97" s="56"/>
      <c r="X97" s="92">
        <f t="shared" si="9"/>
        <v>8</v>
      </c>
      <c r="Y97" s="92">
        <f t="shared" si="10"/>
        <v>7.3</v>
      </c>
      <c r="Z97" s="96">
        <f t="shared" si="11"/>
        <v>98.55</v>
      </c>
      <c r="AA97" s="96">
        <f t="shared" si="12"/>
        <v>76.649999999999991</v>
      </c>
    </row>
    <row r="98" spans="1:27" s="23" customFormat="1" ht="15" x14ac:dyDescent="0.25">
      <c r="A98" s="22"/>
      <c r="B98" s="21" t="s">
        <v>863</v>
      </c>
      <c r="C98" s="123" t="s">
        <v>876</v>
      </c>
      <c r="D98" s="54">
        <v>2</v>
      </c>
      <c r="E98" s="55">
        <v>2</v>
      </c>
      <c r="F98" s="54"/>
      <c r="G98" s="56"/>
      <c r="H98" s="57"/>
      <c r="I98" s="55"/>
      <c r="J98" s="54"/>
      <c r="K98" s="55"/>
      <c r="L98" s="49"/>
      <c r="M98" s="56"/>
      <c r="N98" s="49"/>
      <c r="O98" s="56"/>
      <c r="P98" s="49"/>
      <c r="Q98" s="56"/>
      <c r="R98" s="49"/>
      <c r="S98" s="56"/>
      <c r="T98" s="49"/>
      <c r="U98" s="56"/>
      <c r="V98" s="49"/>
      <c r="W98" s="56"/>
      <c r="X98" s="92">
        <f t="shared" si="9"/>
        <v>2</v>
      </c>
      <c r="Y98" s="92">
        <f t="shared" si="10"/>
        <v>2</v>
      </c>
      <c r="Z98" s="96">
        <f t="shared" si="11"/>
        <v>27</v>
      </c>
      <c r="AA98" s="96">
        <f t="shared" si="12"/>
        <v>21</v>
      </c>
    </row>
    <row r="99" spans="1:27" s="23" customFormat="1" ht="15" x14ac:dyDescent="0.25">
      <c r="A99" s="22"/>
      <c r="B99" s="21" t="s">
        <v>864</v>
      </c>
      <c r="C99" s="123" t="s">
        <v>1154</v>
      </c>
      <c r="D99" s="435">
        <v>3</v>
      </c>
      <c r="E99" s="436">
        <v>3</v>
      </c>
      <c r="F99" s="435"/>
      <c r="G99" s="437"/>
      <c r="H99" s="438"/>
      <c r="I99" s="436"/>
      <c r="J99" s="435"/>
      <c r="K99" s="436"/>
      <c r="L99" s="439"/>
      <c r="M99" s="437"/>
      <c r="N99" s="439"/>
      <c r="O99" s="437"/>
      <c r="P99" s="439"/>
      <c r="Q99" s="437"/>
      <c r="R99" s="439"/>
      <c r="S99" s="437"/>
      <c r="T99" s="439"/>
      <c r="U99" s="437"/>
      <c r="V99" s="439"/>
      <c r="W99" s="437"/>
      <c r="X99" s="440">
        <f t="shared" si="9"/>
        <v>3</v>
      </c>
      <c r="Y99" s="440">
        <f t="shared" si="10"/>
        <v>3</v>
      </c>
      <c r="Z99" s="96">
        <f t="shared" si="11"/>
        <v>40.5</v>
      </c>
      <c r="AA99" s="96">
        <f t="shared" si="12"/>
        <v>31.5</v>
      </c>
    </row>
    <row r="100" spans="1:27" s="23" customFormat="1" ht="15" x14ac:dyDescent="0.25">
      <c r="A100" s="22"/>
      <c r="B100" s="21" t="s">
        <v>865</v>
      </c>
      <c r="C100" s="123" t="s">
        <v>1155</v>
      </c>
      <c r="D100" s="435">
        <v>6</v>
      </c>
      <c r="E100" s="436">
        <v>6</v>
      </c>
      <c r="F100" s="435"/>
      <c r="G100" s="437"/>
      <c r="H100" s="438"/>
      <c r="I100" s="436"/>
      <c r="J100" s="435"/>
      <c r="K100" s="436"/>
      <c r="L100" s="439"/>
      <c r="M100" s="437"/>
      <c r="N100" s="439"/>
      <c r="O100" s="437"/>
      <c r="P100" s="439"/>
      <c r="Q100" s="437"/>
      <c r="R100" s="439"/>
      <c r="S100" s="437"/>
      <c r="T100" s="439"/>
      <c r="U100" s="437"/>
      <c r="V100" s="439"/>
      <c r="W100" s="437"/>
      <c r="X100" s="440">
        <f t="shared" si="9"/>
        <v>6</v>
      </c>
      <c r="Y100" s="440">
        <f t="shared" si="10"/>
        <v>6</v>
      </c>
      <c r="Z100" s="96">
        <f t="shared" si="11"/>
        <v>81</v>
      </c>
      <c r="AA100" s="96">
        <f t="shared" si="12"/>
        <v>63</v>
      </c>
    </row>
    <row r="101" spans="1:27" s="23" customFormat="1" ht="30" x14ac:dyDescent="0.25">
      <c r="A101" s="22"/>
      <c r="B101" s="21" t="s">
        <v>866</v>
      </c>
      <c r="C101" s="441" t="s">
        <v>1156</v>
      </c>
      <c r="D101" s="435">
        <v>6</v>
      </c>
      <c r="E101" s="436">
        <v>6</v>
      </c>
      <c r="F101" s="435"/>
      <c r="G101" s="437"/>
      <c r="H101" s="438"/>
      <c r="I101" s="436"/>
      <c r="J101" s="435"/>
      <c r="K101" s="436"/>
      <c r="L101" s="439"/>
      <c r="M101" s="437"/>
      <c r="N101" s="439"/>
      <c r="O101" s="437"/>
      <c r="P101" s="439"/>
      <c r="Q101" s="437"/>
      <c r="R101" s="439"/>
      <c r="S101" s="437"/>
      <c r="T101" s="439"/>
      <c r="U101" s="437"/>
      <c r="V101" s="439"/>
      <c r="W101" s="437"/>
      <c r="X101" s="440">
        <f t="shared" si="9"/>
        <v>6</v>
      </c>
      <c r="Y101" s="440">
        <f t="shared" si="10"/>
        <v>6</v>
      </c>
      <c r="Z101" s="96">
        <f t="shared" si="11"/>
        <v>81</v>
      </c>
      <c r="AA101" s="96">
        <f t="shared" si="12"/>
        <v>63</v>
      </c>
    </row>
    <row r="102" spans="1:27" s="23" customFormat="1" ht="15" x14ac:dyDescent="0.25">
      <c r="A102" s="22"/>
      <c r="B102" s="21" t="s">
        <v>867</v>
      </c>
      <c r="C102" s="123" t="s">
        <v>877</v>
      </c>
      <c r="D102" s="54">
        <v>17</v>
      </c>
      <c r="E102" s="55">
        <v>15.8</v>
      </c>
      <c r="F102" s="54"/>
      <c r="G102" s="56"/>
      <c r="H102" s="57"/>
      <c r="I102" s="55"/>
      <c r="J102" s="54"/>
      <c r="K102" s="55"/>
      <c r="L102" s="49"/>
      <c r="M102" s="56"/>
      <c r="N102" s="49"/>
      <c r="O102" s="56"/>
      <c r="P102" s="49"/>
      <c r="Q102" s="56"/>
      <c r="R102" s="49"/>
      <c r="S102" s="56"/>
      <c r="T102" s="49"/>
      <c r="U102" s="56"/>
      <c r="V102" s="49"/>
      <c r="W102" s="56"/>
      <c r="X102" s="92">
        <f t="shared" si="9"/>
        <v>17</v>
      </c>
      <c r="Y102" s="92">
        <f t="shared" si="10"/>
        <v>15.8</v>
      </c>
      <c r="Z102" s="96">
        <f t="shared" si="11"/>
        <v>213.3</v>
      </c>
      <c r="AA102" s="96">
        <f t="shared" si="12"/>
        <v>165.9</v>
      </c>
    </row>
    <row r="103" spans="1:27" s="23" customFormat="1" ht="15" x14ac:dyDescent="0.25">
      <c r="A103" s="22"/>
      <c r="B103" s="21" t="s">
        <v>868</v>
      </c>
      <c r="C103" s="123" t="s">
        <v>878</v>
      </c>
      <c r="D103" s="54">
        <v>16</v>
      </c>
      <c r="E103" s="55">
        <v>15</v>
      </c>
      <c r="F103" s="54"/>
      <c r="G103" s="56"/>
      <c r="H103" s="57"/>
      <c r="I103" s="55"/>
      <c r="J103" s="54"/>
      <c r="K103" s="55"/>
      <c r="L103" s="49"/>
      <c r="M103" s="56"/>
      <c r="N103" s="49"/>
      <c r="O103" s="56"/>
      <c r="P103" s="49"/>
      <c r="Q103" s="56"/>
      <c r="R103" s="49"/>
      <c r="S103" s="56"/>
      <c r="T103" s="49"/>
      <c r="U103" s="56"/>
      <c r="V103" s="49"/>
      <c r="W103" s="56"/>
      <c r="X103" s="92">
        <f t="shared" si="9"/>
        <v>16</v>
      </c>
      <c r="Y103" s="92">
        <f t="shared" si="10"/>
        <v>15</v>
      </c>
      <c r="Z103" s="96">
        <f t="shared" si="11"/>
        <v>202.5</v>
      </c>
      <c r="AA103" s="96">
        <f t="shared" si="12"/>
        <v>157.5</v>
      </c>
    </row>
    <row r="104" spans="1:27" s="23" customFormat="1" ht="15" x14ac:dyDescent="0.25">
      <c r="A104" s="22"/>
      <c r="B104" s="21" t="s">
        <v>869</v>
      </c>
      <c r="C104" s="123" t="s">
        <v>879</v>
      </c>
      <c r="D104" s="54">
        <v>11</v>
      </c>
      <c r="E104" s="55">
        <v>10.6</v>
      </c>
      <c r="F104" s="54"/>
      <c r="G104" s="56"/>
      <c r="H104" s="57"/>
      <c r="I104" s="55"/>
      <c r="J104" s="54"/>
      <c r="K104" s="55"/>
      <c r="L104" s="49"/>
      <c r="M104" s="56"/>
      <c r="N104" s="49"/>
      <c r="O104" s="56"/>
      <c r="P104" s="49"/>
      <c r="Q104" s="56"/>
      <c r="R104" s="49"/>
      <c r="S104" s="56"/>
      <c r="T104" s="49"/>
      <c r="U104" s="56"/>
      <c r="V104" s="49"/>
      <c r="W104" s="56"/>
      <c r="X104" s="92">
        <f t="shared" si="9"/>
        <v>11</v>
      </c>
      <c r="Y104" s="92">
        <f t="shared" si="10"/>
        <v>10.6</v>
      </c>
      <c r="Z104" s="96">
        <f t="shared" si="11"/>
        <v>143.1</v>
      </c>
      <c r="AA104" s="96">
        <f t="shared" si="12"/>
        <v>111.3</v>
      </c>
    </row>
    <row r="105" spans="1:27" s="23" customFormat="1" ht="15" x14ac:dyDescent="0.25">
      <c r="A105" s="22"/>
      <c r="B105" s="21" t="s">
        <v>870</v>
      </c>
      <c r="C105" s="123" t="s">
        <v>880</v>
      </c>
      <c r="D105" s="54">
        <v>11</v>
      </c>
      <c r="E105" s="55">
        <v>10.8</v>
      </c>
      <c r="F105" s="54"/>
      <c r="G105" s="56"/>
      <c r="H105" s="57"/>
      <c r="I105" s="55"/>
      <c r="J105" s="54"/>
      <c r="K105" s="55"/>
      <c r="L105" s="49"/>
      <c r="M105" s="56"/>
      <c r="N105" s="49"/>
      <c r="O105" s="56"/>
      <c r="P105" s="49"/>
      <c r="Q105" s="56"/>
      <c r="R105" s="49"/>
      <c r="S105" s="56"/>
      <c r="T105" s="49"/>
      <c r="U105" s="56"/>
      <c r="V105" s="49"/>
      <c r="W105" s="56"/>
      <c r="X105" s="92">
        <f t="shared" si="9"/>
        <v>11</v>
      </c>
      <c r="Y105" s="92">
        <f t="shared" si="10"/>
        <v>10.8</v>
      </c>
      <c r="Z105" s="96">
        <f t="shared" si="11"/>
        <v>145.80000000000001</v>
      </c>
      <c r="AA105" s="96">
        <f t="shared" si="12"/>
        <v>113.4</v>
      </c>
    </row>
    <row r="106" spans="1:27" s="23" customFormat="1" ht="15" x14ac:dyDescent="0.25">
      <c r="A106" s="22"/>
      <c r="B106" s="21" t="s">
        <v>871</v>
      </c>
      <c r="C106" s="123" t="s">
        <v>881</v>
      </c>
      <c r="D106" s="54">
        <v>10</v>
      </c>
      <c r="E106" s="55">
        <v>9.8000000000000007</v>
      </c>
      <c r="F106" s="54"/>
      <c r="G106" s="56"/>
      <c r="H106" s="57"/>
      <c r="I106" s="55"/>
      <c r="J106" s="54"/>
      <c r="K106" s="55"/>
      <c r="L106" s="49"/>
      <c r="M106" s="56"/>
      <c r="N106" s="49"/>
      <c r="O106" s="56"/>
      <c r="P106" s="49"/>
      <c r="Q106" s="56"/>
      <c r="R106" s="49"/>
      <c r="S106" s="56"/>
      <c r="T106" s="49"/>
      <c r="U106" s="56"/>
      <c r="V106" s="49"/>
      <c r="W106" s="56"/>
      <c r="X106" s="92">
        <f t="shared" si="9"/>
        <v>10</v>
      </c>
      <c r="Y106" s="92">
        <f t="shared" si="10"/>
        <v>9.8000000000000007</v>
      </c>
      <c r="Z106" s="96">
        <f t="shared" si="11"/>
        <v>132.30000000000001</v>
      </c>
      <c r="AA106" s="96">
        <f t="shared" si="12"/>
        <v>102.9</v>
      </c>
    </row>
    <row r="107" spans="1:27" s="23" customFormat="1" ht="15" x14ac:dyDescent="0.25">
      <c r="A107" s="22"/>
      <c r="B107" s="21" t="s">
        <v>872</v>
      </c>
      <c r="C107" s="123" t="s">
        <v>882</v>
      </c>
      <c r="D107" s="54">
        <v>5</v>
      </c>
      <c r="E107" s="55">
        <v>4.5</v>
      </c>
      <c r="F107" s="54"/>
      <c r="G107" s="56"/>
      <c r="H107" s="57"/>
      <c r="I107" s="55"/>
      <c r="J107" s="54"/>
      <c r="K107" s="55"/>
      <c r="L107" s="49"/>
      <c r="M107" s="56"/>
      <c r="N107" s="49"/>
      <c r="O107" s="56"/>
      <c r="P107" s="49"/>
      <c r="Q107" s="56"/>
      <c r="R107" s="49"/>
      <c r="S107" s="56"/>
      <c r="T107" s="49"/>
      <c r="U107" s="56"/>
      <c r="V107" s="49"/>
      <c r="W107" s="56"/>
      <c r="X107" s="92">
        <f t="shared" si="9"/>
        <v>5</v>
      </c>
      <c r="Y107" s="92">
        <f t="shared" si="10"/>
        <v>4.5</v>
      </c>
      <c r="Z107" s="96">
        <f t="shared" si="11"/>
        <v>60.75</v>
      </c>
      <c r="AA107" s="96">
        <f t="shared" si="12"/>
        <v>47.25</v>
      </c>
    </row>
    <row r="108" spans="1:27" s="23" customFormat="1" ht="15" x14ac:dyDescent="0.25">
      <c r="A108" s="22"/>
      <c r="B108" s="21" t="s">
        <v>873</v>
      </c>
      <c r="C108" s="123" t="s">
        <v>1157</v>
      </c>
      <c r="D108" s="435">
        <v>9</v>
      </c>
      <c r="E108" s="436">
        <v>0</v>
      </c>
      <c r="F108" s="435"/>
      <c r="G108" s="437"/>
      <c r="H108" s="438"/>
      <c r="I108" s="436"/>
      <c r="J108" s="435"/>
      <c r="K108" s="436"/>
      <c r="L108" s="439"/>
      <c r="M108" s="437"/>
      <c r="N108" s="439"/>
      <c r="O108" s="437"/>
      <c r="P108" s="439"/>
      <c r="Q108" s="437"/>
      <c r="R108" s="439"/>
      <c r="S108" s="437"/>
      <c r="T108" s="439"/>
      <c r="U108" s="437"/>
      <c r="V108" s="439"/>
      <c r="W108" s="437"/>
      <c r="X108" s="440">
        <f t="shared" si="9"/>
        <v>9</v>
      </c>
      <c r="Y108" s="92">
        <f t="shared" si="10"/>
        <v>0</v>
      </c>
      <c r="Z108" s="96">
        <f t="shared" si="11"/>
        <v>0</v>
      </c>
      <c r="AA108" s="96">
        <f t="shared" si="12"/>
        <v>0</v>
      </c>
    </row>
    <row r="109" spans="1:27" s="23" customFormat="1" ht="15" x14ac:dyDescent="0.25">
      <c r="A109" s="22"/>
      <c r="B109" s="21" t="s">
        <v>893</v>
      </c>
      <c r="C109" s="123" t="s">
        <v>960</v>
      </c>
      <c r="D109" s="54">
        <v>15</v>
      </c>
      <c r="E109" s="55">
        <v>15</v>
      </c>
      <c r="F109" s="54"/>
      <c r="G109" s="56"/>
      <c r="H109" s="57"/>
      <c r="I109" s="55"/>
      <c r="J109" s="54"/>
      <c r="K109" s="55"/>
      <c r="L109" s="49"/>
      <c r="M109" s="56"/>
      <c r="N109" s="49"/>
      <c r="O109" s="56"/>
      <c r="P109" s="49"/>
      <c r="Q109" s="56"/>
      <c r="R109" s="49"/>
      <c r="S109" s="56"/>
      <c r="T109" s="49"/>
      <c r="U109" s="56"/>
      <c r="V109" s="49"/>
      <c r="W109" s="56"/>
      <c r="X109" s="92">
        <f t="shared" si="9"/>
        <v>15</v>
      </c>
      <c r="Y109" s="92">
        <f t="shared" si="10"/>
        <v>15</v>
      </c>
      <c r="Z109" s="96">
        <f t="shared" si="11"/>
        <v>202.5</v>
      </c>
      <c r="AA109" s="96">
        <f t="shared" si="12"/>
        <v>157.5</v>
      </c>
    </row>
    <row r="110" spans="1:27" s="23" customFormat="1" ht="15" x14ac:dyDescent="0.25">
      <c r="A110" s="22"/>
      <c r="B110" s="21" t="s">
        <v>894</v>
      </c>
      <c r="C110" s="123" t="s">
        <v>883</v>
      </c>
      <c r="D110" s="54">
        <v>1</v>
      </c>
      <c r="E110" s="55">
        <v>1</v>
      </c>
      <c r="F110" s="54"/>
      <c r="G110" s="56"/>
      <c r="H110" s="57"/>
      <c r="I110" s="55"/>
      <c r="J110" s="54"/>
      <c r="K110" s="55"/>
      <c r="L110" s="49"/>
      <c r="M110" s="56"/>
      <c r="N110" s="49"/>
      <c r="O110" s="56"/>
      <c r="P110" s="49"/>
      <c r="Q110" s="56"/>
      <c r="R110" s="49"/>
      <c r="S110" s="56"/>
      <c r="T110" s="49">
        <v>1</v>
      </c>
      <c r="U110" s="56">
        <v>1</v>
      </c>
      <c r="V110" s="49"/>
      <c r="W110" s="56"/>
      <c r="X110" s="92">
        <f t="shared" si="9"/>
        <v>2</v>
      </c>
      <c r="Y110" s="92">
        <f t="shared" si="10"/>
        <v>2</v>
      </c>
      <c r="Z110" s="96">
        <f t="shared" si="11"/>
        <v>27</v>
      </c>
      <c r="AA110" s="96">
        <f t="shared" si="12"/>
        <v>21</v>
      </c>
    </row>
    <row r="111" spans="1:27" s="23" customFormat="1" ht="15" x14ac:dyDescent="0.25">
      <c r="A111" s="22"/>
      <c r="B111" s="21" t="s">
        <v>895</v>
      </c>
      <c r="C111" s="123" t="s">
        <v>884</v>
      </c>
      <c r="D111" s="54">
        <v>19</v>
      </c>
      <c r="E111" s="55">
        <v>14.84</v>
      </c>
      <c r="F111" s="54"/>
      <c r="G111" s="56"/>
      <c r="H111" s="57"/>
      <c r="I111" s="55"/>
      <c r="J111" s="54"/>
      <c r="K111" s="55"/>
      <c r="L111" s="49"/>
      <c r="M111" s="56"/>
      <c r="N111" s="49"/>
      <c r="O111" s="56"/>
      <c r="P111" s="49"/>
      <c r="Q111" s="56"/>
      <c r="R111" s="49"/>
      <c r="S111" s="56"/>
      <c r="T111" s="49"/>
      <c r="U111" s="56"/>
      <c r="V111" s="49"/>
      <c r="W111" s="56"/>
      <c r="X111" s="92">
        <f t="shared" si="9"/>
        <v>19</v>
      </c>
      <c r="Y111" s="92">
        <f t="shared" si="10"/>
        <v>14.84</v>
      </c>
      <c r="Z111" s="96">
        <f t="shared" si="11"/>
        <v>200.34</v>
      </c>
      <c r="AA111" s="96">
        <f t="shared" si="12"/>
        <v>155.82</v>
      </c>
    </row>
    <row r="112" spans="1:27" s="23" customFormat="1" ht="15" x14ac:dyDescent="0.25">
      <c r="A112" s="22"/>
      <c r="B112" s="21" t="s">
        <v>896</v>
      </c>
      <c r="C112" s="123" t="s">
        <v>885</v>
      </c>
      <c r="D112" s="54">
        <v>15</v>
      </c>
      <c r="E112" s="55">
        <v>9.74</v>
      </c>
      <c r="F112" s="54"/>
      <c r="G112" s="56"/>
      <c r="H112" s="57"/>
      <c r="I112" s="55"/>
      <c r="J112" s="54"/>
      <c r="K112" s="55"/>
      <c r="L112" s="49"/>
      <c r="M112" s="56"/>
      <c r="N112" s="49"/>
      <c r="O112" s="56"/>
      <c r="P112" s="49"/>
      <c r="Q112" s="56"/>
      <c r="R112" s="49"/>
      <c r="S112" s="56"/>
      <c r="T112" s="49"/>
      <c r="U112" s="56"/>
      <c r="V112" s="49"/>
      <c r="W112" s="56"/>
      <c r="X112" s="92">
        <f t="shared" si="9"/>
        <v>15</v>
      </c>
      <c r="Y112" s="92">
        <f t="shared" si="10"/>
        <v>9.74</v>
      </c>
      <c r="Z112" s="96">
        <f t="shared" si="11"/>
        <v>131.49</v>
      </c>
      <c r="AA112" s="96">
        <f t="shared" ref="AA112:AA157" si="13">Z112/13.5*10.5</f>
        <v>102.27</v>
      </c>
    </row>
    <row r="113" spans="1:27" s="23" customFormat="1" ht="15" x14ac:dyDescent="0.25">
      <c r="A113" s="22"/>
      <c r="B113" s="21" t="s">
        <v>897</v>
      </c>
      <c r="C113" s="123" t="s">
        <v>886</v>
      </c>
      <c r="D113" s="54">
        <v>19</v>
      </c>
      <c r="E113" s="55">
        <v>15.8</v>
      </c>
      <c r="F113" s="54"/>
      <c r="G113" s="56"/>
      <c r="H113" s="57"/>
      <c r="I113" s="55"/>
      <c r="J113" s="54"/>
      <c r="K113" s="55"/>
      <c r="L113" s="49"/>
      <c r="M113" s="56"/>
      <c r="N113" s="49"/>
      <c r="O113" s="56"/>
      <c r="P113" s="49"/>
      <c r="Q113" s="56"/>
      <c r="R113" s="49"/>
      <c r="S113" s="56"/>
      <c r="T113" s="49">
        <v>5</v>
      </c>
      <c r="U113" s="56">
        <v>5</v>
      </c>
      <c r="V113" s="49"/>
      <c r="W113" s="56"/>
      <c r="X113" s="92">
        <f t="shared" si="9"/>
        <v>24</v>
      </c>
      <c r="Y113" s="92">
        <f t="shared" si="10"/>
        <v>20.8</v>
      </c>
      <c r="Z113" s="96">
        <f t="shared" si="11"/>
        <v>280.8</v>
      </c>
      <c r="AA113" s="96">
        <f t="shared" si="13"/>
        <v>218.4</v>
      </c>
    </row>
    <row r="114" spans="1:27" s="23" customFormat="1" ht="15" x14ac:dyDescent="0.25">
      <c r="A114" s="22"/>
      <c r="B114" s="21" t="s">
        <v>898</v>
      </c>
      <c r="C114" s="123" t="s">
        <v>887</v>
      </c>
      <c r="D114" s="54">
        <v>15</v>
      </c>
      <c r="E114" s="55">
        <v>13.9</v>
      </c>
      <c r="F114" s="54"/>
      <c r="G114" s="56"/>
      <c r="H114" s="57"/>
      <c r="I114" s="55"/>
      <c r="J114" s="54"/>
      <c r="K114" s="55"/>
      <c r="L114" s="49"/>
      <c r="M114" s="56"/>
      <c r="N114" s="49"/>
      <c r="O114" s="56"/>
      <c r="P114" s="49"/>
      <c r="Q114" s="56"/>
      <c r="R114" s="49"/>
      <c r="S114" s="56"/>
      <c r="T114" s="49">
        <v>1</v>
      </c>
      <c r="U114" s="56">
        <v>1</v>
      </c>
      <c r="V114" s="49"/>
      <c r="W114" s="56"/>
      <c r="X114" s="92">
        <f t="shared" si="9"/>
        <v>16</v>
      </c>
      <c r="Y114" s="92">
        <f t="shared" si="10"/>
        <v>14.9</v>
      </c>
      <c r="Z114" s="96">
        <f t="shared" si="11"/>
        <v>201.15</v>
      </c>
      <c r="AA114" s="96">
        <f t="shared" si="13"/>
        <v>156.45000000000002</v>
      </c>
    </row>
    <row r="115" spans="1:27" s="23" customFormat="1" ht="15" x14ac:dyDescent="0.25">
      <c r="A115" s="22"/>
      <c r="B115" s="21" t="s">
        <v>899</v>
      </c>
      <c r="C115" s="123" t="s">
        <v>888</v>
      </c>
      <c r="D115" s="54">
        <v>49</v>
      </c>
      <c r="E115" s="55">
        <v>44.7</v>
      </c>
      <c r="F115" s="54"/>
      <c r="G115" s="56"/>
      <c r="H115" s="57"/>
      <c r="I115" s="55"/>
      <c r="J115" s="54"/>
      <c r="K115" s="55"/>
      <c r="L115" s="49"/>
      <c r="M115" s="56"/>
      <c r="N115" s="49"/>
      <c r="O115" s="56"/>
      <c r="P115" s="49"/>
      <c r="Q115" s="56"/>
      <c r="R115" s="49"/>
      <c r="S115" s="56"/>
      <c r="T115" s="49"/>
      <c r="U115" s="56"/>
      <c r="V115" s="49"/>
      <c r="W115" s="56"/>
      <c r="X115" s="92">
        <f t="shared" si="9"/>
        <v>49</v>
      </c>
      <c r="Y115" s="92">
        <f t="shared" si="10"/>
        <v>44.7</v>
      </c>
      <c r="Z115" s="96">
        <f t="shared" si="11"/>
        <v>603.45000000000005</v>
      </c>
      <c r="AA115" s="96">
        <f t="shared" si="13"/>
        <v>469.35</v>
      </c>
    </row>
    <row r="116" spans="1:27" s="23" customFormat="1" ht="15" x14ac:dyDescent="0.25">
      <c r="A116" s="22"/>
      <c r="B116" s="21" t="s">
        <v>900</v>
      </c>
      <c r="C116" s="123" t="s">
        <v>889</v>
      </c>
      <c r="D116" s="54">
        <v>11</v>
      </c>
      <c r="E116" s="55">
        <v>9</v>
      </c>
      <c r="F116" s="54"/>
      <c r="G116" s="56"/>
      <c r="H116" s="57"/>
      <c r="I116" s="55"/>
      <c r="J116" s="54"/>
      <c r="K116" s="55"/>
      <c r="L116" s="49"/>
      <c r="M116" s="56"/>
      <c r="N116" s="49"/>
      <c r="O116" s="56"/>
      <c r="P116" s="49"/>
      <c r="Q116" s="56"/>
      <c r="R116" s="49"/>
      <c r="S116" s="56"/>
      <c r="T116" s="49"/>
      <c r="U116" s="56"/>
      <c r="V116" s="49"/>
      <c r="W116" s="56"/>
      <c r="X116" s="92">
        <f t="shared" si="9"/>
        <v>11</v>
      </c>
      <c r="Y116" s="92">
        <f t="shared" si="10"/>
        <v>9</v>
      </c>
      <c r="Z116" s="96">
        <f t="shared" si="11"/>
        <v>121.5</v>
      </c>
      <c r="AA116" s="96">
        <f t="shared" si="13"/>
        <v>94.5</v>
      </c>
    </row>
    <row r="117" spans="1:27" s="23" customFormat="1" ht="15" x14ac:dyDescent="0.25">
      <c r="A117" s="22"/>
      <c r="B117" s="21" t="s">
        <v>901</v>
      </c>
      <c r="C117" s="123" t="s">
        <v>890</v>
      </c>
      <c r="D117" s="54">
        <v>6</v>
      </c>
      <c r="E117" s="55">
        <v>1.8</v>
      </c>
      <c r="F117" s="54"/>
      <c r="G117" s="56"/>
      <c r="H117" s="57"/>
      <c r="I117" s="55"/>
      <c r="J117" s="54"/>
      <c r="K117" s="55"/>
      <c r="L117" s="49"/>
      <c r="M117" s="56"/>
      <c r="N117" s="49"/>
      <c r="O117" s="56"/>
      <c r="P117" s="49"/>
      <c r="Q117" s="56"/>
      <c r="R117" s="49"/>
      <c r="S117" s="56"/>
      <c r="T117" s="49"/>
      <c r="U117" s="56"/>
      <c r="V117" s="49"/>
      <c r="W117" s="56"/>
      <c r="X117" s="92">
        <f t="shared" si="9"/>
        <v>6</v>
      </c>
      <c r="Y117" s="92">
        <f t="shared" si="10"/>
        <v>1.8</v>
      </c>
      <c r="Z117" s="96">
        <f t="shared" si="11"/>
        <v>24.3</v>
      </c>
      <c r="AA117" s="96">
        <f t="shared" si="13"/>
        <v>18.900000000000002</v>
      </c>
    </row>
    <row r="118" spans="1:27" s="23" customFormat="1" ht="15" x14ac:dyDescent="0.25">
      <c r="A118" s="22"/>
      <c r="B118" s="21" t="s">
        <v>902</v>
      </c>
      <c r="C118" s="123" t="s">
        <v>891</v>
      </c>
      <c r="D118" s="54">
        <v>9</v>
      </c>
      <c r="E118" s="55">
        <v>9</v>
      </c>
      <c r="F118" s="54"/>
      <c r="G118" s="56"/>
      <c r="H118" s="57"/>
      <c r="I118" s="55"/>
      <c r="J118" s="54"/>
      <c r="K118" s="55"/>
      <c r="L118" s="49"/>
      <c r="M118" s="56"/>
      <c r="N118" s="49"/>
      <c r="O118" s="56"/>
      <c r="P118" s="49"/>
      <c r="Q118" s="56"/>
      <c r="R118" s="49"/>
      <c r="S118" s="56"/>
      <c r="T118" s="49"/>
      <c r="U118" s="56"/>
      <c r="V118" s="49"/>
      <c r="W118" s="56"/>
      <c r="X118" s="92">
        <f t="shared" si="9"/>
        <v>9</v>
      </c>
      <c r="Y118" s="92">
        <f t="shared" si="10"/>
        <v>9</v>
      </c>
      <c r="Z118" s="96">
        <f t="shared" si="11"/>
        <v>121.5</v>
      </c>
      <c r="AA118" s="96">
        <f t="shared" si="13"/>
        <v>94.5</v>
      </c>
    </row>
    <row r="119" spans="1:27" s="23" customFormat="1" ht="15" x14ac:dyDescent="0.25">
      <c r="A119" s="22"/>
      <c r="B119" s="21" t="s">
        <v>903</v>
      </c>
      <c r="C119" s="123" t="s">
        <v>892</v>
      </c>
      <c r="D119" s="54">
        <v>3</v>
      </c>
      <c r="E119" s="55">
        <v>3</v>
      </c>
      <c r="F119" s="54"/>
      <c r="G119" s="56"/>
      <c r="H119" s="57"/>
      <c r="I119" s="55"/>
      <c r="J119" s="54"/>
      <c r="K119" s="55"/>
      <c r="L119" s="49"/>
      <c r="M119" s="56"/>
      <c r="N119" s="49"/>
      <c r="O119" s="56"/>
      <c r="P119" s="49"/>
      <c r="Q119" s="56"/>
      <c r="R119" s="49"/>
      <c r="S119" s="56"/>
      <c r="T119" s="49"/>
      <c r="U119" s="56"/>
      <c r="V119" s="49"/>
      <c r="W119" s="56"/>
      <c r="X119" s="92">
        <f t="shared" si="9"/>
        <v>3</v>
      </c>
      <c r="Y119" s="92">
        <f t="shared" si="10"/>
        <v>3</v>
      </c>
      <c r="Z119" s="96">
        <f t="shared" si="11"/>
        <v>40.5</v>
      </c>
      <c r="AA119" s="96">
        <f t="shared" si="13"/>
        <v>31.5</v>
      </c>
    </row>
    <row r="120" spans="1:27" s="23" customFormat="1" ht="15" x14ac:dyDescent="0.25">
      <c r="A120" s="22"/>
      <c r="B120" s="21" t="s">
        <v>904</v>
      </c>
      <c r="C120" s="123" t="s">
        <v>914</v>
      </c>
      <c r="D120" s="54">
        <v>3</v>
      </c>
      <c r="E120" s="55">
        <v>3</v>
      </c>
      <c r="F120" s="54"/>
      <c r="G120" s="56"/>
      <c r="H120" s="57"/>
      <c r="I120" s="55"/>
      <c r="J120" s="54"/>
      <c r="K120" s="55"/>
      <c r="L120" s="49"/>
      <c r="M120" s="56"/>
      <c r="N120" s="49"/>
      <c r="O120" s="56"/>
      <c r="P120" s="49"/>
      <c r="Q120" s="56"/>
      <c r="R120" s="49"/>
      <c r="S120" s="56"/>
      <c r="T120" s="49"/>
      <c r="U120" s="56"/>
      <c r="V120" s="49"/>
      <c r="W120" s="56"/>
      <c r="X120" s="92">
        <f t="shared" si="9"/>
        <v>3</v>
      </c>
      <c r="Y120" s="92">
        <f t="shared" si="10"/>
        <v>3</v>
      </c>
      <c r="Z120" s="96">
        <f t="shared" si="11"/>
        <v>40.5</v>
      </c>
      <c r="AA120" s="96">
        <f t="shared" si="13"/>
        <v>31.5</v>
      </c>
    </row>
    <row r="121" spans="1:27" s="23" customFormat="1" ht="15" x14ac:dyDescent="0.25">
      <c r="A121" s="22"/>
      <c r="B121" s="21" t="s">
        <v>905</v>
      </c>
      <c r="C121" s="123" t="s">
        <v>961</v>
      </c>
      <c r="D121" s="54">
        <v>16</v>
      </c>
      <c r="E121" s="55">
        <v>16</v>
      </c>
      <c r="F121" s="54"/>
      <c r="G121" s="56"/>
      <c r="H121" s="57"/>
      <c r="I121" s="55"/>
      <c r="J121" s="54"/>
      <c r="K121" s="55"/>
      <c r="L121" s="49"/>
      <c r="M121" s="56"/>
      <c r="N121" s="49"/>
      <c r="O121" s="56"/>
      <c r="P121" s="49"/>
      <c r="Q121" s="56"/>
      <c r="R121" s="49"/>
      <c r="S121" s="56"/>
      <c r="T121" s="49"/>
      <c r="U121" s="56"/>
      <c r="V121" s="49"/>
      <c r="W121" s="56"/>
      <c r="X121" s="92">
        <f t="shared" si="9"/>
        <v>16</v>
      </c>
      <c r="Y121" s="92">
        <f t="shared" si="10"/>
        <v>16</v>
      </c>
      <c r="Z121" s="96">
        <f t="shared" si="11"/>
        <v>216</v>
      </c>
      <c r="AA121" s="96">
        <f t="shared" si="13"/>
        <v>168</v>
      </c>
    </row>
    <row r="122" spans="1:27" s="23" customFormat="1" ht="15" x14ac:dyDescent="0.25">
      <c r="A122" s="22"/>
      <c r="B122" s="21" t="s">
        <v>906</v>
      </c>
      <c r="C122" s="123" t="s">
        <v>921</v>
      </c>
      <c r="D122" s="54">
        <v>1</v>
      </c>
      <c r="E122" s="55">
        <v>1</v>
      </c>
      <c r="F122" s="54"/>
      <c r="G122" s="56"/>
      <c r="H122" s="57"/>
      <c r="I122" s="55"/>
      <c r="J122" s="54"/>
      <c r="K122" s="55"/>
      <c r="L122" s="49"/>
      <c r="M122" s="56"/>
      <c r="N122" s="49"/>
      <c r="O122" s="56"/>
      <c r="P122" s="49"/>
      <c r="Q122" s="56"/>
      <c r="R122" s="49"/>
      <c r="S122" s="56"/>
      <c r="T122" s="49"/>
      <c r="U122" s="56"/>
      <c r="V122" s="49"/>
      <c r="W122" s="56"/>
      <c r="X122" s="92">
        <f t="shared" si="9"/>
        <v>1</v>
      </c>
      <c r="Y122" s="92">
        <f t="shared" si="10"/>
        <v>1</v>
      </c>
      <c r="Z122" s="96">
        <f t="shared" si="11"/>
        <v>13.5</v>
      </c>
      <c r="AA122" s="96">
        <f t="shared" si="13"/>
        <v>10.5</v>
      </c>
    </row>
    <row r="123" spans="1:27" s="23" customFormat="1" ht="15" x14ac:dyDescent="0.25">
      <c r="A123" s="22"/>
      <c r="B123" s="21" t="s">
        <v>907</v>
      </c>
      <c r="C123" s="123" t="s">
        <v>915</v>
      </c>
      <c r="D123" s="54">
        <v>25</v>
      </c>
      <c r="E123" s="55">
        <v>23.5</v>
      </c>
      <c r="F123" s="54"/>
      <c r="G123" s="56"/>
      <c r="H123" s="57"/>
      <c r="I123" s="55"/>
      <c r="J123" s="54"/>
      <c r="K123" s="55"/>
      <c r="L123" s="49"/>
      <c r="M123" s="56"/>
      <c r="N123" s="49"/>
      <c r="O123" s="56"/>
      <c r="P123" s="49"/>
      <c r="Q123" s="56"/>
      <c r="R123" s="49"/>
      <c r="S123" s="56"/>
      <c r="T123" s="49"/>
      <c r="U123" s="56"/>
      <c r="V123" s="49"/>
      <c r="W123" s="56"/>
      <c r="X123" s="92">
        <f t="shared" si="9"/>
        <v>25</v>
      </c>
      <c r="Y123" s="92">
        <f t="shared" si="10"/>
        <v>23.5</v>
      </c>
      <c r="Z123" s="96">
        <f t="shared" si="11"/>
        <v>317.25</v>
      </c>
      <c r="AA123" s="96">
        <f t="shared" si="13"/>
        <v>246.75</v>
      </c>
    </row>
    <row r="124" spans="1:27" s="23" customFormat="1" ht="15" x14ac:dyDescent="0.25">
      <c r="A124" s="22"/>
      <c r="B124" s="21" t="s">
        <v>908</v>
      </c>
      <c r="C124" s="123" t="s">
        <v>916</v>
      </c>
      <c r="D124" s="54">
        <v>26</v>
      </c>
      <c r="E124" s="55">
        <v>25</v>
      </c>
      <c r="F124" s="54"/>
      <c r="G124" s="56"/>
      <c r="H124" s="57"/>
      <c r="I124" s="55"/>
      <c r="J124" s="54"/>
      <c r="K124" s="55"/>
      <c r="L124" s="49"/>
      <c r="M124" s="56"/>
      <c r="N124" s="49"/>
      <c r="O124" s="56"/>
      <c r="P124" s="49"/>
      <c r="Q124" s="56"/>
      <c r="R124" s="49"/>
      <c r="S124" s="56"/>
      <c r="T124" s="49"/>
      <c r="U124" s="56"/>
      <c r="V124" s="49"/>
      <c r="W124" s="56"/>
      <c r="X124" s="92">
        <f t="shared" si="9"/>
        <v>26</v>
      </c>
      <c r="Y124" s="92">
        <f t="shared" si="10"/>
        <v>25</v>
      </c>
      <c r="Z124" s="96">
        <f t="shared" si="11"/>
        <v>337.5</v>
      </c>
      <c r="AA124" s="96">
        <f t="shared" si="13"/>
        <v>262.5</v>
      </c>
    </row>
    <row r="125" spans="1:27" s="23" customFormat="1" ht="15" x14ac:dyDescent="0.25">
      <c r="A125" s="22"/>
      <c r="B125" s="21" t="s">
        <v>909</v>
      </c>
      <c r="C125" s="123" t="s">
        <v>917</v>
      </c>
      <c r="D125" s="54">
        <v>44</v>
      </c>
      <c r="E125" s="55">
        <v>37.6</v>
      </c>
      <c r="F125" s="54"/>
      <c r="G125" s="56"/>
      <c r="H125" s="57"/>
      <c r="I125" s="55"/>
      <c r="J125" s="54"/>
      <c r="K125" s="55"/>
      <c r="L125" s="49"/>
      <c r="M125" s="56"/>
      <c r="N125" s="49"/>
      <c r="O125" s="56"/>
      <c r="P125" s="49"/>
      <c r="Q125" s="56"/>
      <c r="R125" s="49"/>
      <c r="S125" s="56"/>
      <c r="T125" s="49">
        <v>2</v>
      </c>
      <c r="U125" s="56">
        <v>2</v>
      </c>
      <c r="V125" s="49"/>
      <c r="W125" s="56"/>
      <c r="X125" s="92">
        <f t="shared" si="9"/>
        <v>46</v>
      </c>
      <c r="Y125" s="92">
        <f t="shared" si="10"/>
        <v>39.6</v>
      </c>
      <c r="Z125" s="96">
        <f t="shared" si="11"/>
        <v>534.6</v>
      </c>
      <c r="AA125" s="96">
        <f t="shared" si="13"/>
        <v>415.8</v>
      </c>
    </row>
    <row r="126" spans="1:27" s="23" customFormat="1" ht="15" x14ac:dyDescent="0.25">
      <c r="A126" s="22"/>
      <c r="B126" s="21" t="s">
        <v>910</v>
      </c>
      <c r="C126" s="123" t="s">
        <v>918</v>
      </c>
      <c r="D126" s="54">
        <v>9</v>
      </c>
      <c r="E126" s="55">
        <v>8.5</v>
      </c>
      <c r="F126" s="54"/>
      <c r="G126" s="56"/>
      <c r="H126" s="57"/>
      <c r="I126" s="55"/>
      <c r="J126" s="54"/>
      <c r="K126" s="55"/>
      <c r="L126" s="49"/>
      <c r="M126" s="56"/>
      <c r="N126" s="49"/>
      <c r="O126" s="56"/>
      <c r="P126" s="49"/>
      <c r="Q126" s="56"/>
      <c r="R126" s="49"/>
      <c r="S126" s="56"/>
      <c r="T126" s="49"/>
      <c r="U126" s="56"/>
      <c r="V126" s="49"/>
      <c r="W126" s="56"/>
      <c r="X126" s="92">
        <f t="shared" si="9"/>
        <v>9</v>
      </c>
      <c r="Y126" s="92">
        <f t="shared" si="10"/>
        <v>8.5</v>
      </c>
      <c r="Z126" s="96">
        <f t="shared" si="11"/>
        <v>114.75</v>
      </c>
      <c r="AA126" s="96">
        <f t="shared" si="13"/>
        <v>89.25</v>
      </c>
    </row>
    <row r="127" spans="1:27" s="23" customFormat="1" ht="15" x14ac:dyDescent="0.25">
      <c r="A127" s="22"/>
      <c r="B127" s="21" t="s">
        <v>911</v>
      </c>
      <c r="C127" s="123" t="s">
        <v>919</v>
      </c>
      <c r="D127" s="54">
        <v>5</v>
      </c>
      <c r="E127" s="55">
        <v>4.8</v>
      </c>
      <c r="F127" s="54"/>
      <c r="G127" s="56"/>
      <c r="H127" s="57"/>
      <c r="I127" s="55"/>
      <c r="J127" s="54"/>
      <c r="K127" s="55"/>
      <c r="L127" s="49"/>
      <c r="M127" s="56"/>
      <c r="N127" s="49"/>
      <c r="O127" s="56"/>
      <c r="P127" s="49"/>
      <c r="Q127" s="56"/>
      <c r="R127" s="49"/>
      <c r="S127" s="56"/>
      <c r="T127" s="49">
        <v>1</v>
      </c>
      <c r="U127" s="56">
        <v>1</v>
      </c>
      <c r="V127" s="49"/>
      <c r="W127" s="56"/>
      <c r="X127" s="92">
        <f t="shared" si="9"/>
        <v>6</v>
      </c>
      <c r="Y127" s="92">
        <f t="shared" si="10"/>
        <v>5.8</v>
      </c>
      <c r="Z127" s="96">
        <f t="shared" si="11"/>
        <v>78.3</v>
      </c>
      <c r="AA127" s="96">
        <f t="shared" si="13"/>
        <v>60.9</v>
      </c>
    </row>
    <row r="128" spans="1:27" s="23" customFormat="1" ht="15" x14ac:dyDescent="0.25">
      <c r="A128" s="22"/>
      <c r="B128" s="21" t="s">
        <v>912</v>
      </c>
      <c r="C128" s="123" t="s">
        <v>920</v>
      </c>
      <c r="D128" s="54">
        <v>6</v>
      </c>
      <c r="E128" s="55">
        <v>1</v>
      </c>
      <c r="F128" s="54"/>
      <c r="G128" s="56"/>
      <c r="H128" s="57"/>
      <c r="I128" s="55"/>
      <c r="J128" s="54"/>
      <c r="K128" s="55"/>
      <c r="L128" s="49"/>
      <c r="M128" s="56"/>
      <c r="N128" s="49"/>
      <c r="O128" s="56"/>
      <c r="P128" s="49"/>
      <c r="Q128" s="56"/>
      <c r="R128" s="49"/>
      <c r="S128" s="56"/>
      <c r="T128" s="49"/>
      <c r="U128" s="56"/>
      <c r="V128" s="49"/>
      <c r="W128" s="56"/>
      <c r="X128" s="92">
        <f t="shared" si="9"/>
        <v>6</v>
      </c>
      <c r="Y128" s="92">
        <f t="shared" si="10"/>
        <v>1</v>
      </c>
      <c r="Z128" s="96">
        <f t="shared" si="11"/>
        <v>13.5</v>
      </c>
      <c r="AA128" s="96">
        <f t="shared" si="13"/>
        <v>10.5</v>
      </c>
    </row>
    <row r="129" spans="1:27" s="23" customFormat="1" ht="15" x14ac:dyDescent="0.25">
      <c r="A129" s="22"/>
      <c r="B129" s="21" t="s">
        <v>913</v>
      </c>
      <c r="C129" s="123" t="s">
        <v>962</v>
      </c>
      <c r="D129" s="54">
        <v>9</v>
      </c>
      <c r="E129" s="55">
        <v>9</v>
      </c>
      <c r="F129" s="54"/>
      <c r="G129" s="56"/>
      <c r="H129" s="57"/>
      <c r="I129" s="55"/>
      <c r="J129" s="54"/>
      <c r="K129" s="55"/>
      <c r="L129" s="49"/>
      <c r="M129" s="56"/>
      <c r="N129" s="49"/>
      <c r="O129" s="56"/>
      <c r="P129" s="49"/>
      <c r="Q129" s="56"/>
      <c r="R129" s="49"/>
      <c r="S129" s="56"/>
      <c r="T129" s="49"/>
      <c r="U129" s="56"/>
      <c r="V129" s="49"/>
      <c r="W129" s="56"/>
      <c r="X129" s="92">
        <f t="shared" si="9"/>
        <v>9</v>
      </c>
      <c r="Y129" s="92">
        <f t="shared" si="10"/>
        <v>9</v>
      </c>
      <c r="Z129" s="96">
        <f t="shared" si="11"/>
        <v>121.5</v>
      </c>
      <c r="AA129" s="96">
        <f t="shared" si="13"/>
        <v>94.5</v>
      </c>
    </row>
    <row r="130" spans="1:27" s="23" customFormat="1" ht="15" x14ac:dyDescent="0.25">
      <c r="A130" s="22"/>
      <c r="B130" s="21" t="s">
        <v>928</v>
      </c>
      <c r="C130" s="123" t="s">
        <v>922</v>
      </c>
      <c r="D130" s="54">
        <v>10</v>
      </c>
      <c r="E130" s="55">
        <v>9.3000000000000007</v>
      </c>
      <c r="F130" s="54"/>
      <c r="G130" s="56"/>
      <c r="H130" s="57"/>
      <c r="I130" s="55"/>
      <c r="J130" s="54"/>
      <c r="K130" s="55"/>
      <c r="L130" s="49"/>
      <c r="M130" s="56"/>
      <c r="N130" s="49"/>
      <c r="O130" s="56"/>
      <c r="P130" s="49"/>
      <c r="Q130" s="56"/>
      <c r="R130" s="49"/>
      <c r="S130" s="56"/>
      <c r="T130" s="49"/>
      <c r="U130" s="56"/>
      <c r="V130" s="49"/>
      <c r="W130" s="56"/>
      <c r="X130" s="92">
        <f t="shared" si="9"/>
        <v>10</v>
      </c>
      <c r="Y130" s="92">
        <f t="shared" si="10"/>
        <v>9.3000000000000007</v>
      </c>
      <c r="Z130" s="96">
        <f t="shared" si="11"/>
        <v>125.55000000000001</v>
      </c>
      <c r="AA130" s="96">
        <f t="shared" si="13"/>
        <v>97.65</v>
      </c>
    </row>
    <row r="131" spans="1:27" s="23" customFormat="1" ht="15" x14ac:dyDescent="0.25">
      <c r="A131" s="22"/>
      <c r="B131" s="21" t="s">
        <v>929</v>
      </c>
      <c r="C131" s="123" t="s">
        <v>923</v>
      </c>
      <c r="D131" s="54">
        <v>16</v>
      </c>
      <c r="E131" s="55">
        <v>15.8</v>
      </c>
      <c r="F131" s="54"/>
      <c r="G131" s="56"/>
      <c r="H131" s="57"/>
      <c r="I131" s="55"/>
      <c r="J131" s="54"/>
      <c r="K131" s="55"/>
      <c r="L131" s="49"/>
      <c r="M131" s="56"/>
      <c r="N131" s="49"/>
      <c r="O131" s="56"/>
      <c r="P131" s="49"/>
      <c r="Q131" s="56"/>
      <c r="R131" s="49"/>
      <c r="S131" s="56"/>
      <c r="T131" s="49"/>
      <c r="U131" s="56"/>
      <c r="V131" s="49"/>
      <c r="W131" s="56"/>
      <c r="X131" s="92">
        <f t="shared" si="9"/>
        <v>16</v>
      </c>
      <c r="Y131" s="92">
        <f t="shared" si="10"/>
        <v>15.8</v>
      </c>
      <c r="Z131" s="96">
        <f t="shared" si="11"/>
        <v>213.3</v>
      </c>
      <c r="AA131" s="96">
        <f t="shared" si="13"/>
        <v>165.9</v>
      </c>
    </row>
    <row r="132" spans="1:27" s="23" customFormat="1" ht="15" x14ac:dyDescent="0.25">
      <c r="A132" s="22"/>
      <c r="B132" s="21" t="s">
        <v>930</v>
      </c>
      <c r="C132" s="123" t="s">
        <v>924</v>
      </c>
      <c r="D132" s="54">
        <v>31</v>
      </c>
      <c r="E132" s="55">
        <v>26.57</v>
      </c>
      <c r="F132" s="54"/>
      <c r="G132" s="56"/>
      <c r="H132" s="57"/>
      <c r="I132" s="55"/>
      <c r="J132" s="54"/>
      <c r="K132" s="55"/>
      <c r="L132" s="49"/>
      <c r="M132" s="56"/>
      <c r="N132" s="49"/>
      <c r="O132" s="56"/>
      <c r="P132" s="49"/>
      <c r="Q132" s="56"/>
      <c r="R132" s="49"/>
      <c r="S132" s="56"/>
      <c r="T132" s="49"/>
      <c r="U132" s="56"/>
      <c r="V132" s="49"/>
      <c r="W132" s="56"/>
      <c r="X132" s="92">
        <f t="shared" si="9"/>
        <v>31</v>
      </c>
      <c r="Y132" s="92">
        <f t="shared" si="10"/>
        <v>26.57</v>
      </c>
      <c r="Z132" s="96">
        <f t="shared" si="11"/>
        <v>358.69499999999999</v>
      </c>
      <c r="AA132" s="96">
        <f t="shared" si="13"/>
        <v>278.98500000000001</v>
      </c>
    </row>
    <row r="133" spans="1:27" s="23" customFormat="1" ht="15" x14ac:dyDescent="0.25">
      <c r="A133" s="22"/>
      <c r="B133" s="21" t="s">
        <v>931</v>
      </c>
      <c r="C133" s="123" t="s">
        <v>963</v>
      </c>
      <c r="D133" s="54">
        <v>4</v>
      </c>
      <c r="E133" s="55">
        <v>4</v>
      </c>
      <c r="F133" s="54"/>
      <c r="G133" s="56"/>
      <c r="H133" s="57"/>
      <c r="I133" s="55"/>
      <c r="J133" s="54"/>
      <c r="K133" s="55"/>
      <c r="L133" s="49"/>
      <c r="M133" s="56"/>
      <c r="N133" s="49"/>
      <c r="O133" s="56"/>
      <c r="P133" s="49"/>
      <c r="Q133" s="56"/>
      <c r="R133" s="49"/>
      <c r="S133" s="56"/>
      <c r="T133" s="49"/>
      <c r="U133" s="56"/>
      <c r="V133" s="49"/>
      <c r="W133" s="56"/>
      <c r="X133" s="92">
        <f t="shared" si="9"/>
        <v>4</v>
      </c>
      <c r="Y133" s="92">
        <f t="shared" si="10"/>
        <v>4</v>
      </c>
      <c r="Z133" s="96">
        <f t="shared" si="11"/>
        <v>54</v>
      </c>
      <c r="AA133" s="96">
        <f t="shared" si="13"/>
        <v>42</v>
      </c>
    </row>
    <row r="134" spans="1:27" s="23" customFormat="1" ht="15" x14ac:dyDescent="0.25">
      <c r="A134" s="22"/>
      <c r="B134" s="21" t="s">
        <v>932</v>
      </c>
      <c r="C134" s="123" t="s">
        <v>925</v>
      </c>
      <c r="D134" s="54">
        <v>2</v>
      </c>
      <c r="E134" s="55">
        <v>2</v>
      </c>
      <c r="F134" s="54"/>
      <c r="G134" s="56"/>
      <c r="H134" s="57"/>
      <c r="I134" s="55"/>
      <c r="J134" s="54"/>
      <c r="K134" s="55"/>
      <c r="L134" s="49"/>
      <c r="M134" s="56"/>
      <c r="N134" s="49"/>
      <c r="O134" s="56"/>
      <c r="P134" s="49"/>
      <c r="Q134" s="56"/>
      <c r="R134" s="49"/>
      <c r="S134" s="56"/>
      <c r="T134" s="49"/>
      <c r="U134" s="56"/>
      <c r="V134" s="49"/>
      <c r="W134" s="56"/>
      <c r="X134" s="92">
        <f t="shared" si="9"/>
        <v>2</v>
      </c>
      <c r="Y134" s="92">
        <f t="shared" si="10"/>
        <v>2</v>
      </c>
      <c r="Z134" s="96">
        <f t="shared" si="11"/>
        <v>27</v>
      </c>
      <c r="AA134" s="96">
        <f t="shared" si="13"/>
        <v>21</v>
      </c>
    </row>
    <row r="135" spans="1:27" s="23" customFormat="1" ht="15" x14ac:dyDescent="0.25">
      <c r="A135" s="22"/>
      <c r="B135" s="21" t="s">
        <v>933</v>
      </c>
      <c r="C135" s="123" t="s">
        <v>926</v>
      </c>
      <c r="D135" s="54">
        <v>12</v>
      </c>
      <c r="E135" s="55">
        <v>11.6</v>
      </c>
      <c r="F135" s="54"/>
      <c r="G135" s="56"/>
      <c r="H135" s="57"/>
      <c r="I135" s="55"/>
      <c r="J135" s="54"/>
      <c r="K135" s="55"/>
      <c r="L135" s="49"/>
      <c r="M135" s="56"/>
      <c r="N135" s="49"/>
      <c r="O135" s="56"/>
      <c r="P135" s="49"/>
      <c r="Q135" s="56"/>
      <c r="R135" s="49"/>
      <c r="S135" s="56"/>
      <c r="T135" s="49"/>
      <c r="U135" s="56"/>
      <c r="V135" s="49"/>
      <c r="W135" s="56"/>
      <c r="X135" s="92">
        <f t="shared" si="9"/>
        <v>12</v>
      </c>
      <c r="Y135" s="92">
        <f t="shared" si="10"/>
        <v>11.6</v>
      </c>
      <c r="Z135" s="96">
        <f t="shared" si="11"/>
        <v>156.6</v>
      </c>
      <c r="AA135" s="96">
        <f t="shared" si="13"/>
        <v>121.8</v>
      </c>
    </row>
    <row r="136" spans="1:27" s="23" customFormat="1" ht="15" x14ac:dyDescent="0.25">
      <c r="A136" s="22"/>
      <c r="B136" s="21" t="s">
        <v>934</v>
      </c>
      <c r="C136" s="123" t="s">
        <v>1191</v>
      </c>
      <c r="D136" s="54">
        <v>23</v>
      </c>
      <c r="E136" s="55">
        <v>21.2</v>
      </c>
      <c r="F136" s="54"/>
      <c r="G136" s="56"/>
      <c r="H136" s="57"/>
      <c r="I136" s="55"/>
      <c r="J136" s="54"/>
      <c r="K136" s="55"/>
      <c r="L136" s="49"/>
      <c r="M136" s="56"/>
      <c r="N136" s="49"/>
      <c r="O136" s="56"/>
      <c r="P136" s="49"/>
      <c r="Q136" s="56"/>
      <c r="R136" s="49"/>
      <c r="S136" s="56"/>
      <c r="T136" s="49"/>
      <c r="U136" s="56"/>
      <c r="V136" s="49"/>
      <c r="W136" s="56"/>
      <c r="X136" s="92">
        <f t="shared" si="9"/>
        <v>23</v>
      </c>
      <c r="Y136" s="92">
        <f t="shared" si="10"/>
        <v>21.2</v>
      </c>
      <c r="Z136" s="96">
        <f t="shared" si="11"/>
        <v>286.2</v>
      </c>
      <c r="AA136" s="96">
        <f t="shared" si="13"/>
        <v>222.6</v>
      </c>
    </row>
    <row r="137" spans="1:27" s="23" customFormat="1" ht="15" x14ac:dyDescent="0.25">
      <c r="A137" s="22"/>
      <c r="B137" s="21" t="s">
        <v>935</v>
      </c>
      <c r="C137" s="123" t="s">
        <v>1192</v>
      </c>
      <c r="D137" s="54">
        <v>25</v>
      </c>
      <c r="E137" s="55">
        <v>22.2</v>
      </c>
      <c r="F137" s="54"/>
      <c r="G137" s="56"/>
      <c r="H137" s="57"/>
      <c r="I137" s="55"/>
      <c r="J137" s="54"/>
      <c r="K137" s="55"/>
      <c r="L137" s="49">
        <v>1</v>
      </c>
      <c r="M137" s="56">
        <v>1</v>
      </c>
      <c r="N137" s="49"/>
      <c r="O137" s="56"/>
      <c r="P137" s="49"/>
      <c r="Q137" s="56"/>
      <c r="R137" s="49"/>
      <c r="S137" s="56"/>
      <c r="T137" s="49"/>
      <c r="U137" s="56"/>
      <c r="V137" s="49"/>
      <c r="W137" s="56"/>
      <c r="X137" s="92">
        <f t="shared" si="9"/>
        <v>26</v>
      </c>
      <c r="Y137" s="92">
        <f t="shared" si="10"/>
        <v>23</v>
      </c>
      <c r="Z137" s="96">
        <f t="shared" si="11"/>
        <v>310.5</v>
      </c>
      <c r="AA137" s="96">
        <f t="shared" si="13"/>
        <v>241.5</v>
      </c>
    </row>
    <row r="138" spans="1:27" s="23" customFormat="1" ht="15" x14ac:dyDescent="0.25">
      <c r="A138" s="22"/>
      <c r="B138" s="21" t="s">
        <v>936</v>
      </c>
      <c r="C138" s="123" t="s">
        <v>927</v>
      </c>
      <c r="D138" s="54">
        <v>67</v>
      </c>
      <c r="E138" s="55">
        <v>62.5</v>
      </c>
      <c r="F138" s="54"/>
      <c r="G138" s="56"/>
      <c r="H138" s="57"/>
      <c r="I138" s="55"/>
      <c r="J138" s="54"/>
      <c r="K138" s="55"/>
      <c r="L138" s="49"/>
      <c r="M138" s="56"/>
      <c r="N138" s="49"/>
      <c r="O138" s="56"/>
      <c r="P138" s="49"/>
      <c r="Q138" s="56"/>
      <c r="R138" s="49"/>
      <c r="S138" s="56"/>
      <c r="T138" s="49"/>
      <c r="U138" s="56"/>
      <c r="V138" s="49"/>
      <c r="W138" s="56"/>
      <c r="X138" s="92">
        <f t="shared" si="9"/>
        <v>67</v>
      </c>
      <c r="Y138" s="92">
        <f t="shared" si="10"/>
        <v>62.5</v>
      </c>
      <c r="Z138" s="96">
        <f t="shared" si="11"/>
        <v>843.75</v>
      </c>
      <c r="AA138" s="96">
        <f t="shared" si="13"/>
        <v>656.25</v>
      </c>
    </row>
    <row r="139" spans="1:27" s="23" customFormat="1" ht="15" x14ac:dyDescent="0.25">
      <c r="A139" s="22"/>
      <c r="B139" s="21" t="s">
        <v>937</v>
      </c>
      <c r="C139" s="123" t="s">
        <v>964</v>
      </c>
      <c r="D139" s="54">
        <v>19</v>
      </c>
      <c r="E139" s="55">
        <v>19</v>
      </c>
      <c r="F139" s="54"/>
      <c r="G139" s="56"/>
      <c r="H139" s="57"/>
      <c r="I139" s="55"/>
      <c r="J139" s="54"/>
      <c r="K139" s="55"/>
      <c r="L139" s="49"/>
      <c r="M139" s="56"/>
      <c r="N139" s="49"/>
      <c r="O139" s="56"/>
      <c r="P139" s="49"/>
      <c r="Q139" s="56"/>
      <c r="R139" s="49"/>
      <c r="S139" s="56"/>
      <c r="T139" s="49"/>
      <c r="U139" s="56"/>
      <c r="V139" s="49"/>
      <c r="W139" s="56"/>
      <c r="X139" s="92">
        <f t="shared" si="9"/>
        <v>19</v>
      </c>
      <c r="Y139" s="92">
        <f t="shared" si="10"/>
        <v>19</v>
      </c>
      <c r="Z139" s="96">
        <f t="shared" si="11"/>
        <v>256.5</v>
      </c>
      <c r="AA139" s="96">
        <f t="shared" si="13"/>
        <v>199.5</v>
      </c>
    </row>
    <row r="140" spans="1:27" s="23" customFormat="1" ht="15" x14ac:dyDescent="0.25">
      <c r="A140" s="22"/>
      <c r="B140" s="21" t="s">
        <v>938</v>
      </c>
      <c r="C140" s="123" t="s">
        <v>940</v>
      </c>
      <c r="D140" s="54">
        <v>3</v>
      </c>
      <c r="E140" s="55">
        <v>3</v>
      </c>
      <c r="F140" s="54"/>
      <c r="G140" s="56"/>
      <c r="H140" s="57"/>
      <c r="I140" s="55"/>
      <c r="J140" s="54"/>
      <c r="K140" s="55"/>
      <c r="L140" s="49">
        <v>1</v>
      </c>
      <c r="M140" s="56">
        <v>1</v>
      </c>
      <c r="N140" s="49"/>
      <c r="O140" s="56"/>
      <c r="P140" s="49"/>
      <c r="Q140" s="56"/>
      <c r="R140" s="49"/>
      <c r="S140" s="56"/>
      <c r="T140" s="49"/>
      <c r="U140" s="56"/>
      <c r="V140" s="49"/>
      <c r="W140" s="56"/>
      <c r="X140" s="92">
        <f t="shared" si="9"/>
        <v>4</v>
      </c>
      <c r="Y140" s="92">
        <f t="shared" si="10"/>
        <v>3.8</v>
      </c>
      <c r="Z140" s="96">
        <f t="shared" si="11"/>
        <v>51.3</v>
      </c>
      <c r="AA140" s="96">
        <f t="shared" si="13"/>
        <v>39.9</v>
      </c>
    </row>
    <row r="141" spans="1:27" s="23" customFormat="1" ht="15" x14ac:dyDescent="0.25">
      <c r="A141" s="22"/>
      <c r="B141" s="21" t="s">
        <v>939</v>
      </c>
      <c r="C141" s="123" t="s">
        <v>941</v>
      </c>
      <c r="D141" s="54">
        <v>13</v>
      </c>
      <c r="E141" s="55">
        <v>11.3</v>
      </c>
      <c r="F141" s="54"/>
      <c r="G141" s="56"/>
      <c r="H141" s="57"/>
      <c r="I141" s="55"/>
      <c r="J141" s="54"/>
      <c r="K141" s="55"/>
      <c r="L141" s="49">
        <v>10</v>
      </c>
      <c r="M141" s="56">
        <v>10</v>
      </c>
      <c r="N141" s="49"/>
      <c r="O141" s="56"/>
      <c r="P141" s="49"/>
      <c r="Q141" s="56"/>
      <c r="R141" s="49"/>
      <c r="S141" s="56"/>
      <c r="T141" s="49"/>
      <c r="U141" s="56"/>
      <c r="V141" s="49"/>
      <c r="W141" s="56"/>
      <c r="X141" s="92">
        <f t="shared" si="9"/>
        <v>23</v>
      </c>
      <c r="Y141" s="92">
        <f t="shared" si="10"/>
        <v>19.3</v>
      </c>
      <c r="Z141" s="96">
        <f t="shared" si="11"/>
        <v>260.55</v>
      </c>
      <c r="AA141" s="96">
        <f t="shared" si="13"/>
        <v>202.65</v>
      </c>
    </row>
    <row r="142" spans="1:27" s="23" customFormat="1" ht="15" x14ac:dyDescent="0.25">
      <c r="A142" s="22"/>
      <c r="B142" s="21" t="s">
        <v>967</v>
      </c>
      <c r="C142" s="123" t="s">
        <v>942</v>
      </c>
      <c r="D142" s="54">
        <v>4</v>
      </c>
      <c r="E142" s="55">
        <v>3.5</v>
      </c>
      <c r="F142" s="54"/>
      <c r="G142" s="56"/>
      <c r="H142" s="57"/>
      <c r="I142" s="55"/>
      <c r="J142" s="54"/>
      <c r="K142" s="55"/>
      <c r="L142" s="49">
        <v>10</v>
      </c>
      <c r="M142" s="56">
        <v>10</v>
      </c>
      <c r="N142" s="49"/>
      <c r="O142" s="56"/>
      <c r="P142" s="49"/>
      <c r="Q142" s="56"/>
      <c r="R142" s="49"/>
      <c r="S142" s="56"/>
      <c r="T142" s="49"/>
      <c r="U142" s="56"/>
      <c r="V142" s="49"/>
      <c r="W142" s="56"/>
      <c r="X142" s="92">
        <f t="shared" si="9"/>
        <v>14</v>
      </c>
      <c r="Y142" s="92">
        <f t="shared" si="10"/>
        <v>11.5</v>
      </c>
      <c r="Z142" s="96">
        <f t="shared" si="11"/>
        <v>155.25</v>
      </c>
      <c r="AA142" s="96">
        <f t="shared" si="13"/>
        <v>120.75</v>
      </c>
    </row>
    <row r="143" spans="1:27" s="23" customFormat="1" ht="15" x14ac:dyDescent="0.25">
      <c r="A143" s="22"/>
      <c r="B143" s="21" t="s">
        <v>968</v>
      </c>
      <c r="C143" s="123" t="s">
        <v>943</v>
      </c>
      <c r="D143" s="54">
        <v>5</v>
      </c>
      <c r="E143" s="55">
        <v>4.8</v>
      </c>
      <c r="F143" s="54"/>
      <c r="G143" s="56"/>
      <c r="H143" s="57"/>
      <c r="I143" s="55"/>
      <c r="J143" s="54"/>
      <c r="K143" s="55"/>
      <c r="L143" s="49">
        <v>11</v>
      </c>
      <c r="M143" s="56">
        <v>8.8000000000000007</v>
      </c>
      <c r="N143" s="49"/>
      <c r="O143" s="56"/>
      <c r="P143" s="49"/>
      <c r="Q143" s="56"/>
      <c r="R143" s="49"/>
      <c r="S143" s="56"/>
      <c r="T143" s="49"/>
      <c r="U143" s="56"/>
      <c r="V143" s="49"/>
      <c r="W143" s="56"/>
      <c r="X143" s="92">
        <f t="shared" si="9"/>
        <v>16</v>
      </c>
      <c r="Y143" s="92">
        <f t="shared" si="10"/>
        <v>11.84</v>
      </c>
      <c r="Z143" s="96">
        <f t="shared" si="11"/>
        <v>159.84</v>
      </c>
      <c r="AA143" s="96">
        <f t="shared" si="13"/>
        <v>124.32</v>
      </c>
    </row>
    <row r="144" spans="1:27" s="23" customFormat="1" ht="15" x14ac:dyDescent="0.25">
      <c r="A144" s="22"/>
      <c r="B144" s="21" t="s">
        <v>969</v>
      </c>
      <c r="C144" s="123" t="s">
        <v>944</v>
      </c>
      <c r="D144" s="54">
        <v>4</v>
      </c>
      <c r="E144" s="55">
        <v>4</v>
      </c>
      <c r="F144" s="54"/>
      <c r="G144" s="56"/>
      <c r="H144" s="57"/>
      <c r="I144" s="55"/>
      <c r="J144" s="54"/>
      <c r="K144" s="55"/>
      <c r="L144" s="49">
        <v>62</v>
      </c>
      <c r="M144" s="56">
        <v>58.9</v>
      </c>
      <c r="N144" s="49"/>
      <c r="O144" s="56"/>
      <c r="P144" s="49"/>
      <c r="Q144" s="56"/>
      <c r="R144" s="49"/>
      <c r="S144" s="56"/>
      <c r="T144" s="49"/>
      <c r="U144" s="56"/>
      <c r="V144" s="49"/>
      <c r="W144" s="56"/>
      <c r="X144" s="92">
        <f t="shared" si="9"/>
        <v>66</v>
      </c>
      <c r="Y144" s="92">
        <f t="shared" si="10"/>
        <v>51.120000000000005</v>
      </c>
      <c r="Z144" s="96">
        <f t="shared" si="11"/>
        <v>690.12000000000012</v>
      </c>
      <c r="AA144" s="96">
        <f t="shared" si="13"/>
        <v>536.7600000000001</v>
      </c>
    </row>
    <row r="145" spans="1:27" s="23" customFormat="1" ht="15" x14ac:dyDescent="0.25">
      <c r="A145" s="22"/>
      <c r="B145" s="21" t="s">
        <v>970</v>
      </c>
      <c r="C145" s="123" t="s">
        <v>945</v>
      </c>
      <c r="D145" s="54">
        <v>5</v>
      </c>
      <c r="E145" s="55">
        <v>4</v>
      </c>
      <c r="F145" s="54"/>
      <c r="G145" s="56"/>
      <c r="H145" s="57"/>
      <c r="I145" s="55"/>
      <c r="J145" s="54"/>
      <c r="K145" s="55"/>
      <c r="L145" s="49">
        <v>11</v>
      </c>
      <c r="M145" s="56">
        <v>11</v>
      </c>
      <c r="N145" s="49"/>
      <c r="O145" s="56"/>
      <c r="P145" s="49"/>
      <c r="Q145" s="56"/>
      <c r="R145" s="49"/>
      <c r="S145" s="56"/>
      <c r="T145" s="49"/>
      <c r="U145" s="56"/>
      <c r="V145" s="49"/>
      <c r="W145" s="56"/>
      <c r="X145" s="92">
        <f t="shared" si="9"/>
        <v>16</v>
      </c>
      <c r="Y145" s="92">
        <f t="shared" si="10"/>
        <v>12.8</v>
      </c>
      <c r="Z145" s="96">
        <f t="shared" si="11"/>
        <v>172.8</v>
      </c>
      <c r="AA145" s="96">
        <f t="shared" si="13"/>
        <v>134.4</v>
      </c>
    </row>
    <row r="146" spans="1:27" s="23" customFormat="1" ht="15" x14ac:dyDescent="0.25">
      <c r="A146" s="22"/>
      <c r="B146" s="21" t="s">
        <v>971</v>
      </c>
      <c r="C146" s="123" t="s">
        <v>965</v>
      </c>
      <c r="D146" s="54">
        <v>25</v>
      </c>
      <c r="E146" s="55">
        <v>25</v>
      </c>
      <c r="F146" s="54"/>
      <c r="G146" s="56"/>
      <c r="H146" s="57"/>
      <c r="I146" s="55"/>
      <c r="J146" s="54"/>
      <c r="K146" s="55"/>
      <c r="L146" s="49">
        <v>6</v>
      </c>
      <c r="M146" s="56">
        <v>6</v>
      </c>
      <c r="N146" s="49"/>
      <c r="O146" s="56"/>
      <c r="P146" s="49"/>
      <c r="Q146" s="56"/>
      <c r="R146" s="49"/>
      <c r="S146" s="56"/>
      <c r="T146" s="49"/>
      <c r="U146" s="56"/>
      <c r="V146" s="49"/>
      <c r="W146" s="56"/>
      <c r="X146" s="92">
        <f t="shared" si="9"/>
        <v>31</v>
      </c>
      <c r="Y146" s="92">
        <f t="shared" si="10"/>
        <v>29.8</v>
      </c>
      <c r="Z146" s="96">
        <f t="shared" si="11"/>
        <v>402.3</v>
      </c>
      <c r="AA146" s="96">
        <f t="shared" si="13"/>
        <v>312.90000000000003</v>
      </c>
    </row>
    <row r="147" spans="1:27" s="23" customFormat="1" ht="15" x14ac:dyDescent="0.25">
      <c r="A147" s="22"/>
      <c r="B147" s="21" t="s">
        <v>972</v>
      </c>
      <c r="C147" s="123" t="s">
        <v>946</v>
      </c>
      <c r="D147" s="54">
        <v>1</v>
      </c>
      <c r="E147" s="55">
        <v>1</v>
      </c>
      <c r="F147" s="54"/>
      <c r="G147" s="56"/>
      <c r="H147" s="57"/>
      <c r="I147" s="55"/>
      <c r="J147" s="54"/>
      <c r="K147" s="55"/>
      <c r="L147" s="49"/>
      <c r="M147" s="56"/>
      <c r="N147" s="49"/>
      <c r="O147" s="56"/>
      <c r="P147" s="49"/>
      <c r="Q147" s="56"/>
      <c r="R147" s="49"/>
      <c r="S147" s="56"/>
      <c r="T147" s="49"/>
      <c r="U147" s="56"/>
      <c r="V147" s="49"/>
      <c r="W147" s="56"/>
      <c r="X147" s="92">
        <f t="shared" si="9"/>
        <v>1</v>
      </c>
      <c r="Y147" s="92">
        <f t="shared" si="10"/>
        <v>1</v>
      </c>
      <c r="Z147" s="96">
        <f t="shared" si="11"/>
        <v>13.5</v>
      </c>
      <c r="AA147" s="96">
        <f t="shared" si="13"/>
        <v>10.5</v>
      </c>
    </row>
    <row r="148" spans="1:27" s="23" customFormat="1" ht="15" x14ac:dyDescent="0.25">
      <c r="A148" s="22"/>
      <c r="B148" s="21" t="s">
        <v>973</v>
      </c>
      <c r="C148" s="123" t="s">
        <v>947</v>
      </c>
      <c r="D148" s="54">
        <v>11</v>
      </c>
      <c r="E148" s="55">
        <v>10.8</v>
      </c>
      <c r="F148" s="54"/>
      <c r="G148" s="56"/>
      <c r="H148" s="57"/>
      <c r="I148" s="55"/>
      <c r="J148" s="54"/>
      <c r="K148" s="55"/>
      <c r="L148" s="49"/>
      <c r="M148" s="56"/>
      <c r="N148" s="49"/>
      <c r="O148" s="56"/>
      <c r="P148" s="49"/>
      <c r="Q148" s="56"/>
      <c r="R148" s="49"/>
      <c r="S148" s="56"/>
      <c r="T148" s="49"/>
      <c r="U148" s="56"/>
      <c r="V148" s="49"/>
      <c r="W148" s="56"/>
      <c r="X148" s="92">
        <f t="shared" si="9"/>
        <v>11</v>
      </c>
      <c r="Y148" s="92">
        <f t="shared" si="10"/>
        <v>10.8</v>
      </c>
      <c r="Z148" s="96">
        <f t="shared" si="11"/>
        <v>145.80000000000001</v>
      </c>
      <c r="AA148" s="96">
        <f t="shared" si="13"/>
        <v>113.4</v>
      </c>
    </row>
    <row r="149" spans="1:27" s="23" customFormat="1" ht="15" x14ac:dyDescent="0.25">
      <c r="A149" s="22"/>
      <c r="B149" s="21" t="s">
        <v>974</v>
      </c>
      <c r="C149" s="123" t="s">
        <v>948</v>
      </c>
      <c r="D149" s="54">
        <v>2</v>
      </c>
      <c r="E149" s="55">
        <v>2</v>
      </c>
      <c r="F149" s="54"/>
      <c r="G149" s="56"/>
      <c r="H149" s="57"/>
      <c r="I149" s="55"/>
      <c r="J149" s="54"/>
      <c r="K149" s="55"/>
      <c r="L149" s="49"/>
      <c r="M149" s="56"/>
      <c r="N149" s="49"/>
      <c r="O149" s="56"/>
      <c r="P149" s="49"/>
      <c r="Q149" s="56"/>
      <c r="R149" s="49"/>
      <c r="S149" s="56"/>
      <c r="T149" s="49"/>
      <c r="U149" s="56"/>
      <c r="V149" s="49"/>
      <c r="W149" s="56"/>
      <c r="X149" s="92">
        <f t="shared" si="9"/>
        <v>2</v>
      </c>
      <c r="Y149" s="92">
        <f t="shared" si="10"/>
        <v>2</v>
      </c>
      <c r="Z149" s="96">
        <f t="shared" si="11"/>
        <v>27</v>
      </c>
      <c r="AA149" s="96">
        <f t="shared" si="13"/>
        <v>21</v>
      </c>
    </row>
    <row r="150" spans="1:27" s="23" customFormat="1" ht="15" x14ac:dyDescent="0.25">
      <c r="A150" s="22"/>
      <c r="B150" s="21" t="s">
        <v>975</v>
      </c>
      <c r="C150" s="123" t="s">
        <v>949</v>
      </c>
      <c r="D150" s="54">
        <v>3</v>
      </c>
      <c r="E150" s="55">
        <v>2.8</v>
      </c>
      <c r="F150" s="54"/>
      <c r="G150" s="56"/>
      <c r="H150" s="57"/>
      <c r="I150" s="55"/>
      <c r="J150" s="54"/>
      <c r="K150" s="55"/>
      <c r="L150" s="49"/>
      <c r="M150" s="56"/>
      <c r="N150" s="49"/>
      <c r="O150" s="56"/>
      <c r="P150" s="49"/>
      <c r="Q150" s="56"/>
      <c r="R150" s="49"/>
      <c r="S150" s="56"/>
      <c r="T150" s="49">
        <v>10</v>
      </c>
      <c r="U150" s="56">
        <v>10</v>
      </c>
      <c r="V150" s="49"/>
      <c r="W150" s="56"/>
      <c r="X150" s="92">
        <f t="shared" si="9"/>
        <v>13</v>
      </c>
      <c r="Y150" s="92">
        <f t="shared" si="10"/>
        <v>12.8</v>
      </c>
      <c r="Z150" s="96">
        <f t="shared" si="11"/>
        <v>172.8</v>
      </c>
      <c r="AA150" s="96">
        <f t="shared" si="13"/>
        <v>134.4</v>
      </c>
    </row>
    <row r="151" spans="1:27" s="23" customFormat="1" ht="15" x14ac:dyDescent="0.25">
      <c r="A151" s="22"/>
      <c r="B151" s="21" t="s">
        <v>976</v>
      </c>
      <c r="C151" s="123" t="s">
        <v>950</v>
      </c>
      <c r="D151" s="54">
        <v>206</v>
      </c>
      <c r="E151" s="55">
        <v>188.8</v>
      </c>
      <c r="F151" s="54"/>
      <c r="G151" s="56"/>
      <c r="H151" s="57"/>
      <c r="I151" s="55"/>
      <c r="J151" s="54"/>
      <c r="K151" s="55"/>
      <c r="L151" s="49"/>
      <c r="M151" s="56"/>
      <c r="N151" s="49"/>
      <c r="O151" s="56"/>
      <c r="P151" s="49"/>
      <c r="Q151" s="56"/>
      <c r="R151" s="49"/>
      <c r="S151" s="56"/>
      <c r="T151" s="49"/>
      <c r="U151" s="56"/>
      <c r="V151" s="49"/>
      <c r="W151" s="56"/>
      <c r="X151" s="92">
        <f t="shared" si="9"/>
        <v>206</v>
      </c>
      <c r="Y151" s="92">
        <f t="shared" si="10"/>
        <v>188.8</v>
      </c>
      <c r="Z151" s="96">
        <f t="shared" si="11"/>
        <v>2548.8000000000002</v>
      </c>
      <c r="AA151" s="96">
        <f t="shared" si="13"/>
        <v>1982.4</v>
      </c>
    </row>
    <row r="152" spans="1:27" s="23" customFormat="1" ht="15" x14ac:dyDescent="0.25">
      <c r="A152" s="22"/>
      <c r="B152" s="21" t="s">
        <v>1158</v>
      </c>
      <c r="C152" s="123" t="s">
        <v>951</v>
      </c>
      <c r="D152" s="54">
        <v>48</v>
      </c>
      <c r="E152" s="55">
        <v>45.6</v>
      </c>
      <c r="F152" s="54"/>
      <c r="G152" s="56"/>
      <c r="H152" s="57"/>
      <c r="I152" s="55"/>
      <c r="J152" s="54"/>
      <c r="K152" s="55"/>
      <c r="L152" s="49"/>
      <c r="M152" s="56"/>
      <c r="N152" s="49"/>
      <c r="O152" s="56"/>
      <c r="P152" s="49"/>
      <c r="Q152" s="56"/>
      <c r="R152" s="49"/>
      <c r="S152" s="56"/>
      <c r="T152" s="49"/>
      <c r="U152" s="56"/>
      <c r="V152" s="49"/>
      <c r="W152" s="56"/>
      <c r="X152" s="92">
        <f t="shared" si="9"/>
        <v>48</v>
      </c>
      <c r="Y152" s="92">
        <f t="shared" si="10"/>
        <v>45.6</v>
      </c>
      <c r="Z152" s="96">
        <f t="shared" si="11"/>
        <v>615.6</v>
      </c>
      <c r="AA152" s="96">
        <f t="shared" si="13"/>
        <v>478.8</v>
      </c>
    </row>
    <row r="153" spans="1:27" s="23" customFormat="1" ht="15" x14ac:dyDescent="0.25">
      <c r="A153" s="22"/>
      <c r="B153" s="21" t="s">
        <v>1159</v>
      </c>
      <c r="C153" s="123" t="s">
        <v>952</v>
      </c>
      <c r="D153" s="54">
        <v>10</v>
      </c>
      <c r="E153" s="55">
        <v>9.1999999999999993</v>
      </c>
      <c r="F153" s="54"/>
      <c r="G153" s="56"/>
      <c r="H153" s="57"/>
      <c r="I153" s="55"/>
      <c r="J153" s="54"/>
      <c r="K153" s="55"/>
      <c r="L153" s="49"/>
      <c r="M153" s="56"/>
      <c r="N153" s="49"/>
      <c r="O153" s="56"/>
      <c r="P153" s="49"/>
      <c r="Q153" s="56"/>
      <c r="R153" s="49"/>
      <c r="S153" s="56"/>
      <c r="T153" s="49"/>
      <c r="U153" s="56"/>
      <c r="V153" s="49"/>
      <c r="W153" s="56"/>
      <c r="X153" s="92">
        <f t="shared" si="9"/>
        <v>10</v>
      </c>
      <c r="Y153" s="92">
        <f t="shared" si="10"/>
        <v>9.1999999999999993</v>
      </c>
      <c r="Z153" s="96">
        <f t="shared" si="11"/>
        <v>124.19999999999999</v>
      </c>
      <c r="AA153" s="96">
        <f t="shared" si="13"/>
        <v>96.6</v>
      </c>
    </row>
    <row r="154" spans="1:27" s="23" customFormat="1" ht="15" x14ac:dyDescent="0.25">
      <c r="A154" s="22"/>
      <c r="B154" s="21" t="s">
        <v>1160</v>
      </c>
      <c r="C154" s="123" t="s">
        <v>953</v>
      </c>
      <c r="D154" s="54"/>
      <c r="E154" s="55"/>
      <c r="F154" s="54">
        <v>1</v>
      </c>
      <c r="G154" s="56">
        <v>1</v>
      </c>
      <c r="H154" s="57"/>
      <c r="I154" s="55"/>
      <c r="J154" s="54"/>
      <c r="K154" s="55"/>
      <c r="L154" s="49"/>
      <c r="M154" s="56"/>
      <c r="N154" s="49"/>
      <c r="O154" s="56"/>
      <c r="P154" s="49"/>
      <c r="Q154" s="56"/>
      <c r="R154" s="49"/>
      <c r="S154" s="56"/>
      <c r="T154" s="49"/>
      <c r="U154" s="56"/>
      <c r="V154" s="49"/>
      <c r="W154" s="56"/>
      <c r="X154" s="92">
        <f t="shared" si="9"/>
        <v>1</v>
      </c>
      <c r="Y154" s="92">
        <f t="shared" si="10"/>
        <v>0</v>
      </c>
      <c r="Z154" s="96">
        <f t="shared" si="11"/>
        <v>0</v>
      </c>
      <c r="AA154" s="96">
        <f t="shared" si="13"/>
        <v>0</v>
      </c>
    </row>
    <row r="155" spans="1:27" s="23" customFormat="1" ht="15" x14ac:dyDescent="0.25">
      <c r="A155" s="22"/>
      <c r="B155" s="21" t="s">
        <v>1167</v>
      </c>
      <c r="C155" s="123" t="s">
        <v>954</v>
      </c>
      <c r="D155" s="54">
        <v>7</v>
      </c>
      <c r="E155" s="55">
        <v>0</v>
      </c>
      <c r="F155" s="54"/>
      <c r="G155" s="56"/>
      <c r="H155" s="57"/>
      <c r="I155" s="55"/>
      <c r="J155" s="54"/>
      <c r="K155" s="55"/>
      <c r="L155" s="49"/>
      <c r="M155" s="56"/>
      <c r="N155" s="49"/>
      <c r="O155" s="56"/>
      <c r="P155" s="49"/>
      <c r="Q155" s="56"/>
      <c r="R155" s="49"/>
      <c r="S155" s="56"/>
      <c r="T155" s="49"/>
      <c r="U155" s="56"/>
      <c r="V155" s="49"/>
      <c r="W155" s="56"/>
      <c r="X155" s="92">
        <f t="shared" si="9"/>
        <v>7</v>
      </c>
      <c r="Y155" s="92">
        <f t="shared" si="10"/>
        <v>0</v>
      </c>
      <c r="Z155" s="96">
        <f t="shared" si="11"/>
        <v>0</v>
      </c>
      <c r="AA155" s="96">
        <f t="shared" si="13"/>
        <v>0</v>
      </c>
    </row>
    <row r="156" spans="1:27" s="23" customFormat="1" ht="15" x14ac:dyDescent="0.25">
      <c r="A156" s="22"/>
      <c r="B156" s="21" t="s">
        <v>1168</v>
      </c>
      <c r="C156" s="123" t="s">
        <v>966</v>
      </c>
      <c r="D156" s="54">
        <v>7</v>
      </c>
      <c r="E156" s="55">
        <v>7</v>
      </c>
      <c r="F156" s="54"/>
      <c r="G156" s="56"/>
      <c r="H156" s="57"/>
      <c r="I156" s="55"/>
      <c r="J156" s="54"/>
      <c r="K156" s="55"/>
      <c r="L156" s="49"/>
      <c r="M156" s="56"/>
      <c r="N156" s="49"/>
      <c r="O156" s="56"/>
      <c r="P156" s="49"/>
      <c r="Q156" s="56"/>
      <c r="R156" s="49"/>
      <c r="S156" s="56"/>
      <c r="T156" s="49"/>
      <c r="U156" s="56"/>
      <c r="V156" s="49"/>
      <c r="W156" s="56"/>
      <c r="X156" s="92">
        <f t="shared" si="9"/>
        <v>7</v>
      </c>
      <c r="Y156" s="92">
        <f t="shared" si="10"/>
        <v>7</v>
      </c>
      <c r="Z156" s="96">
        <f t="shared" si="11"/>
        <v>94.5</v>
      </c>
      <c r="AA156" s="96">
        <f t="shared" si="13"/>
        <v>73.5</v>
      </c>
    </row>
    <row r="157" spans="1:27" s="23" customFormat="1" x14ac:dyDescent="0.2">
      <c r="A157" s="22"/>
      <c r="B157" s="34" t="s">
        <v>45</v>
      </c>
      <c r="C157" s="34"/>
      <c r="D157" s="58">
        <f t="shared" ref="D157:Z157" si="14">SUM(D49:D156)</f>
        <v>1434</v>
      </c>
      <c r="E157" s="59">
        <f t="shared" si="14"/>
        <v>1291.4199999999996</v>
      </c>
      <c r="F157" s="58">
        <f t="shared" si="14"/>
        <v>85</v>
      </c>
      <c r="G157" s="59">
        <f t="shared" si="14"/>
        <v>74.599999999999994</v>
      </c>
      <c r="H157" s="58">
        <f t="shared" si="14"/>
        <v>0</v>
      </c>
      <c r="I157" s="59">
        <f t="shared" si="14"/>
        <v>0</v>
      </c>
      <c r="J157" s="58">
        <f t="shared" si="14"/>
        <v>0</v>
      </c>
      <c r="K157" s="59">
        <f t="shared" si="14"/>
        <v>0</v>
      </c>
      <c r="L157" s="60">
        <f t="shared" si="14"/>
        <v>112</v>
      </c>
      <c r="M157" s="59">
        <f t="shared" si="14"/>
        <v>106.7</v>
      </c>
      <c r="N157" s="60">
        <f t="shared" si="14"/>
        <v>0</v>
      </c>
      <c r="O157" s="59">
        <f t="shared" si="14"/>
        <v>0</v>
      </c>
      <c r="P157" s="60">
        <f t="shared" si="14"/>
        <v>0</v>
      </c>
      <c r="Q157" s="59">
        <f t="shared" si="14"/>
        <v>0</v>
      </c>
      <c r="R157" s="60">
        <f t="shared" si="14"/>
        <v>0</v>
      </c>
      <c r="S157" s="59">
        <f t="shared" si="14"/>
        <v>0</v>
      </c>
      <c r="T157" s="60">
        <f t="shared" si="14"/>
        <v>107</v>
      </c>
      <c r="U157" s="59">
        <f t="shared" si="14"/>
        <v>107</v>
      </c>
      <c r="V157" s="60">
        <f t="shared" si="14"/>
        <v>0</v>
      </c>
      <c r="W157" s="59">
        <f t="shared" si="14"/>
        <v>0</v>
      </c>
      <c r="X157" s="92">
        <f t="shared" si="14"/>
        <v>1738</v>
      </c>
      <c r="Y157" s="95">
        <f t="shared" si="14"/>
        <v>1483.7799999999993</v>
      </c>
      <c r="Z157" s="96">
        <f t="shared" si="14"/>
        <v>20031.029999999995</v>
      </c>
      <c r="AA157" s="96">
        <f t="shared" si="13"/>
        <v>15579.689999999997</v>
      </c>
    </row>
    <row r="158" spans="1:27" s="23" customFormat="1" x14ac:dyDescent="0.2">
      <c r="A158" s="22"/>
      <c r="B158" s="1"/>
      <c r="C158" s="1"/>
      <c r="D158" s="89"/>
      <c r="E158" s="62"/>
      <c r="F158" s="61"/>
      <c r="G158" s="62"/>
      <c r="H158" s="61"/>
      <c r="I158" s="62"/>
      <c r="J158" s="63"/>
      <c r="K158" s="62"/>
      <c r="L158" s="89"/>
      <c r="M158" s="62"/>
    </row>
    <row r="159" spans="1:27" s="23" customFormat="1" x14ac:dyDescent="0.2">
      <c r="A159" s="22"/>
      <c r="J159" s="24"/>
      <c r="K159" s="458">
        <f>E157+G157+M157+U157</f>
        <v>1579.7199999999996</v>
      </c>
      <c r="R159" s="444">
        <f>E157+G157+M157+U157</f>
        <v>1579.7199999999996</v>
      </c>
    </row>
    <row r="160" spans="1:27" s="23" customFormat="1" x14ac:dyDescent="0.2">
      <c r="A160" s="22"/>
      <c r="B160" s="28" t="str">
        <f>UPPER("Contenu de l'OA et LSA (Office Area et Local Support Area) : Voir Onglet Explications")</f>
        <v>CONTENU DE L'OA ET LSA (OFFICE AREA ET LOCAL SUPPORT AREA) : VOIR ONGLET EXPLICATIONS</v>
      </c>
      <c r="C160" s="28"/>
      <c r="J160" s="24"/>
      <c r="K160" s="27"/>
    </row>
    <row r="161" spans="1:16" ht="13.5" thickBot="1" x14ac:dyDescent="0.25"/>
    <row r="162" spans="1:16" s="8" customFormat="1" x14ac:dyDescent="0.2">
      <c r="A162" s="7">
        <v>3</v>
      </c>
      <c r="B162" s="8" t="str">
        <f>UPPER("Fonctions spécifiques • CSA")</f>
        <v>FONCTIONS SPÉCIFIQUES • CSA</v>
      </c>
      <c r="J162" s="9"/>
      <c r="K162" s="9"/>
    </row>
    <row r="164" spans="1:16" x14ac:dyDescent="0.2">
      <c r="B164" s="345" t="s">
        <v>753</v>
      </c>
    </row>
    <row r="165" spans="1:16" x14ac:dyDescent="0.2">
      <c r="J165" s="5"/>
      <c r="K165" s="5"/>
      <c r="M165" s="30"/>
      <c r="N165" s="6"/>
      <c r="O165" s="98"/>
    </row>
    <row r="166" spans="1:16" s="23" customFormat="1" x14ac:dyDescent="0.2">
      <c r="A166" s="22"/>
      <c r="B166" s="5" t="s">
        <v>636</v>
      </c>
      <c r="C166" s="5"/>
      <c r="D166" s="5"/>
      <c r="E166" s="5"/>
      <c r="F166" s="470">
        <f>CSA</f>
        <v>21637.510000000002</v>
      </c>
      <c r="G166" s="470"/>
      <c r="H166" s="1"/>
      <c r="I166"/>
      <c r="J166"/>
      <c r="K166"/>
      <c r="L166"/>
      <c r="M166"/>
      <c r="N166"/>
      <c r="O166"/>
      <c r="P166"/>
    </row>
    <row r="167" spans="1:16" x14ac:dyDescent="0.2">
      <c r="J167" s="30"/>
      <c r="L167" s="31"/>
    </row>
    <row r="168" spans="1:16" ht="13.5" thickBot="1" x14ac:dyDescent="0.25"/>
    <row r="169" spans="1:16" s="8" customFormat="1" x14ac:dyDescent="0.2">
      <c r="A169" s="7">
        <v>4</v>
      </c>
      <c r="B169" s="8" t="str">
        <f>UPPER("Surface Primaire totale")</f>
        <v>SURFACE PRIMAIRE TOTALE</v>
      </c>
    </row>
    <row r="170" spans="1:16" x14ac:dyDescent="0.2">
      <c r="I170"/>
      <c r="J170"/>
      <c r="K170"/>
    </row>
    <row r="171" spans="1:16" x14ac:dyDescent="0.2">
      <c r="B171" s="5" t="s">
        <v>26</v>
      </c>
      <c r="F171" s="470">
        <f>Z157</f>
        <v>20031.029999999995</v>
      </c>
      <c r="G171" s="470"/>
      <c r="H171" s="470">
        <f>AA157</f>
        <v>15579.689999999997</v>
      </c>
      <c r="I171" s="470"/>
      <c r="J171"/>
      <c r="K171"/>
      <c r="L171" s="11"/>
      <c r="M171" s="11"/>
      <c r="N171" s="11"/>
    </row>
    <row r="172" spans="1:16" x14ac:dyDescent="0.2">
      <c r="B172" s="5" t="s">
        <v>27</v>
      </c>
      <c r="F172" s="470">
        <f>'Partie 4 • µ.implantation'!R73</f>
        <v>21637.510000000002</v>
      </c>
      <c r="G172" s="470"/>
      <c r="H172" s="470">
        <f>CSA</f>
        <v>21637.510000000002</v>
      </c>
      <c r="I172" s="470"/>
      <c r="J172"/>
      <c r="K172"/>
    </row>
    <row r="173" spans="1:16" hidden="1" x14ac:dyDescent="0.2">
      <c r="B173" s="5" t="s">
        <v>1291</v>
      </c>
      <c r="F173" s="470">
        <v>0</v>
      </c>
      <c r="G173" s="470">
        <f>'Partie 5  • parties inchangées'!R114</f>
        <v>8089.63</v>
      </c>
      <c r="H173" s="470">
        <v>0</v>
      </c>
      <c r="I173" s="470">
        <f>'Partie 5  • parties inchangées'!T114</f>
        <v>0</v>
      </c>
      <c r="J173"/>
      <c r="K173"/>
    </row>
    <row r="174" spans="1:16" x14ac:dyDescent="0.2">
      <c r="E174" s="27" t="s">
        <v>28</v>
      </c>
      <c r="F174" s="467">
        <f>SUM(F171:F173)</f>
        <v>41668.539999999994</v>
      </c>
      <c r="G174" s="467"/>
      <c r="H174" s="467">
        <f>SUM(H171:H173)</f>
        <v>37217.199999999997</v>
      </c>
      <c r="I174" s="467"/>
      <c r="J174"/>
      <c r="K174"/>
    </row>
    <row r="175" spans="1:16" x14ac:dyDescent="0.2">
      <c r="I175"/>
      <c r="J175"/>
      <c r="K175"/>
    </row>
    <row r="176" spans="1:16" ht="13.5" thickBot="1" x14ac:dyDescent="0.25">
      <c r="I176"/>
      <c r="J176"/>
      <c r="K176"/>
    </row>
    <row r="177" spans="1:17" s="8" customFormat="1" x14ac:dyDescent="0.2">
      <c r="A177" s="7">
        <v>5</v>
      </c>
      <c r="B177" s="8" t="str">
        <f>UPPER("Parkings • Voitures standards")</f>
        <v>PARKINGS • VOITURES STANDARDS</v>
      </c>
      <c r="J177" s="9"/>
      <c r="K177" s="9"/>
    </row>
    <row r="178" spans="1:17" x14ac:dyDescent="0.2">
      <c r="Q178" s="101"/>
    </row>
    <row r="179" spans="1:17" s="16" customFormat="1" x14ac:dyDescent="0.2">
      <c r="A179" s="15" t="s">
        <v>668</v>
      </c>
      <c r="B179" s="16" t="s">
        <v>679</v>
      </c>
    </row>
    <row r="180" spans="1:17" x14ac:dyDescent="0.2">
      <c r="F180" s="352"/>
      <c r="J180" s="5"/>
      <c r="K180" s="5"/>
      <c r="M180" s="6"/>
      <c r="N180" s="29"/>
      <c r="O180" s="29"/>
      <c r="Q180" s="101"/>
    </row>
    <row r="181" spans="1:17" x14ac:dyDescent="0.2">
      <c r="B181" s="5" t="s">
        <v>680</v>
      </c>
      <c r="F181" s="352"/>
      <c r="J181" s="5"/>
      <c r="K181" s="5"/>
      <c r="M181" s="6"/>
      <c r="N181" s="29"/>
      <c r="O181" s="29"/>
      <c r="Q181" s="101"/>
    </row>
    <row r="182" spans="1:17" x14ac:dyDescent="0.2">
      <c r="B182" s="5" t="s">
        <v>769</v>
      </c>
      <c r="D182" s="29" t="s">
        <v>41</v>
      </c>
      <c r="E182" s="29"/>
      <c r="F182" s="29" t="s">
        <v>672</v>
      </c>
      <c r="G182" s="29"/>
      <c r="H182" s="348" t="s">
        <v>673</v>
      </c>
      <c r="I182" s="359"/>
      <c r="J182" s="356"/>
      <c r="K182" s="5"/>
      <c r="M182" s="6"/>
      <c r="N182" s="29"/>
      <c r="O182" s="29"/>
      <c r="Q182" s="101"/>
    </row>
    <row r="183" spans="1:17" x14ac:dyDescent="0.2">
      <c r="B183" s="351" t="s">
        <v>674</v>
      </c>
      <c r="C183" s="285" t="str">
        <f>A8&amp;" • "&amp;B8</f>
        <v>1A.1 • Fonctions standards</v>
      </c>
      <c r="D183" s="349">
        <f>O8</f>
        <v>1291.4199999999996</v>
      </c>
      <c r="E183" s="349"/>
      <c r="F183" s="350">
        <v>1</v>
      </c>
      <c r="G183" s="349">
        <f t="shared" ref="G183:G190" si="15">D183*F183</f>
        <v>1291.4199999999996</v>
      </c>
      <c r="H183" s="463">
        <f>SUM(G183:G190)</f>
        <v>1558.3799999999997</v>
      </c>
      <c r="J183" s="356"/>
      <c r="K183" s="5"/>
      <c r="M183" s="6"/>
      <c r="N183" s="29"/>
      <c r="O183" s="29"/>
      <c r="Q183" s="101"/>
    </row>
    <row r="184" spans="1:17" x14ac:dyDescent="0.2">
      <c r="C184" s="285" t="str">
        <f>A11&amp;" • "&amp;B11</f>
        <v>1A.2 • Fonctions de support</v>
      </c>
      <c r="D184" s="349">
        <f>O11</f>
        <v>74.599999999999994</v>
      </c>
      <c r="E184" s="349"/>
      <c r="F184" s="350">
        <v>1</v>
      </c>
      <c r="G184" s="349">
        <f t="shared" si="15"/>
        <v>74.599999999999994</v>
      </c>
      <c r="H184" s="464"/>
      <c r="J184" s="356"/>
    </row>
    <row r="185" spans="1:17" x14ac:dyDescent="0.2">
      <c r="C185" s="285" t="str">
        <f>A15&amp;" • "&amp;B15</f>
        <v>1A.3 • Fonctions "shifts" (24/7)</v>
      </c>
      <c r="D185" s="349"/>
      <c r="E185" s="349"/>
      <c r="F185" s="350"/>
      <c r="G185" s="349"/>
      <c r="H185" s="464"/>
      <c r="J185" s="356"/>
      <c r="L185" s="381" t="s">
        <v>675</v>
      </c>
      <c r="M185" s="381" t="s">
        <v>727</v>
      </c>
      <c r="N185" s="384" t="s">
        <v>728</v>
      </c>
    </row>
    <row r="186" spans="1:17" x14ac:dyDescent="0.2">
      <c r="C186" s="420" t="str">
        <f>F16</f>
        <v>2 pauses</v>
      </c>
      <c r="D186" s="349">
        <f>O16</f>
        <v>0</v>
      </c>
      <c r="E186" s="349"/>
      <c r="F186" s="350">
        <v>1</v>
      </c>
      <c r="G186" s="349">
        <f t="shared" si="15"/>
        <v>0</v>
      </c>
      <c r="H186" s="464"/>
      <c r="J186" s="356"/>
      <c r="K186" s="5"/>
      <c r="L186" s="355">
        <v>8</v>
      </c>
      <c r="M186" s="383">
        <v>4</v>
      </c>
      <c r="N186" s="355">
        <v>2</v>
      </c>
    </row>
    <row r="187" spans="1:17" x14ac:dyDescent="0.2">
      <c r="C187" s="421" t="str">
        <f>F17</f>
        <v>3 pauses</v>
      </c>
      <c r="D187" s="349">
        <f>O17</f>
        <v>0</v>
      </c>
      <c r="E187" s="349"/>
      <c r="F187" s="350">
        <f>2/3</f>
        <v>0.66666666666666663</v>
      </c>
      <c r="G187" s="349">
        <f>D187*F187</f>
        <v>0</v>
      </c>
      <c r="H187" s="464"/>
      <c r="J187" s="356"/>
      <c r="K187" s="5"/>
      <c r="L187" s="355"/>
      <c r="M187" s="383"/>
      <c r="N187" s="355"/>
    </row>
    <row r="188" spans="1:17" x14ac:dyDescent="0.2">
      <c r="C188" s="285" t="str">
        <f>A19&amp;" • "&amp;B19</f>
        <v>1A.4 • Itinérants</v>
      </c>
      <c r="D188" s="349">
        <f>SUM(R21:R24)</f>
        <v>85.360000000000014</v>
      </c>
      <c r="E188" s="349"/>
      <c r="F188" s="350">
        <v>1</v>
      </c>
      <c r="G188" s="349">
        <f t="shared" si="15"/>
        <v>85.360000000000014</v>
      </c>
      <c r="H188" s="464"/>
      <c r="J188" s="356"/>
      <c r="K188" s="5"/>
      <c r="L188" s="29"/>
      <c r="N188" s="101"/>
    </row>
    <row r="189" spans="1:17" x14ac:dyDescent="0.2">
      <c r="C189" s="285" t="str">
        <f>A31&amp;" • "&amp;B31</f>
        <v>1B.1 • Externes - type 1</v>
      </c>
      <c r="D189" s="349">
        <f>O31</f>
        <v>107</v>
      </c>
      <c r="E189" s="349"/>
      <c r="F189" s="350">
        <v>1</v>
      </c>
      <c r="G189" s="349">
        <f t="shared" si="15"/>
        <v>107</v>
      </c>
      <c r="H189" s="464"/>
      <c r="J189" s="356"/>
      <c r="K189" s="5"/>
      <c r="L189" s="29"/>
      <c r="N189" s="101"/>
    </row>
    <row r="190" spans="1:17" x14ac:dyDescent="0.2">
      <c r="C190" s="285" t="str">
        <f>A34&amp;" • "&amp;B34</f>
        <v>1B.2 • Externes - type 2</v>
      </c>
      <c r="D190" s="349">
        <f>O34</f>
        <v>0</v>
      </c>
      <c r="E190" s="349"/>
      <c r="F190" s="350">
        <v>0</v>
      </c>
      <c r="G190" s="349">
        <f t="shared" si="15"/>
        <v>0</v>
      </c>
      <c r="H190" s="465"/>
      <c r="I190" s="362"/>
      <c r="J190" s="363" t="s">
        <v>681</v>
      </c>
      <c r="K190" s="364"/>
      <c r="L190" s="385">
        <f>ROUNDUP($H$183/L186,0)</f>
        <v>195</v>
      </c>
      <c r="M190" s="385">
        <f>ROUNDUP($H$183/M186,0)</f>
        <v>390</v>
      </c>
      <c r="N190" s="385">
        <f>ROUNDUP($H$183/N186,0)</f>
        <v>780</v>
      </c>
    </row>
    <row r="191" spans="1:17" x14ac:dyDescent="0.2">
      <c r="D191" s="346"/>
      <c r="E191" s="79"/>
      <c r="F191" s="347"/>
      <c r="G191" s="29"/>
      <c r="J191" s="5"/>
      <c r="K191" s="5"/>
      <c r="L191" s="344"/>
      <c r="N191" s="101"/>
    </row>
    <row r="192" spans="1:17" x14ac:dyDescent="0.2">
      <c r="B192" s="5" t="str">
        <f>UPPER("IMPOSITIONs réglementaires (COMMUNE / RÉGION / ENVIRONNEMENT)")</f>
        <v>IMPOSITIONS RÉGLEMENTAIRES (COMMUNE / RÉGION / ENVIRONNEMENT)</v>
      </c>
      <c r="J192" s="5"/>
      <c r="K192" s="5"/>
      <c r="L192" s="29"/>
      <c r="N192" s="101"/>
    </row>
    <row r="193" spans="1:17" x14ac:dyDescent="0.2">
      <c r="B193" s="5" t="s">
        <v>682</v>
      </c>
      <c r="D193" s="27" t="s">
        <v>685</v>
      </c>
      <c r="E193" s="387" t="s">
        <v>726</v>
      </c>
      <c r="F193" s="5" t="s">
        <v>686</v>
      </c>
      <c r="I193" s="359"/>
      <c r="J193" s="356"/>
      <c r="K193" s="5"/>
      <c r="L193" s="29"/>
      <c r="N193" s="101"/>
    </row>
    <row r="194" spans="1:17" x14ac:dyDescent="0.2">
      <c r="B194" s="5" t="s">
        <v>687</v>
      </c>
      <c r="E194" s="357">
        <f>OA_LSA+CSA-SUMIF('Partie 4 • µ.implantation'!F7:F71,'Données et explications'!$C$12,'Partie 4 • µ.implantation'!K7:K71)</f>
        <v>36449.619999999995</v>
      </c>
      <c r="F194" s="5" t="s">
        <v>16</v>
      </c>
      <c r="I194" s="360"/>
      <c r="J194" s="358"/>
      <c r="K194" s="29"/>
      <c r="L194" s="29"/>
      <c r="N194" s="101"/>
    </row>
    <row r="195" spans="1:17" x14ac:dyDescent="0.2">
      <c r="B195" s="5" t="s">
        <v>688</v>
      </c>
      <c r="E195" s="309">
        <f>E194*1.5</f>
        <v>54674.429999999993</v>
      </c>
      <c r="F195" s="5" t="s">
        <v>686</v>
      </c>
      <c r="I195" s="361"/>
      <c r="J195" s="365" t="s">
        <v>689</v>
      </c>
      <c r="K195" s="364"/>
      <c r="L195" s="146" t="str">
        <f>IF(ISNUMBER($E$193),ROUNDDOWN($E$195/$E$193,0),"")</f>
        <v/>
      </c>
      <c r="M195" s="380" t="str">
        <f>IF(ISNUMBER($E$193),ROUNDDOWN($E$195/$E$193,0),"")</f>
        <v/>
      </c>
      <c r="N195" s="380" t="str">
        <f>IF(ISNUMBER($E$193),ROUNDDOWN($E$195/$E$193,0),"")</f>
        <v/>
      </c>
    </row>
    <row r="196" spans="1:17" x14ac:dyDescent="0.2">
      <c r="E196"/>
      <c r="I196" s="1"/>
      <c r="J196" s="1"/>
      <c r="K196" s="5"/>
      <c r="N196" s="101"/>
    </row>
    <row r="197" spans="1:17" x14ac:dyDescent="0.2">
      <c r="B197" s="34" t="s">
        <v>730</v>
      </c>
      <c r="C197" s="34"/>
      <c r="D197" s="34"/>
      <c r="E197" s="34"/>
      <c r="F197" s="34"/>
      <c r="G197" s="34"/>
      <c r="H197" s="34"/>
      <c r="I197" s="34"/>
      <c r="J197" s="32"/>
      <c r="K197" s="33"/>
      <c r="L197" s="38">
        <f>MIN(L190,L195)</f>
        <v>195</v>
      </c>
      <c r="M197" s="38">
        <f>MIN(M190,M195)</f>
        <v>390</v>
      </c>
      <c r="N197" s="38">
        <f>MIN(N190,N195)</f>
        <v>780</v>
      </c>
    </row>
    <row r="198" spans="1:17" x14ac:dyDescent="0.2">
      <c r="B198" s="5" t="s">
        <v>732</v>
      </c>
      <c r="J198" s="35"/>
      <c r="K198" s="36"/>
      <c r="L198" s="1"/>
      <c r="M198" s="3"/>
      <c r="N198" s="25"/>
      <c r="O198"/>
      <c r="Q198" s="101"/>
    </row>
    <row r="199" spans="1:17" ht="15" x14ac:dyDescent="0.25">
      <c r="B199" s="5" t="s">
        <v>731</v>
      </c>
      <c r="E199" s="347">
        <v>0.15</v>
      </c>
      <c r="J199" s="35"/>
      <c r="K199" s="36"/>
      <c r="L199" s="386">
        <f>ROUNDUP(L197*$E$199,0)</f>
        <v>30</v>
      </c>
      <c r="M199" s="386">
        <f>ROUNDUP(M197*$E$199,0)</f>
        <v>59</v>
      </c>
      <c r="N199" s="386">
        <f>ROUNDUP(N197*$E$199,0)</f>
        <v>117</v>
      </c>
      <c r="O199"/>
      <c r="Q199" s="101"/>
    </row>
    <row r="200" spans="1:17" ht="15" x14ac:dyDescent="0.25">
      <c r="B200" s="5" t="s">
        <v>733</v>
      </c>
      <c r="E200" s="347">
        <f>1-E199</f>
        <v>0.85</v>
      </c>
      <c r="J200" s="35"/>
      <c r="K200" s="36"/>
      <c r="L200" s="386">
        <f>L197-L199</f>
        <v>165</v>
      </c>
      <c r="M200" s="386">
        <f>M197-M199</f>
        <v>331</v>
      </c>
      <c r="N200" s="386">
        <f>N197-N199</f>
        <v>663</v>
      </c>
      <c r="O200"/>
      <c r="Q200" s="101"/>
    </row>
    <row r="201" spans="1:17" x14ac:dyDescent="0.2">
      <c r="J201" s="35"/>
      <c r="K201" s="36"/>
      <c r="L201" s="1"/>
      <c r="M201" s="3"/>
      <c r="N201" s="25"/>
      <c r="O201"/>
      <c r="Q201" s="101"/>
    </row>
    <row r="202" spans="1:17" s="16" customFormat="1" x14ac:dyDescent="0.2">
      <c r="A202" s="15" t="s">
        <v>669</v>
      </c>
      <c r="B202" s="16" t="s">
        <v>739</v>
      </c>
      <c r="M202" s="17"/>
      <c r="N202" s="17"/>
      <c r="Q202" s="370"/>
    </row>
    <row r="203" spans="1:17" ht="15" x14ac:dyDescent="0.25">
      <c r="B203" s="5" t="s">
        <v>729</v>
      </c>
      <c r="E203" s="382">
        <v>107</v>
      </c>
      <c r="J203" s="35"/>
      <c r="K203" s="36"/>
      <c r="L203" s="1"/>
      <c r="M203" s="3"/>
      <c r="N203" s="25"/>
      <c r="O203"/>
      <c r="Q203" s="101"/>
    </row>
    <row r="204" spans="1:17" ht="15" x14ac:dyDescent="0.25">
      <c r="B204" s="5" t="s">
        <v>734</v>
      </c>
      <c r="J204" s="35"/>
      <c r="K204" s="36"/>
      <c r="L204" s="386">
        <f>IF($E$203&gt;L199,$E$203-L199,0)</f>
        <v>77</v>
      </c>
      <c r="M204" s="386">
        <f>IF($E$203&gt;M199,$E$203-M199,0)</f>
        <v>48</v>
      </c>
      <c r="N204" s="386">
        <f>IF($E$203&gt;N199,$E$203-N199,0)</f>
        <v>0</v>
      </c>
      <c r="O204"/>
      <c r="Q204" s="101"/>
    </row>
    <row r="205" spans="1:17" x14ac:dyDescent="0.2">
      <c r="J205" s="35"/>
      <c r="K205" s="36"/>
      <c r="L205" s="1"/>
      <c r="M205" s="3"/>
      <c r="N205" s="25"/>
      <c r="O205"/>
      <c r="Q205" s="101"/>
    </row>
    <row r="206" spans="1:17" s="16" customFormat="1" x14ac:dyDescent="0.2">
      <c r="A206" s="15" t="s">
        <v>670</v>
      </c>
      <c r="B206" s="16" t="s">
        <v>735</v>
      </c>
      <c r="L206" s="38">
        <f>L197+L204</f>
        <v>272</v>
      </c>
      <c r="M206" s="38">
        <f>M197+M204</f>
        <v>438</v>
      </c>
      <c r="N206" s="38">
        <f>N197+N204</f>
        <v>780</v>
      </c>
      <c r="Q206" s="370"/>
    </row>
    <row r="207" spans="1:17" x14ac:dyDescent="0.2">
      <c r="J207" s="35"/>
      <c r="K207" s="36"/>
      <c r="L207" s="1"/>
      <c r="M207" s="3"/>
      <c r="N207" s="25"/>
      <c r="O207"/>
      <c r="Q207" s="101"/>
    </row>
    <row r="208" spans="1:17" s="16" customFormat="1" x14ac:dyDescent="0.2">
      <c r="A208" s="15" t="s">
        <v>671</v>
      </c>
      <c r="B208" s="16" t="s">
        <v>743</v>
      </c>
      <c r="Q208" s="370"/>
    </row>
    <row r="209" spans="1:17" customFormat="1" ht="15" x14ac:dyDescent="0.25">
      <c r="B209" s="5" t="s">
        <v>740</v>
      </c>
      <c r="L209" s="386">
        <f>$E$203</f>
        <v>107</v>
      </c>
      <c r="M209" s="386">
        <f>$E$203</f>
        <v>107</v>
      </c>
      <c r="N209" s="386">
        <f>$E$203</f>
        <v>107</v>
      </c>
      <c r="O209" s="5"/>
    </row>
    <row r="210" spans="1:17" customFormat="1" ht="15" x14ac:dyDescent="0.25">
      <c r="B210" s="5" t="s">
        <v>741</v>
      </c>
      <c r="L210" s="386">
        <f>ROUNDUP($N$215/3,0)</f>
        <v>4</v>
      </c>
      <c r="M210" s="386">
        <f>ROUNDUP($N$215/3,0)</f>
        <v>4</v>
      </c>
      <c r="N210" s="386">
        <f>ROUNDUP($N$215/3,0)</f>
        <v>4</v>
      </c>
      <c r="O210" s="5"/>
    </row>
    <row r="211" spans="1:17" customFormat="1" ht="15" x14ac:dyDescent="0.25">
      <c r="B211" s="5" t="s">
        <v>742</v>
      </c>
      <c r="L211" s="386">
        <f>IF(L206&lt;33,2,IF(L206&lt;51,3,IF(L206&lt;67,4,IF(L206&lt;84,5,IF(L206&lt;101,6,ROUNDUP((L206-100)/50,0)+6)))))</f>
        <v>10</v>
      </c>
      <c r="M211" s="386">
        <f>IF(M206&lt;33,2,IF(M206&lt;51,3,IF(M206&lt;67,4,IF(M206&lt;84,5,IF(M206&lt;101,6,ROUNDUP((M206-100)/50,0)+6)))))</f>
        <v>13</v>
      </c>
      <c r="N211" s="386">
        <f>IF(N206&lt;33,2,IF(N206&lt;51,3,IF(N206&lt;67,4,IF(N206&lt;84,5,IF(N206&lt;101,6,ROUNDUP((N206-100)/50,0)+6)))))</f>
        <v>20</v>
      </c>
      <c r="O211" s="5"/>
    </row>
    <row r="212" spans="1:17" customFormat="1" ht="15" x14ac:dyDescent="0.25">
      <c r="B212" s="5" t="s">
        <v>733</v>
      </c>
      <c r="L212" s="386">
        <f>L206-SUM(L209:L211)</f>
        <v>151</v>
      </c>
      <c r="M212" s="386">
        <f>M206-SUM(M209:M211)</f>
        <v>314</v>
      </c>
      <c r="N212" s="386">
        <f>N206-SUM(N209:N211)</f>
        <v>649</v>
      </c>
      <c r="O212" s="5"/>
    </row>
    <row r="213" spans="1:17" ht="13.5" thickBot="1" x14ac:dyDescent="0.25">
      <c r="J213" s="5"/>
      <c r="K213" s="5"/>
      <c r="M213" s="6"/>
      <c r="N213" s="6"/>
      <c r="Q213" s="101"/>
    </row>
    <row r="214" spans="1:17" s="8" customFormat="1" x14ac:dyDescent="0.2">
      <c r="A214" s="7">
        <v>6</v>
      </c>
      <c r="B214" s="8" t="str">
        <f>UPPER("Parkings • Motos")</f>
        <v>PARKINGS • MOTOS</v>
      </c>
      <c r="J214" s="9"/>
      <c r="K214" s="9"/>
    </row>
    <row r="215" spans="1:17" x14ac:dyDescent="0.2">
      <c r="B215" s="5" t="s">
        <v>31</v>
      </c>
      <c r="J215" s="1"/>
      <c r="K215" s="1"/>
      <c r="L215" s="1"/>
      <c r="M215" s="25" t="s">
        <v>32</v>
      </c>
      <c r="N215" s="369">
        <v>10</v>
      </c>
      <c r="Q215" s="101"/>
    </row>
    <row r="216" spans="1:17" ht="13.5" thickBot="1" x14ac:dyDescent="0.25">
      <c r="J216" s="5"/>
      <c r="K216" s="5"/>
      <c r="M216" s="6"/>
      <c r="N216" s="6"/>
      <c r="Q216" s="101"/>
    </row>
    <row r="217" spans="1:17" s="8" customFormat="1" x14ac:dyDescent="0.2">
      <c r="A217" s="7">
        <v>7</v>
      </c>
      <c r="B217" s="8" t="str">
        <f>UPPER("Parkings • Vélos")</f>
        <v>PARKINGS • VÉLOS</v>
      </c>
      <c r="J217" s="9"/>
      <c r="K217" s="9"/>
    </row>
    <row r="218" spans="1:17" s="16" customFormat="1" x14ac:dyDescent="0.2">
      <c r="A218" s="15"/>
      <c r="I218" s="371"/>
      <c r="J218" s="42"/>
      <c r="K218" s="42"/>
      <c r="L218" s="372"/>
      <c r="M218" s="373" t="str">
        <f>UPPER("Parking Vélo")</f>
        <v>PARKING VÉLO</v>
      </c>
      <c r="N218" s="374">
        <v>178</v>
      </c>
      <c r="Q218" s="370"/>
    </row>
    <row r="219" spans="1:17" ht="13.5" thickBot="1" x14ac:dyDescent="0.25">
      <c r="J219" s="5"/>
      <c r="K219" s="5"/>
      <c r="M219" s="6"/>
      <c r="N219" s="6"/>
      <c r="Q219" s="101"/>
    </row>
    <row r="220" spans="1:17" s="8" customFormat="1" x14ac:dyDescent="0.2">
      <c r="A220" s="7">
        <v>8</v>
      </c>
      <c r="B220" s="8" t="str">
        <f>UPPER("Parkings • HORS standard / Normes")</f>
        <v>PARKINGS • HORS STANDARD / NORMES</v>
      </c>
      <c r="J220" s="9"/>
      <c r="K220" s="9"/>
    </row>
    <row r="221" spans="1:17" s="16" customFormat="1" x14ac:dyDescent="0.2">
      <c r="A221" s="15"/>
      <c r="B221" s="16" t="s">
        <v>30</v>
      </c>
      <c r="D221" s="16" t="str">
        <f>UPPER("Véhicule")</f>
        <v>VÉHICULE</v>
      </c>
      <c r="I221" s="16" t="str">
        <f>UPPER("hauteur libre")</f>
        <v>HAUTEUR LIBRE</v>
      </c>
      <c r="J221" s="17"/>
      <c r="K221" s="16" t="str">
        <f>UPPER("Taille au sol")</f>
        <v>TAILLE AU SOL</v>
      </c>
      <c r="M221" s="17"/>
      <c r="N221" s="16" t="s">
        <v>20</v>
      </c>
      <c r="Q221" s="370"/>
    </row>
    <row r="222" spans="1:17" ht="15" x14ac:dyDescent="0.25">
      <c r="B222" s="5" t="s">
        <v>765</v>
      </c>
      <c r="D222" s="459"/>
      <c r="E222" s="460"/>
      <c r="F222" s="460"/>
      <c r="G222" s="460"/>
      <c r="H222" s="461"/>
      <c r="I222" s="462"/>
      <c r="J222" s="462"/>
      <c r="K222" s="462"/>
      <c r="L222" s="462"/>
      <c r="M222" s="6"/>
      <c r="N222" s="369">
        <v>0</v>
      </c>
      <c r="Q222" s="101"/>
    </row>
    <row r="223" spans="1:17" ht="15" x14ac:dyDescent="0.25">
      <c r="B223" s="5" t="s">
        <v>766</v>
      </c>
      <c r="D223" s="459"/>
      <c r="E223" s="460"/>
      <c r="F223" s="460"/>
      <c r="G223" s="460"/>
      <c r="H223" s="461"/>
      <c r="I223" s="462"/>
      <c r="J223" s="462"/>
      <c r="K223" s="462"/>
      <c r="L223" s="462"/>
      <c r="M223" s="6"/>
      <c r="N223" s="37">
        <v>0</v>
      </c>
      <c r="Q223" s="101"/>
    </row>
    <row r="224" spans="1:17" ht="15" x14ac:dyDescent="0.25">
      <c r="B224" s="5" t="s">
        <v>767</v>
      </c>
      <c r="D224" s="459"/>
      <c r="E224" s="460"/>
      <c r="F224" s="460"/>
      <c r="G224" s="460"/>
      <c r="H224" s="461"/>
      <c r="I224" s="462"/>
      <c r="J224" s="462"/>
      <c r="K224" s="462"/>
      <c r="L224" s="462"/>
      <c r="M224" s="6"/>
      <c r="N224" s="37">
        <v>0</v>
      </c>
      <c r="Q224" s="101"/>
    </row>
    <row r="225" spans="1:17" ht="15" x14ac:dyDescent="0.25">
      <c r="B225" s="5" t="s">
        <v>768</v>
      </c>
      <c r="D225" s="459"/>
      <c r="E225" s="460"/>
      <c r="F225" s="460"/>
      <c r="G225" s="460"/>
      <c r="H225" s="461"/>
      <c r="I225" s="462"/>
      <c r="J225" s="462"/>
      <c r="K225" s="462"/>
      <c r="L225" s="462"/>
      <c r="M225" s="6"/>
      <c r="N225" s="37">
        <v>0</v>
      </c>
      <c r="Q225" s="101"/>
    </row>
    <row r="226" spans="1:17" ht="13.5" thickBot="1" x14ac:dyDescent="0.25">
      <c r="Q226" s="101"/>
    </row>
    <row r="227" spans="1:17" s="8" customFormat="1" x14ac:dyDescent="0.2">
      <c r="A227" s="7">
        <v>9</v>
      </c>
      <c r="B227" s="8" t="str">
        <f>UPPER("Parkings • Spécifications particulières • Sécurité")</f>
        <v>PARKINGS • SPÉCIFICATIONS PARTICULIÈRES • SÉCURITÉ</v>
      </c>
      <c r="J227" s="9"/>
      <c r="K227" s="9"/>
    </row>
    <row r="228" spans="1:17" s="16" customFormat="1" x14ac:dyDescent="0.2">
      <c r="A228" s="15"/>
      <c r="B228" s="16" t="s">
        <v>718</v>
      </c>
      <c r="J228" s="17"/>
      <c r="K228" s="17"/>
    </row>
    <row r="229" spans="1:17" ht="37.5" x14ac:dyDescent="0.2">
      <c r="B229" s="5" t="s">
        <v>713</v>
      </c>
      <c r="D229"/>
      <c r="E229" s="377" t="s">
        <v>712</v>
      </c>
      <c r="F229" s="376" t="s">
        <v>711</v>
      </c>
      <c r="G229" s="375"/>
    </row>
    <row r="230" spans="1:17" x14ac:dyDescent="0.2">
      <c r="B230" s="351" t="s">
        <v>714</v>
      </c>
      <c r="D230"/>
      <c r="E230" s="90"/>
      <c r="F230" s="90"/>
    </row>
    <row r="231" spans="1:17" x14ac:dyDescent="0.2">
      <c r="B231" s="351" t="s">
        <v>715</v>
      </c>
      <c r="D231"/>
      <c r="E231" s="90"/>
      <c r="F231" s="90"/>
    </row>
    <row r="232" spans="1:17" x14ac:dyDescent="0.2">
      <c r="B232" s="351" t="s">
        <v>716</v>
      </c>
      <c r="D232"/>
      <c r="E232" s="90"/>
      <c r="F232" s="90"/>
    </row>
    <row r="233" spans="1:17" x14ac:dyDescent="0.2">
      <c r="D233"/>
      <c r="E233" s="29"/>
      <c r="F233" s="29"/>
    </row>
    <row r="234" spans="1:17" x14ac:dyDescent="0.2">
      <c r="B234" s="5" t="s">
        <v>717</v>
      </c>
      <c r="D234" s="391" t="s">
        <v>668</v>
      </c>
      <c r="E234" s="90"/>
      <c r="F234" s="29"/>
    </row>
    <row r="235" spans="1:17" x14ac:dyDescent="0.2">
      <c r="D235" s="392" t="s">
        <v>669</v>
      </c>
      <c r="E235" s="90"/>
      <c r="F235" s="29"/>
    </row>
    <row r="236" spans="1:17" x14ac:dyDescent="0.2">
      <c r="D236" s="392" t="s">
        <v>670</v>
      </c>
      <c r="E236" s="90"/>
      <c r="F236" s="29"/>
    </row>
    <row r="237" spans="1:17" x14ac:dyDescent="0.2">
      <c r="D237" s="393" t="s">
        <v>737</v>
      </c>
      <c r="E237" s="90"/>
      <c r="F237" s="381"/>
    </row>
    <row r="238" spans="1:17" x14ac:dyDescent="0.2">
      <c r="D238" s="393" t="s">
        <v>738</v>
      </c>
      <c r="E238" s="90"/>
      <c r="F238" s="381"/>
    </row>
    <row r="239" spans="1:17" x14ac:dyDescent="0.2">
      <c r="D239" s="393" t="s">
        <v>736</v>
      </c>
      <c r="E239" s="90"/>
      <c r="F239" s="29"/>
    </row>
  </sheetData>
  <customSheetViews>
    <customSheetView guid="{E5A66847-4128-474A-BF72-991F91DA1EB4}" showGridLines="0" topLeftCell="A49">
      <selection activeCell="J75" sqref="J75"/>
      <rowBreaks count="2" manualBreakCount="2">
        <brk id="43" max="24" man="1"/>
        <brk id="84" max="24" man="1"/>
      </rowBreaks>
      <pageMargins left="0.7" right="0.7" top="0.75" bottom="0.75" header="0.3" footer="0.3"/>
      <pageSetup paperSize="9" orientation="portrait" horizontalDpi="4294967292" verticalDpi="4294967292"/>
      <headerFooter>
        <oddHeader>&amp;R&amp;8&amp;F</oddHeader>
        <oddFooter>&amp;L&amp;8Programmation&amp;C&amp;"Arial,Gras"&amp;8Régie des Bâtiments&amp;R&amp;8 &amp;A • &amp;P</oddFooter>
      </headerFooter>
    </customSheetView>
  </customSheetViews>
  <mergeCells count="27">
    <mergeCell ref="H183:H190"/>
    <mergeCell ref="A1:Y1"/>
    <mergeCell ref="F174:G174"/>
    <mergeCell ref="F26:M26"/>
    <mergeCell ref="F37:M37"/>
    <mergeCell ref="F171:G171"/>
    <mergeCell ref="F172:G172"/>
    <mergeCell ref="F166:G166"/>
    <mergeCell ref="F27:M27"/>
    <mergeCell ref="F38:M38"/>
    <mergeCell ref="H171:I171"/>
    <mergeCell ref="H172:I172"/>
    <mergeCell ref="H174:I174"/>
    <mergeCell ref="F173:G173"/>
    <mergeCell ref="H173:I173"/>
    <mergeCell ref="D222:H222"/>
    <mergeCell ref="I222:J222"/>
    <mergeCell ref="K222:L222"/>
    <mergeCell ref="D223:H223"/>
    <mergeCell ref="D225:H225"/>
    <mergeCell ref="I225:J225"/>
    <mergeCell ref="K225:L225"/>
    <mergeCell ref="I223:J223"/>
    <mergeCell ref="K223:L223"/>
    <mergeCell ref="D224:H224"/>
    <mergeCell ref="I224:J224"/>
    <mergeCell ref="K224:L224"/>
  </mergeCells>
  <phoneticPr fontId="0" type="noConversion"/>
  <dataValidations disablePrompts="1" count="1">
    <dataValidation type="list" allowBlank="1" showInputMessage="1" showErrorMessage="1" sqref="E193">
      <formula1>surface_plancher_parking</formula1>
    </dataValidation>
  </dataValidations>
  <pageMargins left="0.70866141732283472" right="0.70866141732283472" top="0.74803149606299213" bottom="0.74803149606299213" header="0.31496062992125984" footer="0.31496062992125984"/>
  <pageSetup paperSize="8" scale="79" fitToHeight="0" orientation="landscape" r:id="rId1"/>
  <headerFooter>
    <oddHeader>&amp;R&amp;8&amp;F</oddHeader>
    <oddFooter>&amp;L&amp;8Programmation&amp;C&amp;"Arial,Gras"&amp;8Régie des Bâtiments&amp;R&amp;8 &amp;A • &amp;P</oddFooter>
  </headerFooter>
  <rowBreaks count="2" manualBreakCount="2">
    <brk id="44" max="24" man="1"/>
    <brk id="176" max="24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  <pageSetUpPr fitToPage="1"/>
  </sheetPr>
  <dimension ref="A1:V32"/>
  <sheetViews>
    <sheetView showGridLines="0" zoomScaleSheetLayoutView="100" workbookViewId="0">
      <selection activeCell="H17" sqref="H17"/>
    </sheetView>
  </sheetViews>
  <sheetFormatPr defaultColWidth="9.140625" defaultRowHeight="12.75" x14ac:dyDescent="0.2"/>
  <cols>
    <col min="1" max="1" width="5.85546875" style="4" customWidth="1"/>
    <col min="2" max="2" width="11.42578125" style="5" customWidth="1"/>
    <col min="3" max="3" width="47.7109375" style="5" customWidth="1"/>
    <col min="4" max="4" width="46.42578125" style="5" customWidth="1"/>
    <col min="5" max="5" width="15.42578125" style="5" customWidth="1"/>
    <col min="6" max="7" width="15.42578125" style="6" customWidth="1"/>
    <col min="8" max="8" width="15.42578125" style="5" customWidth="1"/>
    <col min="9" max="9" width="9.42578125" style="381" customWidth="1"/>
    <col min="10" max="10" width="11.140625" style="5" customWidth="1"/>
    <col min="11" max="11" width="4" style="5" customWidth="1"/>
    <col min="12" max="12" width="7" style="346" customWidth="1"/>
    <col min="13" max="13" width="5.7109375" style="5" customWidth="1"/>
    <col min="14" max="14" width="9.140625" style="5"/>
    <col min="15" max="16" width="11.42578125" style="5" customWidth="1"/>
    <col min="17" max="16384" width="9.140625" style="5"/>
  </cols>
  <sheetData>
    <row r="1" spans="1:22" s="293" customFormat="1" ht="19.5" x14ac:dyDescent="0.3">
      <c r="A1" s="466" t="str">
        <f>UPPER("établissement du Programme des Besoins • Partie 2 • Souhaits Spécifiques")</f>
        <v>ÉTABLISSEMENT DU PROGRAMME DES BESOINS • PARTIE 2 • SOUHAITS SPÉCIFIQUES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294"/>
      <c r="O1" s="294"/>
      <c r="P1" s="294"/>
      <c r="Q1" s="294"/>
      <c r="R1" s="294"/>
      <c r="S1" s="294"/>
      <c r="T1" s="294"/>
      <c r="U1" s="294"/>
      <c r="V1" s="294"/>
    </row>
    <row r="2" spans="1:22" ht="13.5" thickBot="1" x14ac:dyDescent="0.25"/>
    <row r="3" spans="1:22" s="67" customFormat="1" x14ac:dyDescent="0.2">
      <c r="A3" s="66">
        <v>1</v>
      </c>
      <c r="B3" s="67" t="s">
        <v>719</v>
      </c>
      <c r="F3" s="68"/>
      <c r="G3" s="68"/>
      <c r="I3" s="388"/>
      <c r="L3" s="412"/>
    </row>
    <row r="5" spans="1:22" x14ac:dyDescent="0.2">
      <c r="B5" s="5" t="s">
        <v>760</v>
      </c>
      <c r="E5" s="401" t="s">
        <v>749</v>
      </c>
      <c r="F5" s="402" t="s">
        <v>746</v>
      </c>
      <c r="G5" s="402" t="s">
        <v>747</v>
      </c>
      <c r="H5" s="401" t="s">
        <v>748</v>
      </c>
      <c r="I5" s="410" t="s">
        <v>750</v>
      </c>
      <c r="J5" s="401" t="s">
        <v>751</v>
      </c>
      <c r="L5" s="472" t="s">
        <v>761</v>
      </c>
      <c r="M5" s="472"/>
    </row>
    <row r="6" spans="1:22" x14ac:dyDescent="0.2">
      <c r="E6" s="381"/>
      <c r="F6" s="6">
        <v>0.6</v>
      </c>
      <c r="G6" s="6">
        <v>0.8</v>
      </c>
      <c r="H6" s="347">
        <v>1</v>
      </c>
    </row>
    <row r="7" spans="1:22" ht="15" x14ac:dyDescent="0.25">
      <c r="B7" s="16" t="s">
        <v>12</v>
      </c>
      <c r="C7" s="407" t="s">
        <v>754</v>
      </c>
      <c r="D7" s="403"/>
      <c r="E7" s="404" t="s">
        <v>764</v>
      </c>
      <c r="F7" s="405">
        <v>12</v>
      </c>
      <c r="G7" s="405"/>
      <c r="H7" s="406">
        <v>0</v>
      </c>
      <c r="I7" s="411"/>
      <c r="J7" s="389">
        <f>IF(1-(($H$6-$F$6)/F7*I7)&lt;$F$6,"Exclu",1-(($H$6-$F$6)/F7*I7))</f>
        <v>1</v>
      </c>
      <c r="L7" s="413">
        <f>J7*M7</f>
        <v>50</v>
      </c>
      <c r="M7" s="416">
        <v>50</v>
      </c>
    </row>
    <row r="8" spans="1:22" x14ac:dyDescent="0.2">
      <c r="E8" s="390"/>
      <c r="H8" s="381"/>
      <c r="M8" s="417"/>
    </row>
    <row r="9" spans="1:22" ht="15" x14ac:dyDescent="0.25">
      <c r="B9" s="16" t="s">
        <v>13</v>
      </c>
      <c r="C9" s="407" t="s">
        <v>762</v>
      </c>
      <c r="D9" s="403"/>
      <c r="E9" s="404"/>
      <c r="F9" s="405">
        <v>12</v>
      </c>
      <c r="G9" s="405"/>
      <c r="H9" s="406">
        <v>0</v>
      </c>
      <c r="I9" s="411"/>
      <c r="J9" s="389">
        <f>1-(($H$6-$F$6)/F9*I9)</f>
        <v>1</v>
      </c>
      <c r="L9" s="413">
        <f>J9*M9</f>
        <v>40</v>
      </c>
      <c r="M9" s="416">
        <v>40</v>
      </c>
    </row>
    <row r="10" spans="1:22" x14ac:dyDescent="0.2">
      <c r="E10" s="390"/>
      <c r="H10" s="381"/>
      <c r="M10" s="417"/>
    </row>
    <row r="11" spans="1:22" ht="14.25" x14ac:dyDescent="0.2">
      <c r="C11" s="5" t="s">
        <v>763</v>
      </c>
      <c r="E11" s="381"/>
      <c r="H11" s="381"/>
      <c r="M11" s="417"/>
    </row>
    <row r="12" spans="1:22" x14ac:dyDescent="0.2">
      <c r="E12" s="381"/>
      <c r="H12" s="381"/>
      <c r="M12" s="417"/>
    </row>
    <row r="13" spans="1:22" ht="13.5" thickBot="1" x14ac:dyDescent="0.25">
      <c r="E13" s="381"/>
      <c r="H13" s="381"/>
      <c r="M13" s="417"/>
    </row>
    <row r="14" spans="1:22" s="67" customFormat="1" x14ac:dyDescent="0.2">
      <c r="A14" s="66">
        <v>2</v>
      </c>
      <c r="B14" s="67" t="s">
        <v>744</v>
      </c>
      <c r="E14" s="388"/>
      <c r="F14" s="68"/>
      <c r="G14" s="68"/>
      <c r="H14" s="388"/>
      <c r="I14" s="388"/>
      <c r="L14" s="412"/>
      <c r="M14" s="418"/>
    </row>
    <row r="15" spans="1:22" x14ac:dyDescent="0.2">
      <c r="E15" s="381"/>
      <c r="H15" s="381"/>
      <c r="M15" s="417"/>
    </row>
    <row r="16" spans="1:22" s="397" customFormat="1" ht="15" x14ac:dyDescent="0.25">
      <c r="A16" s="396"/>
      <c r="B16" s="408" t="s">
        <v>755</v>
      </c>
      <c r="C16" s="408" t="s">
        <v>756</v>
      </c>
      <c r="D16" s="408"/>
      <c r="E16" s="409"/>
      <c r="F16" s="399"/>
      <c r="G16" s="399"/>
      <c r="H16" s="400" t="s">
        <v>710</v>
      </c>
      <c r="I16" s="398"/>
      <c r="J16" s="389">
        <f>IF(ISTEXT(F16),$F$6,IF(ISTEXT(G16),$G$6,IF(ISTEXT(H16),$H$6,0)))</f>
        <v>1</v>
      </c>
      <c r="L16" s="413">
        <f>J16*M16</f>
        <v>10</v>
      </c>
      <c r="M16" s="416">
        <v>10</v>
      </c>
    </row>
    <row r="17" spans="1:13" s="397" customFormat="1" ht="63.75" x14ac:dyDescent="0.2">
      <c r="A17" s="396"/>
      <c r="E17" s="398"/>
      <c r="F17" s="394" t="s">
        <v>759</v>
      </c>
      <c r="G17" s="394" t="s">
        <v>758</v>
      </c>
      <c r="H17" s="395" t="s">
        <v>757</v>
      </c>
      <c r="I17" s="398"/>
      <c r="L17" s="414"/>
      <c r="M17" s="419"/>
    </row>
    <row r="18" spans="1:13" ht="13.5" thickBot="1" x14ac:dyDescent="0.25">
      <c r="E18" s="381"/>
      <c r="H18" s="381"/>
      <c r="M18" s="417"/>
    </row>
    <row r="19" spans="1:13" s="67" customFormat="1" x14ac:dyDescent="0.2">
      <c r="A19" s="66">
        <v>3</v>
      </c>
      <c r="B19" s="67" t="s">
        <v>745</v>
      </c>
      <c r="E19" s="388"/>
      <c r="F19" s="68"/>
      <c r="G19" s="68"/>
      <c r="H19" s="388"/>
      <c r="I19" s="388"/>
      <c r="L19" s="412"/>
      <c r="M19" s="418"/>
    </row>
    <row r="20" spans="1:13" x14ac:dyDescent="0.2">
      <c r="E20" s="381"/>
      <c r="H20" s="381"/>
      <c r="M20" s="417"/>
    </row>
    <row r="21" spans="1:13" x14ac:dyDescent="0.2">
      <c r="E21" s="381"/>
      <c r="H21" s="381"/>
      <c r="M21" s="417"/>
    </row>
    <row r="22" spans="1:13" x14ac:dyDescent="0.2">
      <c r="E22" s="381"/>
      <c r="H22" s="381"/>
      <c r="M22" s="417"/>
    </row>
    <row r="23" spans="1:13" x14ac:dyDescent="0.2">
      <c r="E23" s="381"/>
      <c r="H23" s="381"/>
      <c r="M23" s="417"/>
    </row>
    <row r="24" spans="1:13" ht="15" x14ac:dyDescent="0.25">
      <c r="E24" s="381"/>
      <c r="H24" s="381"/>
      <c r="L24" s="415">
        <f>SUM(L7:L23)</f>
        <v>100</v>
      </c>
      <c r="M24" s="416">
        <f>SUM(M7:M23)</f>
        <v>100</v>
      </c>
    </row>
    <row r="25" spans="1:13" x14ac:dyDescent="0.2">
      <c r="E25" s="381"/>
      <c r="H25" s="381"/>
    </row>
    <row r="26" spans="1:13" x14ac:dyDescent="0.2">
      <c r="E26" s="381"/>
      <c r="H26" s="381"/>
    </row>
    <row r="27" spans="1:13" x14ac:dyDescent="0.2">
      <c r="E27" s="381"/>
      <c r="H27" s="381"/>
    </row>
    <row r="28" spans="1:13" x14ac:dyDescent="0.2">
      <c r="E28" s="381"/>
      <c r="H28" s="381"/>
    </row>
    <row r="29" spans="1:13" x14ac:dyDescent="0.2">
      <c r="E29" s="381"/>
      <c r="H29" s="381"/>
    </row>
    <row r="30" spans="1:13" x14ac:dyDescent="0.2">
      <c r="E30" s="381"/>
      <c r="H30" s="381"/>
    </row>
    <row r="31" spans="1:13" x14ac:dyDescent="0.2">
      <c r="E31" s="381"/>
      <c r="H31" s="381"/>
    </row>
    <row r="32" spans="1:13" x14ac:dyDescent="0.2">
      <c r="E32" s="381"/>
      <c r="H32" s="381"/>
    </row>
  </sheetData>
  <customSheetViews>
    <customSheetView guid="{E5A66847-4128-474A-BF72-991F91DA1EB4}" scale="85" showGridLines="0">
      <selection activeCell="A6" sqref="A6"/>
      <pageMargins left="0.7" right="0.7" top="0.75" bottom="0.75" header="0.3" footer="0.3"/>
      <pageSetup paperSize="9" orientation="portrait" horizontalDpi="4294967292" verticalDpi="4294967292"/>
      <headerFooter>
        <oddHeader>&amp;R&amp;8&amp;F</oddHeader>
        <oddFooter>&amp;L&amp;8Programmation&amp;C&amp;"Arial,Gras"&amp;8Régie des Bâtiments&amp;R&amp;8 &amp;A • &amp;P</oddFooter>
      </headerFooter>
    </customSheetView>
  </customSheetViews>
  <mergeCells count="2">
    <mergeCell ref="L5:M5"/>
    <mergeCell ref="A1:M1"/>
  </mergeCells>
  <pageMargins left="0.70866141732283472" right="0.70866141732283472" top="0.74803149606299213" bottom="0.74803149606299213" header="0.31496062992125984" footer="0.31496062992125984"/>
  <pageSetup paperSize="8" scale="93" fitToHeight="0" orientation="landscape" r:id="rId1"/>
  <headerFooter>
    <oddHeader>&amp;R&amp;8&amp;F</oddHeader>
    <oddFooter>&amp;L&amp;8Programmation&amp;C&amp;"Arial,Gras"&amp;8Régie des Bâtiments&amp;R&amp;8 &amp;A •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Right="0"/>
  </sheetPr>
  <dimension ref="A1:AF35"/>
  <sheetViews>
    <sheetView topLeftCell="C1" zoomScale="130" zoomScaleNormal="130" workbookViewId="0">
      <selection activeCell="K12" sqref="K12"/>
    </sheetView>
  </sheetViews>
  <sheetFormatPr defaultColWidth="9" defaultRowHeight="12.75" outlineLevelCol="1" x14ac:dyDescent="0.2"/>
  <cols>
    <col min="1" max="1" width="3.7109375" customWidth="1"/>
    <col min="2" max="2" width="21.140625" customWidth="1"/>
    <col min="3" max="3" width="13.42578125" customWidth="1"/>
    <col min="4" max="4" width="34.140625" customWidth="1" outlineLevel="1"/>
    <col min="5" max="31" width="5" customWidth="1"/>
  </cols>
  <sheetData>
    <row r="1" spans="1:32" s="293" customFormat="1" ht="19.5" x14ac:dyDescent="0.3">
      <c r="A1" s="466" t="str">
        <f>UPPER("établissement du Programme des Besoins • Partie 3 • Macro-implantation")</f>
        <v>ÉTABLISSEMENT DU PROGRAMME DES BESOINS • PARTIE 3 • MACRO-IMPLANTATION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</row>
    <row r="2" spans="1:32" s="103" customFormat="1" ht="15" x14ac:dyDescent="0.25"/>
    <row r="3" spans="1:32" s="104" customFormat="1" ht="108" customHeight="1" thickBot="1" x14ac:dyDescent="0.3">
      <c r="D3" s="120" t="s">
        <v>78</v>
      </c>
      <c r="E3" s="329" t="str">
        <f>RIGHT($C4,2)&amp;" • "&amp;$D4</f>
        <v xml:space="preserve"> 1 • S2 - Achat</v>
      </c>
      <c r="F3" s="105" t="str">
        <f>RIGHT($C5,2)&amp;" • "&amp;$D5</f>
        <v xml:space="preserve"> 2 • S2 - Facility ATR</v>
      </c>
      <c r="G3" s="105" t="str">
        <f>RIGHT($C6,2)&amp;" • "&amp;$D6</f>
        <v xml:space="preserve"> 7 • S2 - Facility NG</v>
      </c>
      <c r="H3" s="105" t="str">
        <f>RIGHT($C7,2)&amp;" • "&amp;$D7</f>
        <v xml:space="preserve"> 8 • S2 - Finance</v>
      </c>
      <c r="I3" s="105" t="str">
        <f>RIGHT($C8,2)&amp;" • "&amp;$D8</f>
        <v xml:space="preserve"> 9 • S2 - Staff</v>
      </c>
      <c r="J3" s="105" t="str">
        <f>RIGHT($C9,2)&amp;" • "&amp;$D9</f>
        <v>10 • S2 - Plan Personnel Approuvé</v>
      </c>
      <c r="K3" s="105" t="str">
        <f>RIGHT($C10,2)&amp;" • "&amp;$D10</f>
        <v>11 • IF</v>
      </c>
      <c r="L3" s="105" t="str">
        <f>RIGHT($C11,2)&amp;" • "&amp;$D11</f>
        <v>12 • Cours des comptes</v>
      </c>
      <c r="M3" s="105" t="str">
        <f>RIGHT($C12,2)&amp;" • "&amp;$D12</f>
        <v>13 • S1 - HR admin</v>
      </c>
      <c r="N3" s="105" t="str">
        <f>RIGHT($C13,2)&amp;" • "&amp;$D13</f>
        <v>15 • S2 - Achat</v>
      </c>
      <c r="O3" s="105" t="str">
        <f>RIGHT($C14,2)&amp;" • "&amp;$D14</f>
        <v>16 • S2 - Facility ATR</v>
      </c>
      <c r="P3" s="105" t="str">
        <f>RIGHT($C15,2)&amp;" • "&amp;$D15</f>
        <v>17 • S2 - Facility NG</v>
      </c>
      <c r="Q3" s="105" t="str">
        <f>RIGHT($C16,2)&amp;" • "&amp;$D16</f>
        <v>18 • S2 - Finance</v>
      </c>
      <c r="R3" s="105" t="str">
        <f>RIGHT($C17,2)&amp;" • "&amp;$D17</f>
        <v>19 • S2 - Staff</v>
      </c>
      <c r="S3" s="105" t="str">
        <f>RIGHT($C18,2)&amp;" • "&amp;$D18</f>
        <v>20 • S2 - Plan Personnel Approuvé</v>
      </c>
      <c r="T3" s="105" t="e">
        <f>RIGHT($C19,2)&amp;" • "&amp;$D19</f>
        <v>#REF!</v>
      </c>
      <c r="U3" s="105" t="e">
        <f>RIGHT($C20,2)&amp;" • "&amp;$D20</f>
        <v>#REF!</v>
      </c>
      <c r="V3" s="336" t="str">
        <f>RIGHT($C21,2)&amp;" • "&amp;$D21</f>
        <v>08 • E8 - personeelsplan</v>
      </c>
      <c r="W3" s="337" t="str">
        <f>RIGHT($C22,2)&amp;" • "&amp;$D22</f>
        <v xml:space="preserve"> A • zone semi-publique</v>
      </c>
      <c r="X3" s="105" t="str">
        <f>RIGHT($C23,2)&amp;" • "&amp;$D23</f>
        <v xml:space="preserve"> B • zone publique</v>
      </c>
      <c r="Y3" s="105" t="str">
        <f>RIGHT($C24,2)&amp;" • "&amp;$D24</f>
        <v xml:space="preserve"> C • sous-sol communs</v>
      </c>
      <c r="Z3" s="105" t="str">
        <f>RIGHT($C25,2)&amp;" • "&amp;$D25</f>
        <v xml:space="preserve"> D • stockage technique</v>
      </c>
      <c r="AA3" s="105" t="str">
        <f>RIGHT($C26,2)&amp;" • "&amp;$D26</f>
        <v xml:space="preserve"> E • </v>
      </c>
      <c r="AB3" s="105" t="str">
        <f>RIGHT($C27,2)&amp;" • "&amp;$D27</f>
        <v xml:space="preserve"> F • </v>
      </c>
      <c r="AC3" s="105" t="str">
        <f>RIGHT($C28,2)&amp;" • "&amp;$D28</f>
        <v xml:space="preserve"> G • </v>
      </c>
      <c r="AD3" s="105" t="str">
        <f>RIGHT($C29,2)&amp;" • "&amp;$D29</f>
        <v xml:space="preserve"> H • </v>
      </c>
      <c r="AE3" s="105" t="str">
        <f>RIGHT($C30,2)&amp;" • "&amp;$D30</f>
        <v xml:space="preserve"> I • </v>
      </c>
    </row>
    <row r="4" spans="1:32" ht="21" customHeight="1" x14ac:dyDescent="0.25">
      <c r="B4" s="319" t="s">
        <v>65</v>
      </c>
      <c r="C4" s="320" t="str">
        <f>'Partie 1 • Global'!B49</f>
        <v>• service 1</v>
      </c>
      <c r="D4" s="123" t="s">
        <v>770</v>
      </c>
      <c r="E4" s="330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6"/>
      <c r="W4" s="327"/>
      <c r="X4" s="325"/>
      <c r="Y4" s="325"/>
      <c r="Z4" s="325"/>
      <c r="AA4" s="325"/>
      <c r="AB4" s="325"/>
      <c r="AC4" s="325"/>
      <c r="AD4" s="325"/>
      <c r="AE4" s="325"/>
    </row>
    <row r="5" spans="1:32" ht="21" customHeight="1" x14ac:dyDescent="0.25">
      <c r="B5" s="106"/>
      <c r="C5" s="106" t="str">
        <f>'Partie 1 • Global'!B50</f>
        <v>• service 2</v>
      </c>
      <c r="D5" s="123" t="s">
        <v>774</v>
      </c>
      <c r="E5" s="331" t="s">
        <v>81</v>
      </c>
      <c r="F5" s="111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315"/>
      <c r="W5" s="312"/>
      <c r="X5" s="112"/>
      <c r="Y5" s="112"/>
      <c r="Z5" s="112"/>
      <c r="AA5" s="112"/>
      <c r="AB5" s="112"/>
      <c r="AC5" s="112"/>
      <c r="AD5" s="112"/>
      <c r="AE5" s="112"/>
    </row>
    <row r="6" spans="1:32" ht="21" customHeight="1" x14ac:dyDescent="0.25">
      <c r="B6" s="106"/>
      <c r="C6" s="106" t="str">
        <f>'Partie 1 • Global'!B55</f>
        <v>• service 7</v>
      </c>
      <c r="D6" s="123" t="s">
        <v>773</v>
      </c>
      <c r="E6" s="331" t="s">
        <v>83</v>
      </c>
      <c r="F6" s="115" t="s">
        <v>83</v>
      </c>
      <c r="G6" s="111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315"/>
      <c r="W6" s="312"/>
      <c r="X6" s="112"/>
      <c r="Y6" s="112"/>
      <c r="Z6" s="112"/>
      <c r="AA6" s="112"/>
      <c r="AB6" s="112"/>
      <c r="AC6" s="112"/>
      <c r="AD6" s="112"/>
      <c r="AE6" s="112"/>
    </row>
    <row r="7" spans="1:32" ht="21" customHeight="1" x14ac:dyDescent="0.25">
      <c r="B7" s="106"/>
      <c r="C7" s="106" t="str">
        <f>'Partie 1 • Global'!B56</f>
        <v>• service 8</v>
      </c>
      <c r="D7" s="123" t="s">
        <v>771</v>
      </c>
      <c r="E7" s="331" t="s">
        <v>81</v>
      </c>
      <c r="F7" s="115" t="s">
        <v>81</v>
      </c>
      <c r="G7" s="115" t="s">
        <v>83</v>
      </c>
      <c r="H7" s="111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315"/>
      <c r="W7" s="312"/>
      <c r="X7" s="112"/>
      <c r="Y7" s="112"/>
      <c r="Z7" s="112"/>
      <c r="AA7" s="112"/>
      <c r="AB7" s="112"/>
      <c r="AC7" s="112"/>
      <c r="AD7" s="112"/>
      <c r="AE7" s="112"/>
    </row>
    <row r="8" spans="1:32" ht="21" customHeight="1" x14ac:dyDescent="0.25">
      <c r="B8" s="106"/>
      <c r="C8" s="106" t="str">
        <f>'Partie 1 • Global'!B57</f>
        <v>• service 9</v>
      </c>
      <c r="D8" s="123" t="s">
        <v>772</v>
      </c>
      <c r="E8" s="332" t="s">
        <v>81</v>
      </c>
      <c r="F8" s="115" t="s">
        <v>81</v>
      </c>
      <c r="G8" s="115" t="s">
        <v>83</v>
      </c>
      <c r="H8" s="115" t="s">
        <v>81</v>
      </c>
      <c r="I8" s="111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315"/>
      <c r="W8" s="312"/>
      <c r="X8" s="112"/>
      <c r="Y8" s="112"/>
      <c r="Z8" s="112"/>
      <c r="AA8" s="112"/>
      <c r="AB8" s="112"/>
      <c r="AC8" s="112"/>
      <c r="AD8" s="112"/>
      <c r="AE8" s="112"/>
    </row>
    <row r="9" spans="1:32" ht="21" customHeight="1" x14ac:dyDescent="0.25">
      <c r="B9" s="106"/>
      <c r="C9" s="106" t="str">
        <f>'Partie 1 • Global'!B58</f>
        <v>• service 10</v>
      </c>
      <c r="D9" s="123" t="s">
        <v>775</v>
      </c>
      <c r="E9" s="331" t="s">
        <v>81</v>
      </c>
      <c r="F9" s="115" t="s">
        <v>81</v>
      </c>
      <c r="G9" s="118" t="s">
        <v>83</v>
      </c>
      <c r="H9" s="115" t="s">
        <v>81</v>
      </c>
      <c r="I9" s="115" t="s">
        <v>81</v>
      </c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315"/>
      <c r="W9" s="312"/>
      <c r="X9" s="112"/>
      <c r="Y9" s="112"/>
      <c r="Z9" s="112"/>
      <c r="AA9" s="112"/>
      <c r="AB9" s="112"/>
      <c r="AC9" s="112"/>
      <c r="AD9" s="112"/>
      <c r="AE9" s="112"/>
    </row>
    <row r="10" spans="1:32" ht="21" customHeight="1" x14ac:dyDescent="0.25">
      <c r="B10" s="106"/>
      <c r="C10" s="106" t="str">
        <f>'Partie 1 • Global'!B59</f>
        <v>• service 11</v>
      </c>
      <c r="D10" s="123" t="s">
        <v>776</v>
      </c>
      <c r="E10" s="331" t="s">
        <v>83</v>
      </c>
      <c r="F10" s="115" t="s">
        <v>83</v>
      </c>
      <c r="G10" s="118" t="s">
        <v>83</v>
      </c>
      <c r="H10" s="115" t="s">
        <v>83</v>
      </c>
      <c r="I10" s="115" t="s">
        <v>83</v>
      </c>
      <c r="J10" s="115" t="s">
        <v>83</v>
      </c>
      <c r="K10" s="111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315"/>
      <c r="W10" s="312"/>
      <c r="X10" s="112"/>
      <c r="Y10" s="112"/>
      <c r="Z10" s="112"/>
      <c r="AA10" s="112"/>
      <c r="AB10" s="112"/>
      <c r="AC10" s="112"/>
      <c r="AD10" s="112"/>
      <c r="AE10" s="112"/>
    </row>
    <row r="11" spans="1:32" ht="21" customHeight="1" x14ac:dyDescent="0.25">
      <c r="B11" s="106"/>
      <c r="C11" s="106" t="str">
        <f>'Partie 1 • Global'!B60</f>
        <v>• service 12</v>
      </c>
      <c r="D11" s="123" t="s">
        <v>777</v>
      </c>
      <c r="E11" s="331" t="s">
        <v>83</v>
      </c>
      <c r="F11" s="115" t="s">
        <v>83</v>
      </c>
      <c r="G11" s="115" t="s">
        <v>83</v>
      </c>
      <c r="H11" s="115" t="s">
        <v>83</v>
      </c>
      <c r="I11" s="115" t="s">
        <v>83</v>
      </c>
      <c r="J11" s="115" t="s">
        <v>83</v>
      </c>
      <c r="K11" s="115" t="s">
        <v>83</v>
      </c>
      <c r="L11" s="111"/>
      <c r="M11" s="112"/>
      <c r="N11" s="112"/>
      <c r="O11" s="112"/>
      <c r="P11" s="112"/>
      <c r="Q11" s="112"/>
      <c r="R11" s="112"/>
      <c r="S11" s="112"/>
      <c r="T11" s="112"/>
      <c r="U11" s="112"/>
      <c r="V11" s="315"/>
      <c r="W11" s="312"/>
      <c r="X11" s="112"/>
      <c r="Y11" s="112"/>
      <c r="Z11" s="112"/>
      <c r="AA11" s="112"/>
      <c r="AB11" s="112"/>
      <c r="AC11" s="112"/>
      <c r="AD11" s="112"/>
      <c r="AE11" s="112"/>
    </row>
    <row r="12" spans="1:32" ht="21" customHeight="1" x14ac:dyDescent="0.2">
      <c r="B12" s="106"/>
      <c r="C12" s="106" t="str">
        <f>'Partie 1 • Global'!B61</f>
        <v>• service 13</v>
      </c>
      <c r="D12" s="328" t="str">
        <f>IF('Partie 1 • Global'!C61&lt;&gt;0,'Partie 1 • Global'!C61,"")</f>
        <v>S1 - HR admin</v>
      </c>
      <c r="E12" s="331"/>
      <c r="F12" s="115"/>
      <c r="G12" s="115"/>
      <c r="H12" s="115"/>
      <c r="I12" s="115"/>
      <c r="J12" s="115"/>
      <c r="K12" s="115"/>
      <c r="L12" s="115"/>
      <c r="M12" s="111"/>
      <c r="N12" s="112"/>
      <c r="O12" s="112"/>
      <c r="P12" s="112"/>
      <c r="Q12" s="112"/>
      <c r="R12" s="112"/>
      <c r="S12" s="112"/>
      <c r="T12" s="112"/>
      <c r="U12" s="112"/>
      <c r="V12" s="315"/>
      <c r="W12" s="312"/>
      <c r="X12" s="112"/>
      <c r="Y12" s="112"/>
      <c r="Z12" s="112"/>
      <c r="AA12" s="112"/>
      <c r="AB12" s="112"/>
      <c r="AC12" s="112"/>
      <c r="AD12" s="112"/>
      <c r="AE12" s="112"/>
    </row>
    <row r="13" spans="1:32" ht="21" customHeight="1" x14ac:dyDescent="0.2">
      <c r="B13" s="124"/>
      <c r="C13" s="106" t="str">
        <f>'Partie 1 • Global'!B63</f>
        <v>• service 15</v>
      </c>
      <c r="D13" s="328" t="str">
        <f>IF('Partie 1 • Global'!C63&lt;&gt;0,'Partie 1 • Global'!C63,"")</f>
        <v>S2 - Achat</v>
      </c>
      <c r="E13" s="331"/>
      <c r="F13" s="115"/>
      <c r="G13" s="115"/>
      <c r="H13" s="115"/>
      <c r="I13" s="115"/>
      <c r="J13" s="115"/>
      <c r="K13" s="115"/>
      <c r="L13" s="115"/>
      <c r="M13" s="115"/>
      <c r="N13" s="111"/>
      <c r="O13" s="112"/>
      <c r="P13" s="112"/>
      <c r="Q13" s="112"/>
      <c r="R13" s="112"/>
      <c r="S13" s="112"/>
      <c r="T13" s="112"/>
      <c r="U13" s="112"/>
      <c r="V13" s="315"/>
      <c r="W13" s="313"/>
      <c r="X13" s="114"/>
      <c r="Y13" s="114"/>
      <c r="Z13" s="114"/>
      <c r="AA13" s="114"/>
      <c r="AB13" s="114"/>
      <c r="AC13" s="114"/>
      <c r="AD13" s="114"/>
      <c r="AE13" s="114"/>
    </row>
    <row r="14" spans="1:32" ht="21" customHeight="1" x14ac:dyDescent="0.2">
      <c r="B14" s="124"/>
      <c r="C14" s="106" t="str">
        <f>'Partie 1 • Global'!B64</f>
        <v>• service 16</v>
      </c>
      <c r="D14" s="328" t="str">
        <f>IF('Partie 1 • Global'!C64&lt;&gt;0,'Partie 1 • Global'!C64,"")</f>
        <v>S2 - Facility ATR</v>
      </c>
      <c r="E14" s="331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2"/>
      <c r="Q14" s="112"/>
      <c r="R14" s="112"/>
      <c r="S14" s="112"/>
      <c r="T14" s="112"/>
      <c r="U14" s="112"/>
      <c r="V14" s="315"/>
      <c r="W14" s="312"/>
      <c r="X14" s="112"/>
      <c r="Y14" s="114"/>
      <c r="Z14" s="114"/>
      <c r="AA14" s="114"/>
      <c r="AB14" s="114"/>
      <c r="AC14" s="114"/>
      <c r="AD14" s="114"/>
      <c r="AE14" s="114"/>
    </row>
    <row r="15" spans="1:32" ht="21" customHeight="1" x14ac:dyDescent="0.2">
      <c r="B15" s="124"/>
      <c r="C15" s="106" t="str">
        <f>'Partie 1 • Global'!B65</f>
        <v>• service 17</v>
      </c>
      <c r="D15" s="328" t="str">
        <f>IF('Partie 1 • Global'!C65&lt;&gt;0,'Partie 1 • Global'!C65,"")</f>
        <v>S2 - Facility NG</v>
      </c>
      <c r="E15" s="331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1"/>
      <c r="Q15" s="112"/>
      <c r="R15" s="112"/>
      <c r="S15" s="112"/>
      <c r="T15" s="112"/>
      <c r="U15" s="112"/>
      <c r="V15" s="315"/>
      <c r="W15" s="312"/>
      <c r="X15" s="112"/>
      <c r="Y15" s="112"/>
      <c r="Z15" s="114"/>
      <c r="AA15" s="114"/>
      <c r="AB15" s="114"/>
      <c r="AC15" s="114"/>
      <c r="AD15" s="114"/>
      <c r="AE15" s="114"/>
    </row>
    <row r="16" spans="1:32" ht="21" customHeight="1" x14ac:dyDescent="0.2">
      <c r="B16" s="124"/>
      <c r="C16" s="106" t="str">
        <f>'Partie 1 • Global'!B66</f>
        <v>• service 18</v>
      </c>
      <c r="D16" s="328" t="str">
        <f>IF('Partie 1 • Global'!C66&lt;&gt;0,'Partie 1 • Global'!C66,"")</f>
        <v>S2 - Finance</v>
      </c>
      <c r="E16" s="331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1"/>
      <c r="R16" s="112"/>
      <c r="S16" s="112"/>
      <c r="T16" s="112"/>
      <c r="U16" s="112"/>
      <c r="V16" s="315"/>
      <c r="W16" s="312"/>
      <c r="X16" s="112"/>
      <c r="Y16" s="112"/>
      <c r="Z16" s="112"/>
      <c r="AA16" s="114"/>
      <c r="AB16" s="114"/>
      <c r="AC16" s="114"/>
      <c r="AD16" s="114"/>
      <c r="AE16" s="114"/>
    </row>
    <row r="17" spans="2:31" ht="21" customHeight="1" x14ac:dyDescent="0.2">
      <c r="B17" s="124"/>
      <c r="C17" s="106" t="str">
        <f>'Partie 1 • Global'!B67</f>
        <v>• service 19</v>
      </c>
      <c r="D17" s="328" t="str">
        <f>IF('Partie 1 • Global'!C67&lt;&gt;0,'Partie 1 • Global'!C67,"")</f>
        <v>S2 - Staff</v>
      </c>
      <c r="E17" s="331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1"/>
      <c r="S17" s="112"/>
      <c r="T17" s="112"/>
      <c r="U17" s="112"/>
      <c r="V17" s="315"/>
      <c r="W17" s="312"/>
      <c r="X17" s="112"/>
      <c r="Y17" s="112"/>
      <c r="Z17" s="112"/>
      <c r="AA17" s="112"/>
      <c r="AB17" s="114"/>
      <c r="AC17" s="114"/>
      <c r="AD17" s="114"/>
      <c r="AE17" s="114"/>
    </row>
    <row r="18" spans="2:31" ht="21" customHeight="1" x14ac:dyDescent="0.2">
      <c r="B18" s="124"/>
      <c r="C18" s="106" t="str">
        <f>'Partie 1 • Global'!B68</f>
        <v>• service 20</v>
      </c>
      <c r="D18" s="328" t="str">
        <f>IF('Partie 1 • Global'!C68&lt;&gt;0,'Partie 1 • Global'!C68,"")</f>
        <v>S2 - Plan Personnel Approuvé</v>
      </c>
      <c r="E18" s="331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1"/>
      <c r="T18" s="112"/>
      <c r="U18" s="112"/>
      <c r="V18" s="315"/>
      <c r="W18" s="312"/>
      <c r="X18" s="112"/>
      <c r="Y18" s="112"/>
      <c r="Z18" s="112"/>
      <c r="AA18" s="112"/>
      <c r="AB18" s="112"/>
      <c r="AC18" s="114"/>
      <c r="AD18" s="114"/>
      <c r="AE18" s="114"/>
    </row>
    <row r="19" spans="2:31" ht="21" customHeight="1" x14ac:dyDescent="0.2">
      <c r="B19" s="124"/>
      <c r="C19" s="106" t="e">
        <f>'Partie 1 • Global'!#REF!</f>
        <v>#REF!</v>
      </c>
      <c r="D19" s="328" t="e">
        <f>IF('Partie 1 • Global'!#REF!&lt;&gt;0,'Partie 1 • Global'!#REF!,"")</f>
        <v>#REF!</v>
      </c>
      <c r="E19" s="331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1"/>
      <c r="U19" s="112"/>
      <c r="V19" s="315"/>
      <c r="W19" s="312"/>
      <c r="X19" s="112"/>
      <c r="Y19" s="112"/>
      <c r="Z19" s="112"/>
      <c r="AA19" s="112"/>
      <c r="AB19" s="112"/>
      <c r="AC19" s="112"/>
      <c r="AD19" s="114"/>
      <c r="AE19" s="114"/>
    </row>
    <row r="20" spans="2:31" ht="21" customHeight="1" x14ac:dyDescent="0.2">
      <c r="B20" s="124"/>
      <c r="C20" s="106" t="e">
        <f>'Partie 1 • Global'!#REF!</f>
        <v>#REF!</v>
      </c>
      <c r="D20" s="328" t="e">
        <f>IF('Partie 1 • Global'!#REF!&lt;&gt;0,'Partie 1 • Global'!#REF!,"")</f>
        <v>#REF!</v>
      </c>
      <c r="E20" s="331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1"/>
      <c r="V20" s="315"/>
      <c r="W20" s="312"/>
      <c r="X20" s="112"/>
      <c r="Y20" s="112"/>
      <c r="Z20" s="112"/>
      <c r="AA20" s="112"/>
      <c r="AB20" s="112"/>
      <c r="AC20" s="112"/>
      <c r="AD20" s="112"/>
      <c r="AE20" s="114"/>
    </row>
    <row r="21" spans="2:31" ht="21" customHeight="1" thickBot="1" x14ac:dyDescent="0.25">
      <c r="B21" s="71"/>
      <c r="C21" s="124" t="str">
        <f>'Partie 1 • Global'!B156</f>
        <v>• service 108</v>
      </c>
      <c r="D21" s="328" t="str">
        <f>IF('Partie 1 • Global'!C156&lt;&gt;0,'Partie 1 • Global'!C156,"")</f>
        <v>E8 - personeelsplan</v>
      </c>
      <c r="E21" s="333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6"/>
      <c r="W21" s="313"/>
      <c r="X21" s="114"/>
      <c r="Y21" s="114"/>
      <c r="Z21" s="114"/>
      <c r="AA21" s="114"/>
      <c r="AB21" s="114"/>
      <c r="AC21" s="114"/>
      <c r="AD21" s="114"/>
      <c r="AE21" s="114"/>
    </row>
    <row r="22" spans="2:31" ht="21" customHeight="1" x14ac:dyDescent="0.25">
      <c r="B22" s="319" t="s">
        <v>79</v>
      </c>
      <c r="C22" s="320" t="s">
        <v>66</v>
      </c>
      <c r="D22" s="321" t="s">
        <v>75</v>
      </c>
      <c r="E22" s="334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3"/>
      <c r="W22" s="324"/>
      <c r="X22" s="325"/>
      <c r="Y22" s="325"/>
      <c r="Z22" s="325"/>
      <c r="AA22" s="325"/>
      <c r="AB22" s="325"/>
      <c r="AC22" s="325"/>
      <c r="AD22" s="325"/>
      <c r="AE22" s="325"/>
    </row>
    <row r="23" spans="2:31" ht="21" customHeight="1" x14ac:dyDescent="0.2">
      <c r="B23" s="106"/>
      <c r="C23" s="106" t="s">
        <v>67</v>
      </c>
      <c r="D23" s="107" t="s">
        <v>76</v>
      </c>
      <c r="E23" s="331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317"/>
      <c r="W23" s="314"/>
      <c r="X23" s="111"/>
      <c r="Y23" s="112"/>
      <c r="Z23" s="112"/>
      <c r="AA23" s="112"/>
      <c r="AB23" s="112"/>
      <c r="AC23" s="112"/>
      <c r="AD23" s="112"/>
      <c r="AE23" s="112"/>
    </row>
    <row r="24" spans="2:31" ht="21" customHeight="1" x14ac:dyDescent="0.2">
      <c r="B24" s="106"/>
      <c r="C24" s="106" t="s">
        <v>68</v>
      </c>
      <c r="D24" s="107" t="s">
        <v>77</v>
      </c>
      <c r="E24" s="331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317"/>
      <c r="W24" s="314"/>
      <c r="X24" s="115"/>
      <c r="Y24" s="111"/>
      <c r="Z24" s="112"/>
      <c r="AA24" s="112"/>
      <c r="AB24" s="112"/>
      <c r="AC24" s="112"/>
      <c r="AD24" s="112"/>
      <c r="AE24" s="112"/>
    </row>
    <row r="25" spans="2:31" ht="21" customHeight="1" x14ac:dyDescent="0.2">
      <c r="B25" s="106"/>
      <c r="C25" s="106" t="s">
        <v>69</v>
      </c>
      <c r="D25" s="107" t="s">
        <v>80</v>
      </c>
      <c r="E25" s="331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317"/>
      <c r="W25" s="314"/>
      <c r="X25" s="115"/>
      <c r="Y25" s="115"/>
      <c r="Z25" s="111"/>
      <c r="AA25" s="112"/>
      <c r="AB25" s="112"/>
      <c r="AC25" s="112"/>
      <c r="AD25" s="112"/>
      <c r="AE25" s="112"/>
    </row>
    <row r="26" spans="2:31" ht="21" customHeight="1" x14ac:dyDescent="0.2">
      <c r="B26" s="106"/>
      <c r="C26" s="106" t="s">
        <v>70</v>
      </c>
      <c r="D26" s="107"/>
      <c r="E26" s="331"/>
      <c r="F26" s="115"/>
      <c r="G26" s="118"/>
      <c r="H26" s="115"/>
      <c r="I26" s="115"/>
      <c r="J26" s="115"/>
      <c r="K26" s="115"/>
      <c r="L26" s="118"/>
      <c r="M26" s="115"/>
      <c r="N26" s="115"/>
      <c r="O26" s="115"/>
      <c r="P26" s="115"/>
      <c r="Q26" s="115"/>
      <c r="R26" s="115"/>
      <c r="S26" s="115"/>
      <c r="T26" s="115"/>
      <c r="U26" s="115"/>
      <c r="V26" s="317"/>
      <c r="W26" s="314"/>
      <c r="X26" s="115"/>
      <c r="Y26" s="115"/>
      <c r="Z26" s="115"/>
      <c r="AA26" s="111"/>
      <c r="AB26" s="112"/>
      <c r="AC26" s="112"/>
      <c r="AD26" s="112"/>
      <c r="AE26" s="112"/>
    </row>
    <row r="27" spans="2:31" ht="21" customHeight="1" x14ac:dyDescent="0.2">
      <c r="B27" s="106"/>
      <c r="C27" s="106" t="s">
        <v>71</v>
      </c>
      <c r="D27" s="107"/>
      <c r="E27" s="331"/>
      <c r="F27" s="115"/>
      <c r="G27" s="118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317"/>
      <c r="W27" s="314"/>
      <c r="X27" s="115"/>
      <c r="Y27" s="115"/>
      <c r="Z27" s="115"/>
      <c r="AA27" s="115"/>
      <c r="AB27" s="111"/>
      <c r="AC27" s="112"/>
      <c r="AD27" s="112"/>
      <c r="AE27" s="112"/>
    </row>
    <row r="28" spans="2:31" ht="21" customHeight="1" x14ac:dyDescent="0.2">
      <c r="B28" s="106"/>
      <c r="C28" s="106" t="s">
        <v>72</v>
      </c>
      <c r="D28" s="107"/>
      <c r="E28" s="331"/>
      <c r="F28" s="115"/>
      <c r="G28" s="118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17"/>
      <c r="W28" s="314"/>
      <c r="X28" s="115"/>
      <c r="Y28" s="115"/>
      <c r="Z28" s="115"/>
      <c r="AA28" s="115"/>
      <c r="AB28" s="115"/>
      <c r="AC28" s="111"/>
      <c r="AD28" s="112"/>
      <c r="AE28" s="112"/>
    </row>
    <row r="29" spans="2:31" ht="21" customHeight="1" x14ac:dyDescent="0.2">
      <c r="B29" s="106"/>
      <c r="C29" s="106" t="s">
        <v>73</v>
      </c>
      <c r="D29" s="107"/>
      <c r="E29" s="331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317"/>
      <c r="W29" s="314"/>
      <c r="X29" s="115"/>
      <c r="Y29" s="115"/>
      <c r="Z29" s="115"/>
      <c r="AA29" s="115"/>
      <c r="AB29" s="115"/>
      <c r="AC29" s="115"/>
      <c r="AD29" s="111"/>
      <c r="AE29" s="112"/>
    </row>
    <row r="30" spans="2:31" ht="21" customHeight="1" x14ac:dyDescent="0.2">
      <c r="B30" s="71"/>
      <c r="C30" s="71" t="s">
        <v>74</v>
      </c>
      <c r="D30" s="108"/>
      <c r="E30" s="33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318"/>
      <c r="W30" s="314"/>
      <c r="X30" s="115"/>
      <c r="Y30" s="115"/>
      <c r="Z30" s="115"/>
      <c r="AA30" s="115"/>
      <c r="AB30" s="115"/>
      <c r="AC30" s="115"/>
      <c r="AD30" s="115"/>
      <c r="AE30" s="113"/>
    </row>
    <row r="31" spans="2:31" x14ac:dyDescent="0.2">
      <c r="B31" s="109"/>
      <c r="C31" s="109"/>
      <c r="D31" s="109"/>
      <c r="E31" s="109"/>
      <c r="F31" s="116" t="s">
        <v>81</v>
      </c>
      <c r="G31" s="102" t="s">
        <v>85</v>
      </c>
      <c r="H31" s="102"/>
      <c r="I31" s="102"/>
      <c r="J31" s="102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</row>
    <row r="32" spans="2:31" x14ac:dyDescent="0.2">
      <c r="F32" s="116" t="s">
        <v>84</v>
      </c>
      <c r="G32" s="102" t="s">
        <v>86</v>
      </c>
      <c r="H32" s="102"/>
      <c r="I32" s="102"/>
      <c r="J32" s="102"/>
    </row>
    <row r="33" spans="6:10" x14ac:dyDescent="0.2">
      <c r="F33" s="117"/>
      <c r="G33" s="102" t="s">
        <v>87</v>
      </c>
      <c r="H33" s="102"/>
      <c r="I33" s="102"/>
      <c r="J33" s="102"/>
    </row>
    <row r="34" spans="6:10" x14ac:dyDescent="0.2">
      <c r="F34" s="116" t="s">
        <v>82</v>
      </c>
      <c r="G34" s="102" t="s">
        <v>88</v>
      </c>
      <c r="H34" s="102"/>
      <c r="I34" s="102"/>
      <c r="J34" s="102"/>
    </row>
    <row r="35" spans="6:10" x14ac:dyDescent="0.2">
      <c r="F35" s="116" t="s">
        <v>83</v>
      </c>
      <c r="G35" s="102" t="s">
        <v>89</v>
      </c>
      <c r="H35" s="102"/>
      <c r="I35" s="102"/>
      <c r="J35" s="102"/>
    </row>
  </sheetData>
  <customSheetViews>
    <customSheetView guid="{E5A66847-4128-474A-BF72-991F91DA1EB4}">
      <selection activeCell="A2" sqref="A2"/>
      <pageMargins left="0.7" right="0.7" top="0.75" bottom="0.75" header="0.3" footer="0.3"/>
      <pageSetup paperSize="9" orientation="portrait" horizontalDpi="4294967292" verticalDpi="4294967292"/>
      <headerFooter>
        <oddHeader>&amp;R&amp;8&amp;F</oddHeader>
        <oddFooter>&amp;L&amp;8Programmation&amp;C&amp;"Arial,Gras"&amp;8Régie des Bâtiments&amp;R&amp;8 &amp;A • &amp;P</oddFooter>
      </headerFooter>
    </customSheetView>
  </customSheetViews>
  <mergeCells count="1">
    <mergeCell ref="A1:AF1"/>
  </mergeCells>
  <phoneticPr fontId="0" type="noConversion"/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>
    <oddHeader>&amp;R&amp;8&amp;F</oddHeader>
    <oddFooter>&amp;L&amp;8Programmation&amp;C&amp;"Arial,Gras"&amp;8Régie des Bâtiments&amp;R&amp;8 &amp;A •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G204"/>
  <sheetViews>
    <sheetView tabSelected="1" view="pageBreakPreview" topLeftCell="C1" zoomScale="120" zoomScaleNormal="92" zoomScaleSheetLayoutView="120" zoomScalePageLayoutView="92" workbookViewId="0">
      <pane ySplit="4" topLeftCell="A32" activePane="bottomLeft" state="frozenSplit"/>
      <selection activeCell="D7" sqref="D7"/>
      <selection pane="bottomLeft" activeCell="H44" sqref="H44"/>
    </sheetView>
  </sheetViews>
  <sheetFormatPr defaultColWidth="11.42578125" defaultRowHeight="12.75" outlineLevelRow="1" outlineLevelCol="1" x14ac:dyDescent="0.2"/>
  <cols>
    <col min="1" max="1" width="13.7109375" customWidth="1"/>
    <col min="2" max="2" width="40.42578125" customWidth="1"/>
    <col min="3" max="3" width="10.42578125" customWidth="1"/>
    <col min="4" max="4" width="33.28515625" customWidth="1"/>
    <col min="5" max="5" width="8.42578125" style="110" customWidth="1"/>
    <col min="6" max="6" width="9.28515625" style="110" customWidth="1"/>
    <col min="7" max="7" width="11.140625" style="110" customWidth="1"/>
    <col min="8" max="8" width="49" style="297" customWidth="1"/>
    <col min="9" max="10" width="8" style="110" customWidth="1"/>
    <col min="11" max="11" width="8.7109375" style="110" customWidth="1"/>
    <col min="12" max="14" width="7.85546875" customWidth="1" outlineLevel="1"/>
    <col min="15" max="15" width="2.7109375" customWidth="1"/>
    <col min="16" max="17" width="9" style="128" customWidth="1"/>
    <col min="18" max="18" width="9.85546875" bestFit="1" customWidth="1"/>
    <col min="19" max="19" width="2.7109375" customWidth="1"/>
    <col min="20" max="22" width="9" customWidth="1"/>
    <col min="23" max="23" width="2.7109375" customWidth="1"/>
  </cols>
  <sheetData>
    <row r="1" spans="1:27" s="293" customFormat="1" ht="19.5" x14ac:dyDescent="0.3">
      <c r="A1" s="466" t="str">
        <f>UPPER("établissement du Programme des Besoins • Partie 4 • Micro-implantation - Validation")</f>
        <v>ÉTABLISSEMENT DU PROGRAMME DES BESOINS • PARTIE 4 • MICRO-IMPLANTATION - VALIDATION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</row>
    <row r="3" spans="1:27" s="110" customFormat="1" ht="12" customHeight="1" x14ac:dyDescent="0.2">
      <c r="A3" s="292" t="s">
        <v>96</v>
      </c>
      <c r="B3" s="292"/>
      <c r="C3" s="292" t="s">
        <v>606</v>
      </c>
      <c r="D3" s="292" t="s">
        <v>91</v>
      </c>
      <c r="E3" s="292" t="str">
        <f>UPPER("CAT.")</f>
        <v>CAT.</v>
      </c>
      <c r="F3" s="292" t="str">
        <f>UPPER("écl.")</f>
        <v>ÉCL.</v>
      </c>
      <c r="G3" s="291" t="s">
        <v>20</v>
      </c>
      <c r="H3" s="295" t="str">
        <f>UPPER("Nom détaillé ou fonction particulière")</f>
        <v>NOM DÉTAILLÉ OU FONCTION PARTICULIÈRE</v>
      </c>
      <c r="I3" s="479" t="s">
        <v>93</v>
      </c>
      <c r="J3" s="479"/>
      <c r="K3" s="479"/>
      <c r="L3" s="479" t="s">
        <v>658</v>
      </c>
      <c r="M3" s="479"/>
      <c r="N3" s="479"/>
      <c r="O3" s="291"/>
      <c r="P3" s="291" t="s">
        <v>28</v>
      </c>
      <c r="Q3" s="291"/>
      <c r="R3" s="291"/>
      <c r="S3" s="291"/>
      <c r="T3" s="291" t="str">
        <f>UPPER("Synthèse - "&amp;'Données et explications'!B16)</f>
        <v>SYNTHÈSE - CATÉGORIE</v>
      </c>
      <c r="U3" s="291"/>
      <c r="V3" s="291"/>
      <c r="W3" s="291"/>
      <c r="X3" s="291" t="str">
        <f>UPPER("Synthèse - "&amp;'Données et explications'!B9)</f>
        <v>SYNTHÈSE - ECLAIREMENT</v>
      </c>
      <c r="Y3" s="291"/>
      <c r="Z3" s="291"/>
      <c r="AA3" s="291"/>
    </row>
    <row r="4" spans="1:27" s="122" customFormat="1" ht="13.5" thickBot="1" x14ac:dyDescent="0.25">
      <c r="A4" s="121"/>
      <c r="E4" s="121"/>
      <c r="F4" s="121"/>
      <c r="G4" s="121"/>
      <c r="H4" s="296"/>
      <c r="I4" s="121" t="s">
        <v>95</v>
      </c>
      <c r="J4" s="121" t="s">
        <v>46</v>
      </c>
      <c r="K4" s="121" t="s">
        <v>92</v>
      </c>
      <c r="L4" s="122" t="s">
        <v>641</v>
      </c>
      <c r="M4" s="122" t="s">
        <v>656</v>
      </c>
      <c r="N4" s="122" t="s">
        <v>640</v>
      </c>
      <c r="P4" s="121" t="str">
        <f>I4</f>
        <v>P.D.T.</v>
      </c>
      <c r="Q4" s="121" t="str">
        <f>J4</f>
        <v>PERS.</v>
      </c>
      <c r="R4" s="121" t="str">
        <f>K4</f>
        <v>SURFACE</v>
      </c>
      <c r="T4" s="121" t="str">
        <f>'Données et explications'!C16</f>
        <v>OA</v>
      </c>
      <c r="U4" s="121" t="str">
        <f>'Données et explications'!C17</f>
        <v>LSA</v>
      </c>
      <c r="V4" s="121" t="str">
        <f>'Données et explications'!C18</f>
        <v>CSA</v>
      </c>
      <c r="X4" s="121" t="str">
        <f>'Données et explications'!C9</f>
        <v xml:space="preserve">1er </v>
      </c>
      <c r="Y4" s="121" t="str">
        <f>'Données et explications'!C10</f>
        <v>1-2nd</v>
      </c>
      <c r="Z4" s="121" t="str">
        <f>'Données et explications'!C11</f>
        <v>Av. HS</v>
      </c>
      <c r="AA4" s="121" t="str">
        <f>'Données et explications'!C12</f>
        <v>Av. SS</v>
      </c>
    </row>
    <row r="5" spans="1:27" s="67" customFormat="1" x14ac:dyDescent="0.2">
      <c r="A5" s="66" t="s">
        <v>654</v>
      </c>
      <c r="J5" s="68"/>
      <c r="K5" s="68"/>
    </row>
    <row r="6" spans="1:27" s="77" customFormat="1" x14ac:dyDescent="0.2">
      <c r="A6" s="307"/>
      <c r="E6" s="307"/>
      <c r="F6" s="307"/>
      <c r="G6" s="307"/>
      <c r="H6" s="308"/>
      <c r="I6" s="307"/>
      <c r="J6" s="307"/>
      <c r="K6" s="307"/>
      <c r="P6" s="307"/>
      <c r="Q6" s="307"/>
      <c r="R6" s="307"/>
      <c r="T6" s="307"/>
      <c r="U6" s="307"/>
      <c r="V6" s="307"/>
      <c r="X6" s="307"/>
      <c r="Y6" s="307"/>
      <c r="Z6" s="307"/>
      <c r="AA6" s="307"/>
    </row>
    <row r="7" spans="1:27" ht="15" outlineLevel="1" x14ac:dyDescent="0.25">
      <c r="B7" t="s">
        <v>663</v>
      </c>
      <c r="C7" s="37" t="s">
        <v>628</v>
      </c>
      <c r="D7" s="285" t="str">
        <f>VLOOKUP($C7,'Typologie détaillée'!$E$4:$H$214,3,0)</f>
        <v>Dépôts de matériel bureau / logistique (stocks)</v>
      </c>
      <c r="E7" s="286" t="str">
        <f>VLOOKUP($C7,'Typologie détaillée'!$E$4:$H$214,4,0)</f>
        <v>CSA</v>
      </c>
      <c r="F7" s="142" t="s">
        <v>23</v>
      </c>
      <c r="G7" s="90">
        <v>1</v>
      </c>
      <c r="H7" s="301" t="s">
        <v>779</v>
      </c>
      <c r="I7" s="90"/>
      <c r="J7" s="90"/>
      <c r="K7" s="309">
        <f t="shared" ref="K7:K8" si="0">IF(OR(L7="MiN.",L7="SPEC."),N7,M7*N7)</f>
        <v>33</v>
      </c>
      <c r="L7" s="286" t="str">
        <f>VLOOKUP($C7,'Typologie détaillée'!$E$4:$L$214,6,0)</f>
        <v>SPEC.</v>
      </c>
      <c r="M7" s="286">
        <f>VLOOKUP($C7,'Typologie détaillée'!$E$4:$L$214,7,0)</f>
        <v>0</v>
      </c>
      <c r="N7" s="310">
        <v>33</v>
      </c>
      <c r="P7" s="129">
        <f t="shared" ref="P7:R8" si="1">$G7*I7</f>
        <v>0</v>
      </c>
      <c r="Q7" s="129">
        <v>2</v>
      </c>
      <c r="R7" s="106">
        <f t="shared" si="1"/>
        <v>33</v>
      </c>
      <c r="T7" s="106" t="str">
        <f t="shared" ref="T7:V56" si="2">IF($E7=T$4,$R7,"")</f>
        <v/>
      </c>
      <c r="U7" s="106" t="str">
        <f t="shared" si="2"/>
        <v/>
      </c>
      <c r="V7" s="106">
        <f t="shared" si="2"/>
        <v>33</v>
      </c>
      <c r="X7" s="106" t="str">
        <f t="shared" ref="X7:AA58" si="3">IF($F7=X$4,$R7,"")</f>
        <v/>
      </c>
      <c r="Y7" s="106">
        <f t="shared" si="3"/>
        <v>33</v>
      </c>
      <c r="Z7" s="106" t="str">
        <f t="shared" si="3"/>
        <v/>
      </c>
      <c r="AA7" s="106" t="str">
        <f t="shared" si="3"/>
        <v/>
      </c>
    </row>
    <row r="8" spans="1:27" ht="15" outlineLevel="1" x14ac:dyDescent="0.25">
      <c r="C8" s="37" t="s">
        <v>628</v>
      </c>
      <c r="D8" s="285" t="str">
        <f>VLOOKUP($C8,'Typologie détaillée'!$E$4:$H$214,3,0)</f>
        <v>Dépôts de matériel bureau / logistique (stocks)</v>
      </c>
      <c r="E8" s="286" t="str">
        <f>VLOOKUP($C8,'Typologie détaillée'!$E$4:$H$214,4,0)</f>
        <v>CSA</v>
      </c>
      <c r="F8" s="142" t="s">
        <v>23</v>
      </c>
      <c r="G8" s="90">
        <v>1</v>
      </c>
      <c r="H8" s="301" t="s">
        <v>780</v>
      </c>
      <c r="I8" s="90"/>
      <c r="J8" s="90"/>
      <c r="K8" s="309">
        <f t="shared" si="0"/>
        <v>75</v>
      </c>
      <c r="L8" s="286" t="str">
        <f>VLOOKUP($C8,'Typologie détaillée'!$E$4:$L$214,6,0)</f>
        <v>SPEC.</v>
      </c>
      <c r="M8" s="286">
        <f>VLOOKUP($C8,'Typologie détaillée'!$E$4:$L$214,7,0)</f>
        <v>0</v>
      </c>
      <c r="N8" s="310">
        <v>75</v>
      </c>
      <c r="P8" s="129">
        <f t="shared" si="1"/>
        <v>0</v>
      </c>
      <c r="Q8" s="129">
        <v>2</v>
      </c>
      <c r="R8" s="106">
        <f t="shared" si="1"/>
        <v>75</v>
      </c>
      <c r="T8" s="106" t="str">
        <f t="shared" si="2"/>
        <v/>
      </c>
      <c r="U8" s="106" t="str">
        <f t="shared" si="2"/>
        <v/>
      </c>
      <c r="V8" s="106">
        <f t="shared" si="2"/>
        <v>75</v>
      </c>
      <c r="X8" s="106" t="str">
        <f t="shared" si="3"/>
        <v/>
      </c>
      <c r="Y8" s="106">
        <f t="shared" si="3"/>
        <v>75</v>
      </c>
      <c r="Z8" s="106" t="str">
        <f t="shared" si="3"/>
        <v/>
      </c>
      <c r="AA8" s="106" t="str">
        <f t="shared" si="3"/>
        <v/>
      </c>
    </row>
    <row r="9" spans="1:27" ht="15" hidden="1" outlineLevel="1" x14ac:dyDescent="0.25">
      <c r="C9" s="37" t="s">
        <v>576</v>
      </c>
      <c r="D9" s="285" t="str">
        <f>VLOOKUP($C9,'Typologie détaillée'!$E$4:$H$214,3,0)</f>
        <v>Grandes salles de réunion communes</v>
      </c>
      <c r="E9" s="286" t="str">
        <f>VLOOKUP($C9,'Typologie détaillée'!$E$4:$H$214,4,0)</f>
        <v>CSA</v>
      </c>
      <c r="F9" s="142" t="s">
        <v>24</v>
      </c>
      <c r="G9" s="90">
        <v>1</v>
      </c>
      <c r="H9" s="301" t="s">
        <v>1292</v>
      </c>
      <c r="I9" s="90"/>
      <c r="J9" s="90"/>
      <c r="K9" s="456">
        <f>IF(OR(L9="MiN.",L9="SPEC."),N9,M9*N9)</f>
        <v>0</v>
      </c>
      <c r="L9" s="452" t="str">
        <f>VLOOKUP($C9,'Typologie détaillée'!$E$4:$L$214,6,0)</f>
        <v>PERS.</v>
      </c>
      <c r="M9" s="452">
        <f>VLOOKUP($C9,'Typologie détaillée'!$E$4:$L$214,7,0)</f>
        <v>2</v>
      </c>
      <c r="N9" s="310">
        <v>0</v>
      </c>
      <c r="P9" s="129">
        <f t="shared" ref="P9:P10" si="4">$G9*I9</f>
        <v>0</v>
      </c>
      <c r="Q9" s="129">
        <f t="shared" ref="Q9:Q10" si="5">$G9*J9</f>
        <v>0</v>
      </c>
      <c r="R9" s="106">
        <f t="shared" ref="R9:R10" si="6">$G9*K9</f>
        <v>0</v>
      </c>
      <c r="T9" s="106" t="str">
        <f t="shared" si="2"/>
        <v/>
      </c>
      <c r="U9" s="106" t="str">
        <f t="shared" si="2"/>
        <v/>
      </c>
      <c r="V9" s="106">
        <f t="shared" si="2"/>
        <v>0</v>
      </c>
      <c r="X9" s="106" t="str">
        <f t="shared" si="3"/>
        <v/>
      </c>
      <c r="Y9" s="106" t="str">
        <f t="shared" si="3"/>
        <v/>
      </c>
      <c r="Z9" s="106">
        <f t="shared" si="3"/>
        <v>0</v>
      </c>
      <c r="AA9" s="106" t="str">
        <f t="shared" si="3"/>
        <v/>
      </c>
    </row>
    <row r="10" spans="1:27" ht="15" hidden="1" outlineLevel="1" x14ac:dyDescent="0.25">
      <c r="C10" s="37" t="s">
        <v>576</v>
      </c>
      <c r="D10" s="285" t="str">
        <f>VLOOKUP($C10,'Typologie détaillée'!$E$4:$H$214,3,0)</f>
        <v>Grandes salles de réunion communes</v>
      </c>
      <c r="E10" s="286" t="str">
        <f>VLOOKUP($C10,'Typologie détaillée'!$E$4:$H$214,4,0)</f>
        <v>CSA</v>
      </c>
      <c r="F10" s="142" t="s">
        <v>24</v>
      </c>
      <c r="G10" s="90">
        <v>1</v>
      </c>
      <c r="H10" s="301" t="s">
        <v>1293</v>
      </c>
      <c r="I10" s="90"/>
      <c r="J10" s="90"/>
      <c r="K10" s="456">
        <f>IF(OR(L10="MiN.",L10="SPEC."),N10,M10*N10)</f>
        <v>0</v>
      </c>
      <c r="L10" s="452" t="str">
        <f>VLOOKUP($C10,'Typologie détaillée'!$E$4:$L$214,6,0)</f>
        <v>PERS.</v>
      </c>
      <c r="M10" s="452">
        <f>VLOOKUP($C10,'Typologie détaillée'!$E$4:$L$214,7,0)</f>
        <v>2</v>
      </c>
      <c r="N10" s="310">
        <v>0</v>
      </c>
      <c r="P10" s="129">
        <f t="shared" si="4"/>
        <v>0</v>
      </c>
      <c r="Q10" s="129">
        <f t="shared" si="5"/>
        <v>0</v>
      </c>
      <c r="R10" s="106">
        <f t="shared" si="6"/>
        <v>0</v>
      </c>
      <c r="T10" s="106" t="str">
        <f t="shared" si="2"/>
        <v/>
      </c>
      <c r="U10" s="106" t="str">
        <f t="shared" si="2"/>
        <v/>
      </c>
      <c r="V10" s="106">
        <f t="shared" si="2"/>
        <v>0</v>
      </c>
      <c r="X10" s="106" t="str">
        <f t="shared" si="3"/>
        <v/>
      </c>
      <c r="Y10" s="106" t="str">
        <f t="shared" si="3"/>
        <v/>
      </c>
      <c r="Z10" s="106">
        <f t="shared" si="3"/>
        <v>0</v>
      </c>
      <c r="AA10" s="106" t="str">
        <f t="shared" si="3"/>
        <v/>
      </c>
    </row>
    <row r="11" spans="1:27" ht="15" outlineLevel="1" x14ac:dyDescent="0.25">
      <c r="C11" s="37" t="s">
        <v>576</v>
      </c>
      <c r="D11" s="285" t="str">
        <f>VLOOKUP($C11,'Typologie détaillée'!$E$4:$H$214,3,0)</f>
        <v>Grandes salles de réunion communes</v>
      </c>
      <c r="E11" s="286" t="str">
        <f>VLOOKUP($C11,'Typologie détaillée'!$E$4:$H$214,4,0)</f>
        <v>CSA</v>
      </c>
      <c r="F11" s="142" t="s">
        <v>24</v>
      </c>
      <c r="G11" s="90">
        <v>35</v>
      </c>
      <c r="H11" s="301" t="s">
        <v>1294</v>
      </c>
      <c r="I11" s="90"/>
      <c r="J11" s="90"/>
      <c r="K11" s="309">
        <f t="shared" ref="K11:K14" si="7">IF(OR(L11="MiN.",L11="SPEC."),N11,M11*N11)</f>
        <v>24</v>
      </c>
      <c r="L11" s="452" t="str">
        <f>VLOOKUP($C11,'Typologie détaillée'!$E$4:$L$214,6,0)</f>
        <v>PERS.</v>
      </c>
      <c r="M11" s="452">
        <f>VLOOKUP($C11,'Typologie détaillée'!$E$4:$L$214,7,0)</f>
        <v>2</v>
      </c>
      <c r="N11" s="310">
        <v>12</v>
      </c>
      <c r="P11" s="129">
        <f t="shared" ref="P11:P19" si="8">$G11*I11</f>
        <v>0</v>
      </c>
      <c r="Q11" s="129">
        <f t="shared" ref="Q11:Q19" si="9">$G11*J11</f>
        <v>0</v>
      </c>
      <c r="R11" s="106">
        <f t="shared" ref="R11:R19" si="10">$G11*K11</f>
        <v>840</v>
      </c>
      <c r="T11" s="106" t="str">
        <f t="shared" si="2"/>
        <v/>
      </c>
      <c r="U11" s="106" t="str">
        <f t="shared" si="2"/>
        <v/>
      </c>
      <c r="V11" s="106">
        <f t="shared" si="2"/>
        <v>840</v>
      </c>
      <c r="X11" s="106" t="str">
        <f t="shared" si="3"/>
        <v/>
      </c>
      <c r="Y11" s="106" t="str">
        <f t="shared" si="3"/>
        <v/>
      </c>
      <c r="Z11" s="106">
        <f t="shared" si="3"/>
        <v>840</v>
      </c>
      <c r="AA11" s="106" t="str">
        <f t="shared" si="3"/>
        <v/>
      </c>
    </row>
    <row r="12" spans="1:27" ht="15" outlineLevel="1" x14ac:dyDescent="0.25">
      <c r="C12" s="37" t="s">
        <v>576</v>
      </c>
      <c r="D12" s="285" t="str">
        <f>VLOOKUP($C12,'Typologie détaillée'!$E$4:$H$214,3,0)</f>
        <v>Grandes salles de réunion communes</v>
      </c>
      <c r="E12" s="286" t="str">
        <f>VLOOKUP($C12,'Typologie détaillée'!$E$4:$H$214,4,0)</f>
        <v>CSA</v>
      </c>
      <c r="F12" s="142" t="s">
        <v>24</v>
      </c>
      <c r="G12" s="90">
        <v>18</v>
      </c>
      <c r="H12" s="301" t="s">
        <v>1295</v>
      </c>
      <c r="I12" s="90"/>
      <c r="J12" s="90"/>
      <c r="K12" s="309">
        <f t="shared" si="7"/>
        <v>30</v>
      </c>
      <c r="L12" s="452" t="str">
        <f>VLOOKUP($C12,'Typologie détaillée'!$E$4:$L$214,6,0)</f>
        <v>PERS.</v>
      </c>
      <c r="M12" s="452">
        <f>VLOOKUP($C12,'Typologie détaillée'!$E$4:$L$214,7,0)</f>
        <v>2</v>
      </c>
      <c r="N12" s="310">
        <v>15</v>
      </c>
      <c r="P12" s="129">
        <f t="shared" si="8"/>
        <v>0</v>
      </c>
      <c r="Q12" s="129">
        <f t="shared" si="9"/>
        <v>0</v>
      </c>
      <c r="R12" s="106">
        <f t="shared" si="10"/>
        <v>540</v>
      </c>
      <c r="T12" s="106" t="str">
        <f t="shared" si="2"/>
        <v/>
      </c>
      <c r="U12" s="106" t="str">
        <f t="shared" si="2"/>
        <v/>
      </c>
      <c r="V12" s="106">
        <f t="shared" si="2"/>
        <v>540</v>
      </c>
      <c r="X12" s="106" t="str">
        <f t="shared" si="3"/>
        <v/>
      </c>
      <c r="Y12" s="106" t="str">
        <f t="shared" si="3"/>
        <v/>
      </c>
      <c r="Z12" s="106">
        <f t="shared" si="3"/>
        <v>540</v>
      </c>
      <c r="AA12" s="106" t="str">
        <f t="shared" si="3"/>
        <v/>
      </c>
    </row>
    <row r="13" spans="1:27" ht="15" outlineLevel="1" x14ac:dyDescent="0.25">
      <c r="C13" s="37" t="s">
        <v>576</v>
      </c>
      <c r="D13" s="285" t="str">
        <f>VLOOKUP($C13,'Typologie détaillée'!$E$4:$H$214,3,0)</f>
        <v>Grandes salles de réunion communes</v>
      </c>
      <c r="E13" s="286" t="str">
        <f>VLOOKUP($C13,'Typologie détaillée'!$E$4:$H$214,4,0)</f>
        <v>CSA</v>
      </c>
      <c r="F13" s="142" t="s">
        <v>24</v>
      </c>
      <c r="G13" s="90">
        <v>28</v>
      </c>
      <c r="H13" s="301" t="s">
        <v>1296</v>
      </c>
      <c r="I13" s="90"/>
      <c r="J13" s="90"/>
      <c r="K13" s="309">
        <f t="shared" si="7"/>
        <v>40</v>
      </c>
      <c r="L13" s="452" t="str">
        <f>VLOOKUP($C13,'Typologie détaillée'!$E$4:$L$214,6,0)</f>
        <v>PERS.</v>
      </c>
      <c r="M13" s="452">
        <f>VLOOKUP($C13,'Typologie détaillée'!$E$4:$L$214,7,0)</f>
        <v>2</v>
      </c>
      <c r="N13" s="310">
        <v>20</v>
      </c>
      <c r="P13" s="129">
        <f t="shared" si="8"/>
        <v>0</v>
      </c>
      <c r="Q13" s="129">
        <f t="shared" si="9"/>
        <v>0</v>
      </c>
      <c r="R13" s="106">
        <f t="shared" si="10"/>
        <v>1120</v>
      </c>
      <c r="T13" s="106" t="str">
        <f t="shared" si="2"/>
        <v/>
      </c>
      <c r="U13" s="106" t="str">
        <f t="shared" si="2"/>
        <v/>
      </c>
      <c r="V13" s="106">
        <f t="shared" si="2"/>
        <v>1120</v>
      </c>
      <c r="X13" s="106" t="str">
        <f t="shared" si="3"/>
        <v/>
      </c>
      <c r="Y13" s="106" t="str">
        <f t="shared" si="3"/>
        <v/>
      </c>
      <c r="Z13" s="106">
        <f t="shared" si="3"/>
        <v>1120</v>
      </c>
      <c r="AA13" s="106" t="str">
        <f t="shared" si="3"/>
        <v/>
      </c>
    </row>
    <row r="14" spans="1:27" ht="15" outlineLevel="1" x14ac:dyDescent="0.25">
      <c r="C14" s="37" t="s">
        <v>576</v>
      </c>
      <c r="D14" s="285" t="str">
        <f>VLOOKUP($C14,'Typologie détaillée'!$E$4:$H$214,3,0)</f>
        <v>Grandes salles de réunion communes</v>
      </c>
      <c r="E14" s="286" t="str">
        <f>VLOOKUP($C14,'Typologie détaillée'!$E$4:$H$214,4,0)</f>
        <v>CSA</v>
      </c>
      <c r="F14" s="142" t="s">
        <v>24</v>
      </c>
      <c r="G14" s="90">
        <v>12</v>
      </c>
      <c r="H14" s="301" t="s">
        <v>1298</v>
      </c>
      <c r="I14" s="90"/>
      <c r="J14" s="90"/>
      <c r="K14" s="309">
        <f t="shared" si="7"/>
        <v>60</v>
      </c>
      <c r="L14" s="452" t="str">
        <f>VLOOKUP($C14,'Typologie détaillée'!$E$4:$L$214,6,0)</f>
        <v>PERS.</v>
      </c>
      <c r="M14" s="452">
        <f>VLOOKUP($C14,'Typologie détaillée'!$E$4:$L$214,7,0)</f>
        <v>2</v>
      </c>
      <c r="N14" s="310">
        <v>30</v>
      </c>
      <c r="P14" s="129">
        <f t="shared" si="8"/>
        <v>0</v>
      </c>
      <c r="Q14" s="129">
        <f t="shared" si="9"/>
        <v>0</v>
      </c>
      <c r="R14" s="106">
        <f t="shared" si="10"/>
        <v>720</v>
      </c>
      <c r="T14" s="106" t="str">
        <f t="shared" si="2"/>
        <v/>
      </c>
      <c r="U14" s="106" t="str">
        <f t="shared" si="2"/>
        <v/>
      </c>
      <c r="V14" s="106">
        <f t="shared" si="2"/>
        <v>720</v>
      </c>
      <c r="X14" s="106" t="str">
        <f t="shared" si="3"/>
        <v/>
      </c>
      <c r="Y14" s="106" t="str">
        <f t="shared" si="3"/>
        <v/>
      </c>
      <c r="Z14" s="106">
        <f t="shared" si="3"/>
        <v>720</v>
      </c>
      <c r="AA14" s="106" t="str">
        <f t="shared" si="3"/>
        <v/>
      </c>
    </row>
    <row r="15" spans="1:27" ht="15" outlineLevel="1" x14ac:dyDescent="0.25">
      <c r="C15" s="37" t="s">
        <v>576</v>
      </c>
      <c r="D15" s="285" t="str">
        <f>VLOOKUP($C15,'Typologie détaillée'!$E$4:$H$214,3,0)</f>
        <v>Grandes salles de réunion communes</v>
      </c>
      <c r="E15" s="286" t="str">
        <f>VLOOKUP($C15,'Typologie détaillée'!$E$4:$H$214,4,0)</f>
        <v>CSA</v>
      </c>
      <c r="F15" s="142" t="s">
        <v>24</v>
      </c>
      <c r="G15" s="90">
        <v>4</v>
      </c>
      <c r="H15" s="301" t="s">
        <v>1297</v>
      </c>
      <c r="I15" s="90"/>
      <c r="J15" s="90"/>
      <c r="K15" s="309">
        <f>IF(OR(L15="MiN.",L15="SPEC."),N15,M15*N15)</f>
        <v>100</v>
      </c>
      <c r="L15" s="452" t="str">
        <f>VLOOKUP($C15,'Typologie détaillée'!$E$4:$L$214,6,0)</f>
        <v>PERS.</v>
      </c>
      <c r="M15" s="452">
        <f>VLOOKUP($C15,'Typologie détaillée'!$E$4:$L$214,7,0)</f>
        <v>2</v>
      </c>
      <c r="N15" s="310">
        <v>50</v>
      </c>
      <c r="P15" s="129">
        <f t="shared" si="8"/>
        <v>0</v>
      </c>
      <c r="Q15" s="129">
        <f t="shared" si="9"/>
        <v>0</v>
      </c>
      <c r="R15" s="106">
        <f t="shared" si="10"/>
        <v>400</v>
      </c>
      <c r="T15" s="106" t="str">
        <f t="shared" si="2"/>
        <v/>
      </c>
      <c r="U15" s="106" t="str">
        <f t="shared" si="2"/>
        <v/>
      </c>
      <c r="V15" s="106">
        <f t="shared" si="2"/>
        <v>400</v>
      </c>
      <c r="X15" s="106" t="str">
        <f t="shared" si="3"/>
        <v/>
      </c>
      <c r="Y15" s="106" t="str">
        <f t="shared" si="3"/>
        <v/>
      </c>
      <c r="Z15" s="106">
        <f t="shared" si="3"/>
        <v>400</v>
      </c>
      <c r="AA15" s="106" t="str">
        <f t="shared" si="3"/>
        <v/>
      </c>
    </row>
    <row r="16" spans="1:27" ht="15" outlineLevel="1" x14ac:dyDescent="0.25">
      <c r="C16" s="37" t="s">
        <v>576</v>
      </c>
      <c r="D16" s="285" t="str">
        <f>VLOOKUP($C16,'Typologie détaillée'!$E$4:$H$214,3,0)</f>
        <v>Grandes salles de réunion communes</v>
      </c>
      <c r="E16" s="286" t="str">
        <f>VLOOKUP($C16,'Typologie détaillée'!$E$4:$H$214,4,0)</f>
        <v>CSA</v>
      </c>
      <c r="F16" s="142" t="s">
        <v>24</v>
      </c>
      <c r="G16" s="90">
        <v>1</v>
      </c>
      <c r="H16" s="301" t="s">
        <v>1299</v>
      </c>
      <c r="I16" s="90"/>
      <c r="J16" s="90"/>
      <c r="K16" s="309">
        <f>IF(OR(L16="MiN.",L16="SPEC."),N16,M16*N16)</f>
        <v>200</v>
      </c>
      <c r="L16" s="452" t="str">
        <f>VLOOKUP($C16,'Typologie détaillée'!$E$4:$L$214,6,0)</f>
        <v>PERS.</v>
      </c>
      <c r="M16" s="452">
        <f>VLOOKUP($C16,'Typologie détaillée'!$E$4:$L$214,7,0)</f>
        <v>2</v>
      </c>
      <c r="N16" s="310">
        <v>100</v>
      </c>
      <c r="P16" s="129">
        <f t="shared" si="8"/>
        <v>0</v>
      </c>
      <c r="Q16" s="129">
        <f t="shared" si="9"/>
        <v>0</v>
      </c>
      <c r="R16" s="106">
        <f t="shared" si="10"/>
        <v>200</v>
      </c>
      <c r="T16" s="106" t="str">
        <f t="shared" si="2"/>
        <v/>
      </c>
      <c r="U16" s="106" t="str">
        <f t="shared" si="2"/>
        <v/>
      </c>
      <c r="V16" s="106">
        <f t="shared" si="2"/>
        <v>200</v>
      </c>
      <c r="X16" s="106" t="str">
        <f t="shared" si="3"/>
        <v/>
      </c>
      <c r="Y16" s="106" t="str">
        <f t="shared" si="3"/>
        <v/>
      </c>
      <c r="Z16" s="106">
        <f t="shared" si="3"/>
        <v>200</v>
      </c>
      <c r="AA16" s="106" t="str">
        <f t="shared" si="3"/>
        <v/>
      </c>
    </row>
    <row r="17" spans="1:39" ht="15" outlineLevel="1" x14ac:dyDescent="0.25">
      <c r="C17" s="37" t="s">
        <v>579</v>
      </c>
      <c r="D17" s="285" t="str">
        <f>VLOOKUP($C17,'Typologie détaillée'!$E$4:$H$214,3,0)</f>
        <v>Salles de cours</v>
      </c>
      <c r="E17" s="286" t="str">
        <f>VLOOKUP($C17,'Typologie détaillée'!$E$4:$H$214,4,0)</f>
        <v>CSA</v>
      </c>
      <c r="F17" s="142" t="s">
        <v>24</v>
      </c>
      <c r="G17" s="90">
        <v>6</v>
      </c>
      <c r="H17" s="301" t="s">
        <v>1197</v>
      </c>
      <c r="I17" s="90"/>
      <c r="J17" s="90"/>
      <c r="K17" s="309">
        <f t="shared" ref="K17" si="11">IF(OR(L17="MiN.",L17="SPEC."),N17,M17*N17)</f>
        <v>7.2</v>
      </c>
      <c r="L17" s="452" t="str">
        <f>VLOOKUP($C17,'Typologie détaillée'!$E$4:$L$214,6,0)</f>
        <v>PERS.</v>
      </c>
      <c r="M17" s="452">
        <f>VLOOKUP($C17,'Typologie détaillée'!$E$4:$L$214,7,0)</f>
        <v>1.8</v>
      </c>
      <c r="N17" s="310">
        <v>4</v>
      </c>
      <c r="P17" s="129">
        <f t="shared" si="8"/>
        <v>0</v>
      </c>
      <c r="Q17" s="129">
        <f t="shared" si="9"/>
        <v>0</v>
      </c>
      <c r="R17" s="106">
        <f t="shared" si="10"/>
        <v>43.2</v>
      </c>
      <c r="T17" s="106" t="str">
        <f t="shared" si="2"/>
        <v/>
      </c>
      <c r="U17" s="106" t="str">
        <f t="shared" si="2"/>
        <v/>
      </c>
      <c r="V17" s="106">
        <f t="shared" si="2"/>
        <v>43.2</v>
      </c>
      <c r="X17" s="106" t="str">
        <f t="shared" si="3"/>
        <v/>
      </c>
      <c r="Y17" s="106" t="str">
        <f t="shared" si="3"/>
        <v/>
      </c>
      <c r="Z17" s="106">
        <f t="shared" si="3"/>
        <v>43.2</v>
      </c>
      <c r="AA17" s="106" t="str">
        <f t="shared" si="3"/>
        <v/>
      </c>
    </row>
    <row r="18" spans="1:39" ht="15" outlineLevel="1" x14ac:dyDescent="0.25">
      <c r="C18" s="37" t="s">
        <v>590</v>
      </c>
      <c r="D18" s="285" t="str">
        <f>VLOOKUP($C18,'Typologie détaillée'!$E$4:$H$214,3,0)</f>
        <v>Salles d'opération</v>
      </c>
      <c r="E18" s="286" t="str">
        <f>VLOOKUP($C18,'Typologie détaillée'!$E$4:$H$214,4,0)</f>
        <v>CSA</v>
      </c>
      <c r="F18" s="142" t="s">
        <v>24</v>
      </c>
      <c r="G18" s="90">
        <v>2</v>
      </c>
      <c r="H18" s="301" t="s">
        <v>1193</v>
      </c>
      <c r="I18" s="90"/>
      <c r="J18" s="90"/>
      <c r="K18" s="309">
        <v>60</v>
      </c>
      <c r="L18" s="452" t="str">
        <f>VLOOKUP($C18,'Typologie détaillée'!$E$4:$L$214,6,0)</f>
        <v>SPEC.</v>
      </c>
      <c r="M18" s="452">
        <v>4</v>
      </c>
      <c r="N18" s="310">
        <v>15</v>
      </c>
      <c r="P18" s="129">
        <f t="shared" si="8"/>
        <v>0</v>
      </c>
      <c r="Q18" s="129">
        <f t="shared" si="9"/>
        <v>0</v>
      </c>
      <c r="R18" s="106">
        <f t="shared" si="10"/>
        <v>120</v>
      </c>
      <c r="T18" s="106" t="str">
        <f t="shared" si="2"/>
        <v/>
      </c>
      <c r="U18" s="106" t="str">
        <f t="shared" si="2"/>
        <v/>
      </c>
      <c r="V18" s="106">
        <f t="shared" si="2"/>
        <v>120</v>
      </c>
      <c r="X18" s="106" t="str">
        <f t="shared" si="3"/>
        <v/>
      </c>
      <c r="Y18" s="106" t="str">
        <f t="shared" si="3"/>
        <v/>
      </c>
      <c r="Z18" s="106">
        <f t="shared" si="3"/>
        <v>120</v>
      </c>
      <c r="AA18" s="106" t="str">
        <f t="shared" si="3"/>
        <v/>
      </c>
    </row>
    <row r="19" spans="1:39" ht="15" outlineLevel="1" x14ac:dyDescent="0.25">
      <c r="C19" s="37" t="s">
        <v>585</v>
      </c>
      <c r="D19" s="285" t="str">
        <f>VLOOKUP($C19,'Typologie détaillée'!$E$4:$H$214,3,0)</f>
        <v>Salles d'attente</v>
      </c>
      <c r="E19" s="286" t="str">
        <f>VLOOKUP($C19,'Typologie détaillée'!$E$4:$H$214,4,0)</f>
        <v>CSA</v>
      </c>
      <c r="F19" s="142" t="s">
        <v>24</v>
      </c>
      <c r="G19" s="90">
        <v>5</v>
      </c>
      <c r="H19" s="301" t="s">
        <v>1194</v>
      </c>
      <c r="I19" s="90"/>
      <c r="J19" s="90"/>
      <c r="K19" s="309">
        <v>12</v>
      </c>
      <c r="L19" s="452" t="str">
        <f>VLOOKUP($C19,'Typologie détaillée'!$E$4:$L$214,6,0)</f>
        <v>PERS.</v>
      </c>
      <c r="M19" s="452">
        <v>2</v>
      </c>
      <c r="N19" s="310">
        <v>6</v>
      </c>
      <c r="P19" s="129">
        <f t="shared" si="8"/>
        <v>0</v>
      </c>
      <c r="Q19" s="129">
        <f t="shared" si="9"/>
        <v>0</v>
      </c>
      <c r="R19" s="106">
        <f t="shared" si="10"/>
        <v>60</v>
      </c>
      <c r="T19" s="106" t="str">
        <f t="shared" si="2"/>
        <v/>
      </c>
      <c r="U19" s="106" t="str">
        <f t="shared" si="2"/>
        <v/>
      </c>
      <c r="V19" s="106">
        <f t="shared" si="2"/>
        <v>60</v>
      </c>
      <c r="X19" s="106" t="str">
        <f t="shared" si="3"/>
        <v/>
      </c>
      <c r="Y19" s="106" t="str">
        <f t="shared" si="3"/>
        <v/>
      </c>
      <c r="Z19" s="106">
        <f t="shared" si="3"/>
        <v>60</v>
      </c>
      <c r="AA19" s="106" t="str">
        <f t="shared" si="3"/>
        <v/>
      </c>
    </row>
    <row r="20" spans="1:39" ht="15" outlineLevel="1" x14ac:dyDescent="0.25">
      <c r="C20" s="37" t="s">
        <v>587</v>
      </c>
      <c r="D20" s="285" t="str">
        <f>VLOOKUP($C20,'Typologie détaillée'!$E$4:$H$214,3,0)</f>
        <v>Salles de tribunal</v>
      </c>
      <c r="E20" s="286" t="str">
        <f>VLOOKUP($C20,'Typologie détaillée'!$E$4:$H$214,4,0)</f>
        <v>CSA</v>
      </c>
      <c r="F20" s="142" t="s">
        <v>21</v>
      </c>
      <c r="G20" s="90">
        <v>8</v>
      </c>
      <c r="H20" s="301" t="s">
        <v>1195</v>
      </c>
      <c r="I20" s="90"/>
      <c r="J20" s="90"/>
      <c r="K20" s="309">
        <v>4</v>
      </c>
      <c r="L20" s="452" t="str">
        <f>VLOOKUP($C20,'Typologie détaillée'!$E$4:$L$214,6,0)</f>
        <v>PERS</v>
      </c>
      <c r="M20" s="452">
        <v>2</v>
      </c>
      <c r="N20" s="310">
        <v>2</v>
      </c>
      <c r="P20" s="129">
        <f t="shared" ref="P20:R59" si="12">$G20*I20</f>
        <v>0</v>
      </c>
      <c r="Q20" s="129">
        <f t="shared" ref="Q20:Q59" si="13">$G20*J20</f>
        <v>0</v>
      </c>
      <c r="R20" s="106">
        <f t="shared" ref="R20:R59" si="14">$G20*K20</f>
        <v>32</v>
      </c>
      <c r="T20" s="106" t="str">
        <f t="shared" si="2"/>
        <v/>
      </c>
      <c r="U20" s="106" t="str">
        <f t="shared" si="2"/>
        <v/>
      </c>
      <c r="V20" s="106">
        <f t="shared" si="2"/>
        <v>32</v>
      </c>
      <c r="X20" s="106">
        <f t="shared" si="3"/>
        <v>32</v>
      </c>
      <c r="Y20" s="106" t="str">
        <f t="shared" si="3"/>
        <v/>
      </c>
      <c r="Z20" s="106" t="str">
        <f t="shared" si="3"/>
        <v/>
      </c>
      <c r="AA20" s="106" t="str">
        <f t="shared" si="3"/>
        <v/>
      </c>
    </row>
    <row r="21" spans="1:39" ht="15" outlineLevel="1" x14ac:dyDescent="0.25">
      <c r="A21" s="126"/>
      <c r="B21" s="126"/>
      <c r="C21" s="37" t="s">
        <v>604</v>
      </c>
      <c r="D21" s="285" t="str">
        <f>VLOOKUP($C21,'Typologie détaillée'!$E$4:$H$214,3,0)</f>
        <v>Locaux chauffeurs</v>
      </c>
      <c r="E21" s="286" t="str">
        <f>VLOOKUP($C21,'Typologie détaillée'!$E$4:$H$214,4,0)</f>
        <v>CSA</v>
      </c>
      <c r="F21" s="142" t="s">
        <v>21</v>
      </c>
      <c r="G21" s="90">
        <v>1</v>
      </c>
      <c r="H21" s="455" t="s">
        <v>778</v>
      </c>
      <c r="I21" s="90"/>
      <c r="J21" s="90"/>
      <c r="K21" s="309">
        <f>IF(OR(L21="MiN.",L21="SPEC."),N21,M21*N21)</f>
        <v>24</v>
      </c>
      <c r="L21" s="286" t="str">
        <f>VLOOKUP($C21,'Typologie détaillée'!$E$4:$L$214,6,0)</f>
        <v>PERS</v>
      </c>
      <c r="M21" s="286">
        <f>VLOOKUP($C21,'Typologie détaillée'!$E$4:$L$214,7,0)</f>
        <v>6</v>
      </c>
      <c r="N21" s="310">
        <v>4</v>
      </c>
      <c r="P21" s="129">
        <f t="shared" si="12"/>
        <v>0</v>
      </c>
      <c r="Q21" s="129">
        <v>4</v>
      </c>
      <c r="R21" s="106">
        <f t="shared" si="12"/>
        <v>24</v>
      </c>
      <c r="T21" s="106" t="str">
        <f t="shared" si="2"/>
        <v/>
      </c>
      <c r="U21" s="106" t="str">
        <f t="shared" si="2"/>
        <v/>
      </c>
      <c r="V21" s="106">
        <f t="shared" si="2"/>
        <v>24</v>
      </c>
      <c r="X21" s="106">
        <f t="shared" si="3"/>
        <v>24</v>
      </c>
      <c r="Y21" s="106" t="str">
        <f t="shared" si="3"/>
        <v/>
      </c>
      <c r="Z21" s="106" t="str">
        <f t="shared" si="3"/>
        <v/>
      </c>
      <c r="AA21" s="106" t="str">
        <f t="shared" si="3"/>
        <v/>
      </c>
    </row>
    <row r="22" spans="1:39" s="427" customFormat="1" ht="15" outlineLevel="1" x14ac:dyDescent="0.25">
      <c r="A22" s="450"/>
      <c r="B22" s="450"/>
      <c r="C22" s="37" t="s">
        <v>494</v>
      </c>
      <c r="D22" s="451" t="str">
        <f>VLOOKUP($C22,'Typologie détaillée'!$E$4:$H$214,3,0)</f>
        <v>Locaux "dispaching"</v>
      </c>
      <c r="E22" s="452" t="str">
        <f>VLOOKUP($C22,'Typologie détaillée'!$E$4:$H$214,4,0)</f>
        <v>CSA</v>
      </c>
      <c r="F22" s="142" t="s">
        <v>23</v>
      </c>
      <c r="G22" s="90">
        <v>1</v>
      </c>
      <c r="H22" s="455" t="s">
        <v>781</v>
      </c>
      <c r="I22" s="90"/>
      <c r="J22" s="90"/>
      <c r="K22" s="309">
        <f t="shared" ref="K22" si="15">IF(OR(L22="MiN.",L22="SPEC."),N22,M22*N22)</f>
        <v>87</v>
      </c>
      <c r="L22" s="452" t="str">
        <f>VLOOKUP($C22,'Typologie détaillée'!$E$4:$L$214,6,0)</f>
        <v>MIN.</v>
      </c>
      <c r="M22" s="452">
        <f>VLOOKUP($C22,'Typologie détaillée'!$E$4:$L$214,7,0)</f>
        <v>20</v>
      </c>
      <c r="N22" s="310">
        <v>87</v>
      </c>
      <c r="O22" s="126"/>
      <c r="P22" s="453">
        <f t="shared" si="12"/>
        <v>0</v>
      </c>
      <c r="Q22" s="453">
        <f t="shared" si="12"/>
        <v>0</v>
      </c>
      <c r="R22" s="454">
        <f t="shared" si="12"/>
        <v>87</v>
      </c>
      <c r="S22" s="126"/>
      <c r="T22" s="454" t="str">
        <f t="shared" si="2"/>
        <v/>
      </c>
      <c r="U22" s="454" t="str">
        <f t="shared" si="2"/>
        <v/>
      </c>
      <c r="V22" s="454">
        <f t="shared" si="2"/>
        <v>87</v>
      </c>
      <c r="W22" s="126"/>
      <c r="X22" s="454" t="str">
        <f t="shared" si="3"/>
        <v/>
      </c>
      <c r="Y22" s="454">
        <f t="shared" si="3"/>
        <v>87</v>
      </c>
      <c r="Z22" s="454" t="str">
        <f t="shared" si="3"/>
        <v/>
      </c>
      <c r="AA22" s="454" t="str">
        <f t="shared" si="3"/>
        <v/>
      </c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</row>
    <row r="23" spans="1:39" s="427" customFormat="1" ht="15" outlineLevel="1" x14ac:dyDescent="0.25">
      <c r="A23" s="450"/>
      <c r="B23" s="450"/>
      <c r="C23" s="37" t="s">
        <v>494</v>
      </c>
      <c r="D23" s="451" t="str">
        <f>VLOOKUP($C23,'Typologie détaillée'!$E$4:$H$214,3,0)</f>
        <v>Locaux "dispaching"</v>
      </c>
      <c r="E23" s="452" t="str">
        <f>VLOOKUP($C23,'Typologie détaillée'!$E$4:$H$214,4,0)</f>
        <v>CSA</v>
      </c>
      <c r="F23" s="142" t="s">
        <v>23</v>
      </c>
      <c r="G23" s="90">
        <v>1</v>
      </c>
      <c r="H23" s="455" t="s">
        <v>782</v>
      </c>
      <c r="I23" s="90"/>
      <c r="J23" s="90"/>
      <c r="K23" s="309">
        <f>IF(OR(L23="MiN.",L23="SPEC."),N23,M23*N23)</f>
        <v>118</v>
      </c>
      <c r="L23" s="452" t="str">
        <f>VLOOKUP($C23,'Typologie détaillée'!$E$4:$L$214,6,0)</f>
        <v>MIN.</v>
      </c>
      <c r="M23" s="452">
        <f>VLOOKUP($C23,'Typologie détaillée'!$E$4:$L$214,7,0)</f>
        <v>20</v>
      </c>
      <c r="N23" s="310">
        <v>118</v>
      </c>
      <c r="O23" s="126"/>
      <c r="P23" s="453">
        <f t="shared" si="12"/>
        <v>0</v>
      </c>
      <c r="Q23" s="453">
        <f t="shared" si="12"/>
        <v>0</v>
      </c>
      <c r="R23" s="454">
        <f t="shared" si="12"/>
        <v>118</v>
      </c>
      <c r="S23" s="126"/>
      <c r="T23" s="454" t="str">
        <f t="shared" si="2"/>
        <v/>
      </c>
      <c r="U23" s="454" t="str">
        <f t="shared" si="2"/>
        <v/>
      </c>
      <c r="V23" s="454">
        <f t="shared" si="2"/>
        <v>118</v>
      </c>
      <c r="W23" s="126"/>
      <c r="X23" s="454" t="str">
        <f t="shared" si="3"/>
        <v/>
      </c>
      <c r="Y23" s="454">
        <f t="shared" si="3"/>
        <v>118</v>
      </c>
      <c r="Z23" s="454" t="str">
        <f t="shared" si="3"/>
        <v/>
      </c>
      <c r="AA23" s="454" t="str">
        <f t="shared" si="3"/>
        <v/>
      </c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</row>
    <row r="24" spans="1:39" ht="15" outlineLevel="1" x14ac:dyDescent="0.25">
      <c r="C24" s="37" t="s">
        <v>548</v>
      </c>
      <c r="D24" s="285" t="str">
        <f>VLOOKUP($C24,'Typologie détaillée'!$E$4:$H$214,3,0)</f>
        <v>Imprimeries</v>
      </c>
      <c r="E24" s="286" t="str">
        <f>VLOOKUP($C24,'Typologie détaillée'!$E$4:$H$214,4,0)</f>
        <v>CSA</v>
      </c>
      <c r="F24" s="142" t="s">
        <v>23</v>
      </c>
      <c r="G24" s="90">
        <v>1</v>
      </c>
      <c r="H24" s="455" t="s">
        <v>784</v>
      </c>
      <c r="I24" s="90"/>
      <c r="J24" s="90"/>
      <c r="K24" s="309">
        <f>IF(OR(L24="MiN.",L24="SPEC."),N24,M24*N24)</f>
        <v>293</v>
      </c>
      <c r="L24" s="286" t="str">
        <f>VLOOKUP($C24,'Typologie détaillée'!$E$4:$L$214,6,0)</f>
        <v>SPEC.</v>
      </c>
      <c r="M24" s="286">
        <f>VLOOKUP($C24,'Typologie détaillée'!$E$4:$L$214,7,0)</f>
        <v>0</v>
      </c>
      <c r="N24" s="310">
        <v>293</v>
      </c>
      <c r="P24" s="129"/>
      <c r="Q24" s="129"/>
      <c r="R24" s="106"/>
      <c r="T24" s="106"/>
      <c r="U24" s="106"/>
      <c r="V24" s="106"/>
      <c r="X24" s="106"/>
      <c r="Y24" s="106"/>
      <c r="Z24" s="106"/>
      <c r="AA24" s="106"/>
    </row>
    <row r="25" spans="1:39" ht="15" outlineLevel="1" x14ac:dyDescent="0.25">
      <c r="C25" s="37" t="s">
        <v>495</v>
      </c>
      <c r="D25" s="285" t="str">
        <f>VLOOKUP($C25,'Typologie détaillée'!$E$4:$H$214,3,0)</f>
        <v>Locaux "gardiens"</v>
      </c>
      <c r="E25" s="286" t="str">
        <f>VLOOKUP($C25,'Typologie détaillée'!$E$4:$H$214,4,0)</f>
        <v>CSA</v>
      </c>
      <c r="F25" s="142" t="s">
        <v>24</v>
      </c>
      <c r="G25" s="90">
        <v>1</v>
      </c>
      <c r="H25" s="455" t="s">
        <v>977</v>
      </c>
      <c r="I25" s="90"/>
      <c r="J25" s="90"/>
      <c r="K25" s="309">
        <f t="shared" ref="K25:K27" si="16">IF(OR(L25="MiN.",L25="SPEC."),N25,M25*N25)</f>
        <v>0</v>
      </c>
      <c r="L25" s="286" t="str">
        <f>VLOOKUP($C25,'Typologie détaillée'!$E$4:$L$214,6,0)</f>
        <v>PERS.</v>
      </c>
      <c r="M25" s="286">
        <f>VLOOKUP($C25,'Typologie détaillée'!$E$4:$L$214,7,0)</f>
        <v>0</v>
      </c>
      <c r="N25" s="310">
        <v>0</v>
      </c>
      <c r="P25" s="129">
        <f t="shared" ref="P25:R25" si="17">$G25*I25</f>
        <v>0</v>
      </c>
      <c r="Q25" s="129">
        <f t="shared" si="17"/>
        <v>0</v>
      </c>
      <c r="R25" s="106">
        <f t="shared" si="17"/>
        <v>0</v>
      </c>
      <c r="T25" s="106" t="str">
        <f t="shared" ref="T25:V28" si="18">IF($E25=T$4,$R25,"")</f>
        <v/>
      </c>
      <c r="U25" s="106" t="str">
        <f t="shared" si="18"/>
        <v/>
      </c>
      <c r="V25" s="106">
        <f t="shared" si="18"/>
        <v>0</v>
      </c>
      <c r="X25" s="106" t="str">
        <f t="shared" ref="X25:AA28" si="19">IF($F25=X$4,$R25,"")</f>
        <v/>
      </c>
      <c r="Y25" s="106" t="str">
        <f t="shared" si="19"/>
        <v/>
      </c>
      <c r="Z25" s="106">
        <f t="shared" si="19"/>
        <v>0</v>
      </c>
      <c r="AA25" s="106" t="str">
        <f t="shared" si="19"/>
        <v/>
      </c>
    </row>
    <row r="26" spans="1:39" ht="15" outlineLevel="1" x14ac:dyDescent="0.25">
      <c r="C26" s="37" t="s">
        <v>495</v>
      </c>
      <c r="D26" s="285" t="str">
        <f>VLOOKUP($C26,'Typologie détaillée'!$E$4:$H$214,3,0)</f>
        <v>Locaux "gardiens"</v>
      </c>
      <c r="E26" s="286" t="str">
        <f>VLOOKUP($C26,'Typologie détaillée'!$E$4:$H$214,4,0)</f>
        <v>CSA</v>
      </c>
      <c r="F26" s="142" t="s">
        <v>24</v>
      </c>
      <c r="G26" s="90">
        <v>1</v>
      </c>
      <c r="H26" s="455" t="s">
        <v>978</v>
      </c>
      <c r="I26" s="90"/>
      <c r="J26" s="90"/>
      <c r="K26" s="309">
        <f t="shared" si="16"/>
        <v>0</v>
      </c>
      <c r="L26" s="286" t="str">
        <f>VLOOKUP($C26,'Typologie détaillée'!$E$4:$L$214,6,0)</f>
        <v>PERS.</v>
      </c>
      <c r="M26" s="286">
        <f>VLOOKUP($C26,'Typologie détaillée'!$E$4:$L$214,7,0)</f>
        <v>0</v>
      </c>
      <c r="N26" s="310">
        <v>0</v>
      </c>
      <c r="P26" s="129"/>
      <c r="Q26" s="129"/>
      <c r="R26" s="106"/>
      <c r="T26" s="106"/>
      <c r="U26" s="106"/>
      <c r="V26" s="106"/>
      <c r="X26" s="106"/>
      <c r="Y26" s="106"/>
      <c r="Z26" s="106"/>
      <c r="AA26" s="106"/>
    </row>
    <row r="27" spans="1:39" ht="15" outlineLevel="1" x14ac:dyDescent="0.25">
      <c r="C27" s="37" t="s">
        <v>458</v>
      </c>
      <c r="D27" s="285" t="str">
        <f>VLOOKUP($C27,'Typologie détaillée'!$E$4:$H$214,3,0)</f>
        <v>Conciergeries</v>
      </c>
      <c r="E27" s="286" t="str">
        <f>VLOOKUP($C27,'Typologie détaillée'!$E$4:$H$214,4,0)</f>
        <v>CSA</v>
      </c>
      <c r="F27" s="142" t="s">
        <v>23</v>
      </c>
      <c r="G27" s="90">
        <v>1</v>
      </c>
      <c r="H27" s="455" t="s">
        <v>789</v>
      </c>
      <c r="I27" s="90"/>
      <c r="J27" s="90"/>
      <c r="K27" s="309">
        <f t="shared" si="16"/>
        <v>63</v>
      </c>
      <c r="L27" s="286" t="str">
        <f>VLOOKUP($C27,'Typologie détaillée'!$E$4:$L$214,6,0)</f>
        <v>SPEC.</v>
      </c>
      <c r="M27" s="286">
        <f>VLOOKUP($C27,'Typologie détaillée'!$E$4:$L$214,7,0)</f>
        <v>0</v>
      </c>
      <c r="N27" s="310">
        <v>63</v>
      </c>
      <c r="P27" s="129">
        <f t="shared" ref="P27:R28" si="20">$G27*I27</f>
        <v>0</v>
      </c>
      <c r="Q27" s="129">
        <f t="shared" si="20"/>
        <v>0</v>
      </c>
      <c r="R27" s="106">
        <f t="shared" si="20"/>
        <v>63</v>
      </c>
      <c r="T27" s="106" t="str">
        <f t="shared" si="18"/>
        <v/>
      </c>
      <c r="U27" s="106" t="str">
        <f t="shared" si="18"/>
        <v/>
      </c>
      <c r="V27" s="106">
        <f t="shared" si="18"/>
        <v>63</v>
      </c>
      <c r="X27" s="106" t="str">
        <f t="shared" si="19"/>
        <v/>
      </c>
      <c r="Y27" s="106">
        <f t="shared" si="19"/>
        <v>63</v>
      </c>
      <c r="Z27" s="106" t="str">
        <f t="shared" si="19"/>
        <v/>
      </c>
      <c r="AA27" s="106" t="str">
        <f t="shared" si="19"/>
        <v/>
      </c>
    </row>
    <row r="28" spans="1:39" ht="15" outlineLevel="1" x14ac:dyDescent="0.25">
      <c r="C28" s="37" t="s">
        <v>458</v>
      </c>
      <c r="D28" s="285" t="str">
        <f>VLOOKUP($C28,'Typologie détaillée'!$E$4:$H$214,3,0)</f>
        <v>Conciergeries</v>
      </c>
      <c r="E28" s="286" t="str">
        <f>VLOOKUP($C28,'Typologie détaillée'!$E$4:$H$214,4,0)</f>
        <v>CSA</v>
      </c>
      <c r="F28" s="142" t="s">
        <v>23</v>
      </c>
      <c r="G28" s="90">
        <v>1</v>
      </c>
      <c r="H28" s="455" t="s">
        <v>791</v>
      </c>
      <c r="I28" s="90"/>
      <c r="J28" s="90"/>
      <c r="K28" s="309">
        <f>IF(OR(L28="MiN.",L28="SPEC."),N28,M28*N28)</f>
        <v>149</v>
      </c>
      <c r="L28" s="286" t="str">
        <f>VLOOKUP($C28,'Typologie détaillée'!$E$4:$L$214,6,0)</f>
        <v>SPEC.</v>
      </c>
      <c r="M28" s="286">
        <f>VLOOKUP($C28,'Typologie détaillée'!$E$4:$L$214,7,0)</f>
        <v>0</v>
      </c>
      <c r="N28" s="310">
        <v>149</v>
      </c>
      <c r="P28" s="129">
        <f t="shared" si="20"/>
        <v>0</v>
      </c>
      <c r="Q28" s="129">
        <f t="shared" si="20"/>
        <v>0</v>
      </c>
      <c r="R28" s="106">
        <f t="shared" si="20"/>
        <v>149</v>
      </c>
      <c r="T28" s="106" t="str">
        <f t="shared" si="18"/>
        <v/>
      </c>
      <c r="U28" s="106" t="str">
        <f t="shared" si="18"/>
        <v/>
      </c>
      <c r="V28" s="106">
        <f t="shared" si="18"/>
        <v>149</v>
      </c>
      <c r="X28" s="106" t="str">
        <f t="shared" si="19"/>
        <v/>
      </c>
      <c r="Y28" s="106">
        <f t="shared" si="19"/>
        <v>149</v>
      </c>
      <c r="Z28" s="106" t="str">
        <f t="shared" si="19"/>
        <v/>
      </c>
      <c r="AA28" s="106" t="str">
        <f t="shared" si="19"/>
        <v/>
      </c>
    </row>
    <row r="29" spans="1:39" ht="15" outlineLevel="1" x14ac:dyDescent="0.25">
      <c r="C29" s="37" t="s">
        <v>480</v>
      </c>
      <c r="D29" s="285" t="str">
        <f>VLOOKUP($C29,'Typologie détaillée'!$E$4:$H$214,3,0)</f>
        <v>Cuisine</v>
      </c>
      <c r="E29" s="286" t="str">
        <f>VLOOKUP($C29,'Typologie détaillée'!$E$4:$H$214,4,0)</f>
        <v>CSA</v>
      </c>
      <c r="F29" s="142" t="s">
        <v>24</v>
      </c>
      <c r="G29" s="90">
        <v>1</v>
      </c>
      <c r="H29" s="455" t="s">
        <v>1190</v>
      </c>
      <c r="I29" s="90"/>
      <c r="J29" s="90"/>
      <c r="K29" s="309">
        <f>IF(OR(L29="MiN.",L29="SPEC."),N29,M29*N29)*0+N29</f>
        <v>580</v>
      </c>
      <c r="L29" s="286" t="str">
        <f>VLOOKUP($C29,'Typologie détaillée'!$E$4:$L$214,6,0)</f>
        <v>COUVERT</v>
      </c>
      <c r="M29" s="286">
        <f>VLOOKUP($C29,'Typologie détaillée'!$E$4:$L$214,7,0)</f>
        <v>0</v>
      </c>
      <c r="N29" s="310">
        <v>580</v>
      </c>
      <c r="P29" s="129">
        <f>$G29*I29</f>
        <v>0</v>
      </c>
      <c r="Q29" s="129">
        <f>$G29*J29</f>
        <v>0</v>
      </c>
      <c r="R29" s="106">
        <f>$G29*K29</f>
        <v>580</v>
      </c>
      <c r="T29" s="106" t="str">
        <f>IF($E29=T$4,$R29,"")</f>
        <v/>
      </c>
      <c r="U29" s="106" t="str">
        <f>IF($E29=U$4,$R29,"")</f>
        <v/>
      </c>
      <c r="V29" s="106">
        <f>IF($E29=V$4,$R29,"")</f>
        <v>580</v>
      </c>
      <c r="X29" s="106" t="str">
        <f>IF($F29=X$4,$R29,"")</f>
        <v/>
      </c>
      <c r="Y29" s="106" t="str">
        <f>IF($F29=Y$4,$R29,"")</f>
        <v/>
      </c>
      <c r="Z29" s="106">
        <f>IF($F29=Z$4,$R29,"")</f>
        <v>580</v>
      </c>
      <c r="AA29" s="106" t="str">
        <f>IF($F29=AA$4,$R29,"")</f>
        <v/>
      </c>
    </row>
    <row r="30" spans="1:39" ht="15" outlineLevel="1" x14ac:dyDescent="0.25">
      <c r="C30" s="37" t="s">
        <v>549</v>
      </c>
      <c r="D30" s="285" t="str">
        <f>VLOOKUP($C30,'Typologie détaillée'!$E$4:$H$214,3,0)</f>
        <v>Ateliers de fabrication</v>
      </c>
      <c r="E30" s="286" t="str">
        <f>VLOOKUP($C30,'Typologie détaillée'!$E$4:$H$214,4,0)</f>
        <v>CSA</v>
      </c>
      <c r="F30" s="142" t="s">
        <v>24</v>
      </c>
      <c r="G30" s="90">
        <v>1</v>
      </c>
      <c r="H30" s="455" t="s">
        <v>790</v>
      </c>
      <c r="I30" s="90"/>
      <c r="J30" s="90"/>
      <c r="K30" s="309">
        <f t="shared" ref="K30:K50" si="21">IF(OR(L30="MiN.",L30="SPEC."),N30,M30*N30)</f>
        <v>61</v>
      </c>
      <c r="L30" s="286" t="str">
        <f>VLOOKUP($C30,'Typologie détaillée'!$E$4:$L$214,6,0)</f>
        <v>SPEC.</v>
      </c>
      <c r="M30" s="286">
        <f>VLOOKUP($C30,'Typologie détaillée'!$E$4:$L$214,7,0)</f>
        <v>0</v>
      </c>
      <c r="N30" s="310">
        <v>61</v>
      </c>
      <c r="P30" s="129">
        <f t="shared" ref="P30:R46" si="22">$G30*I30</f>
        <v>0</v>
      </c>
      <c r="Q30" s="129">
        <f t="shared" si="22"/>
        <v>0</v>
      </c>
      <c r="R30" s="106">
        <f t="shared" si="22"/>
        <v>61</v>
      </c>
      <c r="T30" s="106" t="str">
        <f t="shared" ref="T30:V46" si="23">IF($E30=T$4,$R30,"")</f>
        <v/>
      </c>
      <c r="U30" s="106" t="str">
        <f t="shared" si="23"/>
        <v/>
      </c>
      <c r="V30" s="106">
        <f t="shared" si="23"/>
        <v>61</v>
      </c>
      <c r="X30" s="106" t="str">
        <f t="shared" ref="X30:AA46" si="24">IF($F30=X$4,$R30,"")</f>
        <v/>
      </c>
      <c r="Y30" s="106" t="str">
        <f t="shared" si="24"/>
        <v/>
      </c>
      <c r="Z30" s="106">
        <f t="shared" si="24"/>
        <v>61</v>
      </c>
      <c r="AA30" s="106" t="str">
        <f t="shared" si="24"/>
        <v/>
      </c>
    </row>
    <row r="31" spans="1:39" ht="15" outlineLevel="1" x14ac:dyDescent="0.25">
      <c r="C31" s="37" t="s">
        <v>609</v>
      </c>
      <c r="D31" s="285" t="str">
        <f>VLOOKUP($C31,'Typologie détaillée'!$E$4:$H$214,3,0)</f>
        <v>Accueil commun (général)</v>
      </c>
      <c r="E31" s="286" t="str">
        <f>VLOOKUP($C31,'Typologie détaillée'!$E$4:$H$214,4,0)</f>
        <v>CSA</v>
      </c>
      <c r="F31" s="142" t="s">
        <v>23</v>
      </c>
      <c r="G31" s="90">
        <v>1</v>
      </c>
      <c r="H31" s="455" t="s">
        <v>792</v>
      </c>
      <c r="I31" s="90"/>
      <c r="J31" s="90"/>
      <c r="K31" s="309">
        <f t="shared" si="21"/>
        <v>35</v>
      </c>
      <c r="L31" s="286" t="str">
        <f>VLOOKUP($C31,'Typologie détaillée'!$E$4:$L$214,6,0)</f>
        <v>MIN.</v>
      </c>
      <c r="M31" s="286">
        <f>VLOOKUP($C31,'Typologie détaillée'!$E$4:$L$214,7,0)</f>
        <v>40</v>
      </c>
      <c r="N31" s="310">
        <v>35</v>
      </c>
      <c r="P31" s="129">
        <f t="shared" si="22"/>
        <v>0</v>
      </c>
      <c r="Q31" s="129">
        <v>4</v>
      </c>
      <c r="R31" s="106">
        <f t="shared" si="22"/>
        <v>35</v>
      </c>
      <c r="T31" s="106" t="str">
        <f t="shared" si="23"/>
        <v/>
      </c>
      <c r="U31" s="106" t="str">
        <f t="shared" si="23"/>
        <v/>
      </c>
      <c r="V31" s="106">
        <f t="shared" si="23"/>
        <v>35</v>
      </c>
      <c r="X31" s="106" t="str">
        <f t="shared" si="24"/>
        <v/>
      </c>
      <c r="Y31" s="106">
        <f t="shared" si="24"/>
        <v>35</v>
      </c>
      <c r="Z31" s="106" t="str">
        <f t="shared" si="24"/>
        <v/>
      </c>
      <c r="AA31" s="106" t="str">
        <f t="shared" si="24"/>
        <v/>
      </c>
    </row>
    <row r="32" spans="1:39" ht="15" outlineLevel="1" x14ac:dyDescent="0.25">
      <c r="C32" s="37" t="s">
        <v>609</v>
      </c>
      <c r="D32" s="285" t="str">
        <f>VLOOKUP($C32,'Typologie détaillée'!$E$4:$H$214,3,0)</f>
        <v>Accueil commun (général)</v>
      </c>
      <c r="E32" s="286" t="str">
        <f>VLOOKUP($C32,'Typologie détaillée'!$E$4:$H$214,4,0)</f>
        <v>CSA</v>
      </c>
      <c r="F32" s="142" t="s">
        <v>23</v>
      </c>
      <c r="G32" s="90">
        <v>1</v>
      </c>
      <c r="H32" s="455" t="s">
        <v>793</v>
      </c>
      <c r="I32" s="90"/>
      <c r="J32" s="90"/>
      <c r="K32" s="309">
        <f t="shared" si="21"/>
        <v>135</v>
      </c>
      <c r="L32" s="286" t="str">
        <f>VLOOKUP($C32,'Typologie détaillée'!$E$4:$L$214,6,0)</f>
        <v>MIN.</v>
      </c>
      <c r="M32" s="286">
        <f>VLOOKUP($C32,'Typologie détaillée'!$E$4:$L$214,7,0)</f>
        <v>40</v>
      </c>
      <c r="N32" s="310">
        <v>135</v>
      </c>
      <c r="P32" s="129">
        <f t="shared" si="22"/>
        <v>0</v>
      </c>
      <c r="Q32" s="129">
        <v>5</v>
      </c>
      <c r="R32" s="106">
        <f t="shared" si="22"/>
        <v>135</v>
      </c>
      <c r="T32" s="106" t="str">
        <f t="shared" si="23"/>
        <v/>
      </c>
      <c r="U32" s="106" t="str">
        <f t="shared" si="23"/>
        <v/>
      </c>
      <c r="V32" s="106">
        <f t="shared" si="23"/>
        <v>135</v>
      </c>
      <c r="X32" s="106" t="str">
        <f t="shared" si="24"/>
        <v/>
      </c>
      <c r="Y32" s="106">
        <f t="shared" si="24"/>
        <v>135</v>
      </c>
      <c r="Z32" s="106" t="str">
        <f t="shared" si="24"/>
        <v/>
      </c>
      <c r="AA32" s="106" t="str">
        <f t="shared" si="24"/>
        <v/>
      </c>
    </row>
    <row r="33" spans="1:85" ht="15" outlineLevel="1" x14ac:dyDescent="0.25">
      <c r="C33" s="37" t="s">
        <v>572</v>
      </c>
      <c r="D33" s="285" t="str">
        <f>VLOOKUP($C33,'Typologie détaillée'!$E$4:$H$214,3,0)</f>
        <v>Salle serveur</v>
      </c>
      <c r="E33" s="286" t="str">
        <f>VLOOKUP($C33,'Typologie détaillée'!$E$4:$H$214,4,0)</f>
        <v>CSA</v>
      </c>
      <c r="F33" s="142" t="s">
        <v>25</v>
      </c>
      <c r="G33" s="90">
        <v>1</v>
      </c>
      <c r="H33" s="455" t="s">
        <v>794</v>
      </c>
      <c r="I33" s="90"/>
      <c r="J33" s="90"/>
      <c r="K33" s="309">
        <f t="shared" si="21"/>
        <v>608</v>
      </c>
      <c r="L33" s="286" t="str">
        <f>VLOOKUP($C33,'Typologie détaillée'!$E$4:$L$214,6,0)</f>
        <v>RACKS</v>
      </c>
      <c r="M33" s="286">
        <f>VLOOKUP($C33,'Typologie détaillée'!$E$4:$L$214,7,0)</f>
        <v>4</v>
      </c>
      <c r="N33" s="310">
        <f>608/4</f>
        <v>152</v>
      </c>
      <c r="P33" s="129">
        <f t="shared" si="22"/>
        <v>0</v>
      </c>
      <c r="Q33" s="129">
        <f t="shared" si="22"/>
        <v>0</v>
      </c>
      <c r="R33" s="106">
        <f t="shared" si="22"/>
        <v>608</v>
      </c>
      <c r="T33" s="106" t="str">
        <f t="shared" si="23"/>
        <v/>
      </c>
      <c r="U33" s="106" t="str">
        <f t="shared" si="23"/>
        <v/>
      </c>
      <c r="V33" s="106">
        <f t="shared" si="23"/>
        <v>608</v>
      </c>
      <c r="X33" s="106" t="str">
        <f t="shared" si="24"/>
        <v/>
      </c>
      <c r="Y33" s="106" t="str">
        <f t="shared" si="24"/>
        <v/>
      </c>
      <c r="Z33" s="106" t="str">
        <f t="shared" si="24"/>
        <v/>
      </c>
      <c r="AA33" s="106">
        <f t="shared" si="24"/>
        <v>608</v>
      </c>
    </row>
    <row r="34" spans="1:85" s="427" customFormat="1" ht="15" outlineLevel="1" x14ac:dyDescent="0.25">
      <c r="A34" s="126"/>
      <c r="B34" s="126"/>
      <c r="C34" s="37" t="s">
        <v>423</v>
      </c>
      <c r="D34" s="451" t="str">
        <f>VLOOKUP($C34,'Typologie détaillée'!$E$4:$H$214,3,0)</f>
        <v>Douches pour équipements sportifs</v>
      </c>
      <c r="E34" s="452" t="str">
        <f>VLOOKUP($C34,'Typologie détaillée'!$E$4:$H$214,4,0)</f>
        <v>CSA</v>
      </c>
      <c r="F34" s="142" t="s">
        <v>24</v>
      </c>
      <c r="G34" s="90">
        <v>1</v>
      </c>
      <c r="H34" s="455" t="s">
        <v>802</v>
      </c>
      <c r="I34" s="90"/>
      <c r="J34" s="90"/>
      <c r="K34" s="309">
        <f t="shared" si="21"/>
        <v>8</v>
      </c>
      <c r="L34" s="452" t="str">
        <f>VLOOKUP($C34,'Typologie détaillée'!$E$4:$L$214,6,0)</f>
        <v>PERS.</v>
      </c>
      <c r="M34" s="452">
        <v>2</v>
      </c>
      <c r="N34" s="310">
        <v>4</v>
      </c>
      <c r="O34" s="126"/>
      <c r="P34" s="453">
        <f t="shared" si="22"/>
        <v>0</v>
      </c>
      <c r="Q34" s="453">
        <f t="shared" si="22"/>
        <v>0</v>
      </c>
      <c r="R34" s="454">
        <f t="shared" si="22"/>
        <v>8</v>
      </c>
      <c r="S34" s="126"/>
      <c r="T34" s="454" t="str">
        <f t="shared" si="23"/>
        <v/>
      </c>
      <c r="U34" s="454" t="str">
        <f t="shared" si="23"/>
        <v/>
      </c>
      <c r="V34" s="454">
        <f t="shared" si="23"/>
        <v>8</v>
      </c>
      <c r="W34" s="126"/>
      <c r="X34" s="454" t="str">
        <f t="shared" si="24"/>
        <v/>
      </c>
      <c r="Y34" s="454" t="str">
        <f t="shared" si="24"/>
        <v/>
      </c>
      <c r="Z34" s="454">
        <f t="shared" si="24"/>
        <v>8</v>
      </c>
      <c r="AA34" s="454" t="str">
        <f t="shared" si="24"/>
        <v/>
      </c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</row>
    <row r="35" spans="1:85" s="427" customFormat="1" ht="15" outlineLevel="1" x14ac:dyDescent="0.25">
      <c r="A35" s="126"/>
      <c r="B35" s="126"/>
      <c r="C35" s="37" t="s">
        <v>423</v>
      </c>
      <c r="D35" s="451" t="str">
        <f>VLOOKUP($C35,'Typologie détaillée'!$E$4:$H$214,3,0)</f>
        <v>Douches pour équipements sportifs</v>
      </c>
      <c r="E35" s="452" t="str">
        <f>VLOOKUP($C35,'Typologie détaillée'!$E$4:$H$214,4,0)</f>
        <v>CSA</v>
      </c>
      <c r="F35" s="142" t="s">
        <v>24</v>
      </c>
      <c r="G35" s="90">
        <v>1</v>
      </c>
      <c r="H35" s="455" t="s">
        <v>803</v>
      </c>
      <c r="I35" s="90"/>
      <c r="J35" s="90"/>
      <c r="K35" s="309">
        <f t="shared" si="21"/>
        <v>8</v>
      </c>
      <c r="L35" s="452" t="str">
        <f>VLOOKUP($C35,'Typologie détaillée'!$E$4:$L$214,6,0)</f>
        <v>PERS.</v>
      </c>
      <c r="M35" s="452">
        <v>2</v>
      </c>
      <c r="N35" s="310">
        <v>4</v>
      </c>
      <c r="O35" s="126"/>
      <c r="P35" s="453">
        <f t="shared" si="22"/>
        <v>0</v>
      </c>
      <c r="Q35" s="453">
        <f t="shared" si="22"/>
        <v>0</v>
      </c>
      <c r="R35" s="454">
        <f t="shared" si="22"/>
        <v>8</v>
      </c>
      <c r="S35" s="126"/>
      <c r="T35" s="454" t="str">
        <f t="shared" si="23"/>
        <v/>
      </c>
      <c r="U35" s="454" t="str">
        <f t="shared" si="23"/>
        <v/>
      </c>
      <c r="V35" s="454">
        <f t="shared" si="23"/>
        <v>8</v>
      </c>
      <c r="W35" s="126"/>
      <c r="X35" s="454" t="str">
        <f t="shared" si="24"/>
        <v/>
      </c>
      <c r="Y35" s="454" t="str">
        <f t="shared" si="24"/>
        <v/>
      </c>
      <c r="Z35" s="454">
        <f t="shared" si="24"/>
        <v>8</v>
      </c>
      <c r="AA35" s="454" t="str">
        <f t="shared" si="24"/>
        <v/>
      </c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</row>
    <row r="36" spans="1:85" s="427" customFormat="1" ht="15" outlineLevel="1" x14ac:dyDescent="0.25">
      <c r="A36" s="126"/>
      <c r="B36" s="126"/>
      <c r="C36" s="37" t="s">
        <v>594</v>
      </c>
      <c r="D36" s="451" t="str">
        <f>VLOOKUP($C36,'Typologie détaillée'!$E$4:$H$214,3,0)</f>
        <v>Vestiaires pour personnel opérationnel</v>
      </c>
      <c r="E36" s="452" t="str">
        <f>VLOOKUP($C36,'Typologie détaillée'!$E$4:$H$214,4,0)</f>
        <v>CSA</v>
      </c>
      <c r="F36" s="142" t="s">
        <v>24</v>
      </c>
      <c r="G36" s="90">
        <v>1</v>
      </c>
      <c r="H36" s="455" t="s">
        <v>805</v>
      </c>
      <c r="I36" s="90"/>
      <c r="J36" s="90"/>
      <c r="K36" s="309">
        <f t="shared" si="21"/>
        <v>40</v>
      </c>
      <c r="L36" s="452" t="str">
        <f>VLOOKUP($C36,'Typologie détaillée'!$E$4:$L$214,6,0)</f>
        <v>PERS.</v>
      </c>
      <c r="M36" s="452">
        <v>2</v>
      </c>
      <c r="N36" s="310">
        <f>40/2</f>
        <v>20</v>
      </c>
      <c r="O36" s="126"/>
      <c r="P36" s="453">
        <f t="shared" si="22"/>
        <v>0</v>
      </c>
      <c r="Q36" s="453">
        <f t="shared" si="22"/>
        <v>0</v>
      </c>
      <c r="R36" s="454">
        <f t="shared" si="22"/>
        <v>40</v>
      </c>
      <c r="S36" s="126"/>
      <c r="T36" s="454" t="str">
        <f t="shared" si="23"/>
        <v/>
      </c>
      <c r="U36" s="454" t="str">
        <f t="shared" si="23"/>
        <v/>
      </c>
      <c r="V36" s="454">
        <f t="shared" si="23"/>
        <v>40</v>
      </c>
      <c r="W36" s="126"/>
      <c r="X36" s="454" t="str">
        <f t="shared" si="24"/>
        <v/>
      </c>
      <c r="Y36" s="454" t="str">
        <f t="shared" si="24"/>
        <v/>
      </c>
      <c r="Z36" s="454">
        <f t="shared" si="24"/>
        <v>40</v>
      </c>
      <c r="AA36" s="454" t="str">
        <f t="shared" si="24"/>
        <v/>
      </c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</row>
    <row r="37" spans="1:85" s="427" customFormat="1" ht="15" outlineLevel="1" x14ac:dyDescent="0.25">
      <c r="A37" s="126"/>
      <c r="B37" s="126"/>
      <c r="C37" s="37" t="s">
        <v>594</v>
      </c>
      <c r="D37" s="451" t="str">
        <f>VLOOKUP($C37,'Typologie détaillée'!$E$4:$H$214,3,0)</f>
        <v>Vestiaires pour personnel opérationnel</v>
      </c>
      <c r="E37" s="452" t="str">
        <f>VLOOKUP($C37,'Typologie détaillée'!$E$4:$H$214,4,0)</f>
        <v>CSA</v>
      </c>
      <c r="F37" s="142" t="s">
        <v>24</v>
      </c>
      <c r="G37" s="90">
        <v>1</v>
      </c>
      <c r="H37" s="455" t="s">
        <v>804</v>
      </c>
      <c r="I37" s="90"/>
      <c r="J37" s="90"/>
      <c r="K37" s="309">
        <f t="shared" si="21"/>
        <v>62.95</v>
      </c>
      <c r="L37" s="452" t="str">
        <f>VLOOKUP($C37,'Typologie détaillée'!$E$4:$L$214,6,0)</f>
        <v>PERS.</v>
      </c>
      <c r="M37" s="452">
        <v>2</v>
      </c>
      <c r="N37" s="310">
        <f>62.95/2</f>
        <v>31.475000000000001</v>
      </c>
      <c r="O37" s="126"/>
      <c r="P37" s="453">
        <f t="shared" si="22"/>
        <v>0</v>
      </c>
      <c r="Q37" s="453">
        <f t="shared" si="22"/>
        <v>0</v>
      </c>
      <c r="R37" s="454">
        <f t="shared" si="22"/>
        <v>62.95</v>
      </c>
      <c r="S37" s="126"/>
      <c r="T37" s="454" t="str">
        <f t="shared" si="23"/>
        <v/>
      </c>
      <c r="U37" s="454" t="str">
        <f t="shared" si="23"/>
        <v/>
      </c>
      <c r="V37" s="454">
        <f t="shared" si="23"/>
        <v>62.95</v>
      </c>
      <c r="W37" s="126"/>
      <c r="X37" s="454" t="str">
        <f t="shared" si="24"/>
        <v/>
      </c>
      <c r="Y37" s="454" t="str">
        <f t="shared" si="24"/>
        <v/>
      </c>
      <c r="Z37" s="454">
        <f t="shared" si="24"/>
        <v>62.95</v>
      </c>
      <c r="AA37" s="454" t="str">
        <f t="shared" si="24"/>
        <v/>
      </c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</row>
    <row r="38" spans="1:85" ht="15" outlineLevel="1" x14ac:dyDescent="0.25">
      <c r="C38" s="37" t="s">
        <v>480</v>
      </c>
      <c r="D38" s="285" t="str">
        <f>VLOOKUP($C38,'Typologie détaillée'!$E$4:$H$214,3,0)</f>
        <v>Cuisine</v>
      </c>
      <c r="E38" s="286" t="str">
        <f>VLOOKUP($C38,'Typologie détaillée'!$E$4:$H$214,4,0)</f>
        <v>CSA</v>
      </c>
      <c r="F38" s="142" t="s">
        <v>24</v>
      </c>
      <c r="G38" s="90">
        <v>1</v>
      </c>
      <c r="H38" s="455" t="s">
        <v>1189</v>
      </c>
      <c r="I38" s="90"/>
      <c r="J38" s="90"/>
      <c r="K38" s="309">
        <v>1600</v>
      </c>
      <c r="L38" s="452" t="str">
        <f>VLOOKUP($C38,'Typologie détaillée'!$E$4:$L$214,6,0)</f>
        <v>COUVERT</v>
      </c>
      <c r="M38" s="452">
        <f>VLOOKUP($C38,'Typologie détaillée'!$E$4:$L$214,7,0)</f>
        <v>0</v>
      </c>
      <c r="N38" s="310">
        <v>850</v>
      </c>
      <c r="P38" s="129">
        <f t="shared" si="22"/>
        <v>0</v>
      </c>
      <c r="Q38" s="129">
        <f t="shared" si="22"/>
        <v>0</v>
      </c>
      <c r="R38" s="454">
        <f t="shared" si="22"/>
        <v>1600</v>
      </c>
      <c r="T38" s="106" t="str">
        <f t="shared" si="23"/>
        <v/>
      </c>
      <c r="U38" s="106" t="str">
        <f t="shared" si="23"/>
        <v/>
      </c>
      <c r="V38" s="106">
        <f t="shared" si="23"/>
        <v>1600</v>
      </c>
      <c r="X38" s="106" t="str">
        <f t="shared" si="24"/>
        <v/>
      </c>
      <c r="Y38" s="106" t="str">
        <f t="shared" si="24"/>
        <v/>
      </c>
      <c r="Z38" s="106">
        <f t="shared" si="24"/>
        <v>1600</v>
      </c>
      <c r="AA38" s="106" t="str">
        <f t="shared" si="24"/>
        <v/>
      </c>
    </row>
    <row r="39" spans="1:85" ht="15" outlineLevel="1" x14ac:dyDescent="0.25">
      <c r="C39" s="37" t="s">
        <v>538</v>
      </c>
      <c r="D39" s="285" t="str">
        <f>VLOOKUP($C39,'Typologie détaillée'!$E$4:$H$214,3,0)</f>
        <v>Stock périsable cuisine/restaurant</v>
      </c>
      <c r="E39" s="286" t="str">
        <f>VLOOKUP($C39,'Typologie détaillée'!$E$4:$H$214,4,0)</f>
        <v>CSA</v>
      </c>
      <c r="F39" s="142" t="s">
        <v>24</v>
      </c>
      <c r="G39" s="90">
        <v>1</v>
      </c>
      <c r="H39" s="455" t="s">
        <v>806</v>
      </c>
      <c r="I39" s="90"/>
      <c r="J39" s="90"/>
      <c r="K39" s="309">
        <f t="shared" si="21"/>
        <v>108.64</v>
      </c>
      <c r="L39" s="286" t="str">
        <f>VLOOKUP($C39,'Typologie détaillée'!$E$4:$L$214,6,0)</f>
        <v>SPEC.</v>
      </c>
      <c r="M39" s="286">
        <f>VLOOKUP($C39,'Typologie détaillée'!$E$4:$L$214,7,0)</f>
        <v>0</v>
      </c>
      <c r="N39" s="310">
        <v>108.64</v>
      </c>
      <c r="P39" s="129">
        <f t="shared" si="22"/>
        <v>0</v>
      </c>
      <c r="Q39" s="129">
        <f t="shared" si="22"/>
        <v>0</v>
      </c>
      <c r="R39" s="106">
        <f t="shared" si="22"/>
        <v>108.64</v>
      </c>
      <c r="T39" s="106" t="str">
        <f t="shared" si="23"/>
        <v/>
      </c>
      <c r="U39" s="106" t="str">
        <f t="shared" si="23"/>
        <v/>
      </c>
      <c r="V39" s="106">
        <f t="shared" si="23"/>
        <v>108.64</v>
      </c>
      <c r="X39" s="106" t="str">
        <f t="shared" si="24"/>
        <v/>
      </c>
      <c r="Y39" s="106" t="str">
        <f t="shared" si="24"/>
        <v/>
      </c>
      <c r="Z39" s="106">
        <f t="shared" si="24"/>
        <v>108.64</v>
      </c>
      <c r="AA39" s="106" t="str">
        <f t="shared" si="24"/>
        <v/>
      </c>
    </row>
    <row r="40" spans="1:85" ht="15" outlineLevel="1" x14ac:dyDescent="0.25">
      <c r="C40" s="37" t="s">
        <v>541</v>
      </c>
      <c r="D40" s="285" t="str">
        <f>VLOOKUP($C40,'Typologie détaillée'!$E$4:$H$214,3,0)</f>
        <v>Chambres froides pour restaurant</v>
      </c>
      <c r="E40" s="286" t="str">
        <f>VLOOKUP($C40,'Typologie détaillée'!$E$4:$H$214,4,0)</f>
        <v>CSA</v>
      </c>
      <c r="F40" s="142" t="s">
        <v>24</v>
      </c>
      <c r="G40" s="90">
        <v>1</v>
      </c>
      <c r="H40" s="455" t="s">
        <v>980</v>
      </c>
      <c r="I40" s="90"/>
      <c r="J40" s="90"/>
      <c r="K40" s="309">
        <f t="shared" si="21"/>
        <v>45.5</v>
      </c>
      <c r="L40" s="286" t="str">
        <f>VLOOKUP($C40,'Typologie détaillée'!$E$4:$L$214,6,0)</f>
        <v>SPEC.</v>
      </c>
      <c r="M40" s="286">
        <f>VLOOKUP($C40,'Typologie détaillée'!$E$4:$L$214,7,0)</f>
        <v>0</v>
      </c>
      <c r="N40" s="310">
        <v>45.5</v>
      </c>
      <c r="P40" s="129">
        <f t="shared" si="22"/>
        <v>0</v>
      </c>
      <c r="Q40" s="129">
        <f t="shared" si="22"/>
        <v>0</v>
      </c>
      <c r="R40" s="106">
        <f t="shared" si="22"/>
        <v>45.5</v>
      </c>
      <c r="T40" s="106" t="str">
        <f t="shared" si="23"/>
        <v/>
      </c>
      <c r="U40" s="106" t="str">
        <f t="shared" si="23"/>
        <v/>
      </c>
      <c r="V40" s="106">
        <f t="shared" si="23"/>
        <v>45.5</v>
      </c>
      <c r="X40" s="106" t="str">
        <f t="shared" si="24"/>
        <v/>
      </c>
      <c r="Y40" s="106" t="str">
        <f t="shared" si="24"/>
        <v/>
      </c>
      <c r="Z40" s="106">
        <f t="shared" si="24"/>
        <v>45.5</v>
      </c>
      <c r="AA40" s="106" t="str">
        <f t="shared" si="24"/>
        <v/>
      </c>
    </row>
    <row r="41" spans="1:85" ht="15" outlineLevel="1" x14ac:dyDescent="0.25">
      <c r="C41" s="37" t="s">
        <v>580</v>
      </c>
      <c r="D41" s="285" t="str">
        <f>VLOOKUP($C41,'Typologie détaillée'!$E$4:$H$214,3,0)</f>
        <v>Bibliothèques</v>
      </c>
      <c r="E41" s="286" t="str">
        <f>VLOOKUP($C41,'Typologie détaillée'!$E$4:$H$214,4,0)</f>
        <v>CSA</v>
      </c>
      <c r="F41" s="142" t="s">
        <v>25</v>
      </c>
      <c r="G41" s="90">
        <v>1</v>
      </c>
      <c r="H41" s="455" t="s">
        <v>807</v>
      </c>
      <c r="I41" s="90"/>
      <c r="J41" s="90"/>
      <c r="K41" s="309">
        <f t="shared" si="21"/>
        <v>0</v>
      </c>
      <c r="L41" s="286" t="str">
        <f>VLOOKUP($C41,'Typologie détaillée'!$E$4:$L$214,6,0)</f>
        <v>M. COURANT</v>
      </c>
      <c r="M41" s="286">
        <f>VLOOKUP($C41,'Typologie détaillée'!$E$4:$L$214,7,0)</f>
        <v>0</v>
      </c>
      <c r="N41" s="310">
        <f t="shared" ref="N41:N42" si="25">M41</f>
        <v>0</v>
      </c>
      <c r="P41" s="129">
        <f t="shared" si="22"/>
        <v>0</v>
      </c>
      <c r="Q41" s="129">
        <f t="shared" si="22"/>
        <v>0</v>
      </c>
      <c r="R41" s="106">
        <f t="shared" si="22"/>
        <v>0</v>
      </c>
      <c r="T41" s="106" t="str">
        <f t="shared" si="23"/>
        <v/>
      </c>
      <c r="U41" s="106" t="str">
        <f t="shared" si="23"/>
        <v/>
      </c>
      <c r="V41" s="106">
        <f t="shared" si="23"/>
        <v>0</v>
      </c>
      <c r="X41" s="106" t="str">
        <f t="shared" si="24"/>
        <v/>
      </c>
      <c r="Y41" s="106" t="str">
        <f t="shared" si="24"/>
        <v/>
      </c>
      <c r="Z41" s="106" t="str">
        <f t="shared" si="24"/>
        <v/>
      </c>
      <c r="AA41" s="106">
        <f t="shared" si="24"/>
        <v>0</v>
      </c>
    </row>
    <row r="42" spans="1:85" ht="15" outlineLevel="1" x14ac:dyDescent="0.25">
      <c r="C42" s="37" t="s">
        <v>631</v>
      </c>
      <c r="D42" s="285" t="str">
        <f>VLOOKUP($C42,'Typologie détaillée'!$E$4:$H$214,3,0)</f>
        <v>Paysager - Call Center</v>
      </c>
      <c r="E42" s="286" t="str">
        <f>VLOOKUP($C42,'Typologie détaillée'!$E$4:$H$214,4,0)</f>
        <v>OA</v>
      </c>
      <c r="F42" s="142" t="s">
        <v>23</v>
      </c>
      <c r="G42" s="90">
        <v>1</v>
      </c>
      <c r="H42" s="455" t="s">
        <v>840</v>
      </c>
      <c r="I42" s="90"/>
      <c r="J42" s="90"/>
      <c r="K42" s="309">
        <f t="shared" si="21"/>
        <v>0</v>
      </c>
      <c r="L42" s="286">
        <f>VLOOKUP($C42,'Typologie détaillée'!$E$4:$L$214,6,0)</f>
        <v>0</v>
      </c>
      <c r="M42" s="286">
        <f>VLOOKUP($C42,'Typologie détaillée'!$E$4:$L$214,7,0)</f>
        <v>0</v>
      </c>
      <c r="N42" s="310">
        <f t="shared" si="25"/>
        <v>0</v>
      </c>
      <c r="P42" s="129">
        <f t="shared" si="22"/>
        <v>0</v>
      </c>
      <c r="Q42" s="129">
        <v>25</v>
      </c>
      <c r="R42" s="106">
        <f t="shared" si="22"/>
        <v>0</v>
      </c>
      <c r="T42" s="106">
        <f t="shared" si="23"/>
        <v>0</v>
      </c>
      <c r="U42" s="106" t="str">
        <f t="shared" si="23"/>
        <v/>
      </c>
      <c r="V42" s="106" t="str">
        <f t="shared" si="23"/>
        <v/>
      </c>
      <c r="X42" s="106" t="str">
        <f t="shared" si="24"/>
        <v/>
      </c>
      <c r="Y42" s="106">
        <f t="shared" si="24"/>
        <v>0</v>
      </c>
      <c r="Z42" s="106" t="str">
        <f t="shared" si="24"/>
        <v/>
      </c>
      <c r="AA42" s="106" t="str">
        <f t="shared" si="24"/>
        <v/>
      </c>
    </row>
    <row r="43" spans="1:85" ht="15" outlineLevel="1" x14ac:dyDescent="0.25">
      <c r="C43" s="37" t="s">
        <v>568</v>
      </c>
      <c r="D43" s="285" t="str">
        <f>VLOOKUP($C43,'Typologie détaillée'!$E$4:$H$214,3,0)</f>
        <v>Laboratoires</v>
      </c>
      <c r="E43" s="286" t="str">
        <f>VLOOKUP($C43,'Typologie détaillée'!$E$4:$H$214,4,0)</f>
        <v>CSA</v>
      </c>
      <c r="F43" s="142" t="s">
        <v>25</v>
      </c>
      <c r="G43" s="90">
        <v>1</v>
      </c>
      <c r="H43" s="455" t="s">
        <v>981</v>
      </c>
      <c r="I43" s="90"/>
      <c r="J43" s="90"/>
      <c r="K43" s="309">
        <f t="shared" si="21"/>
        <v>600</v>
      </c>
      <c r="L43" s="452" t="str">
        <f>VLOOKUP($C43,'Typologie détaillée'!$E$4:$L$214,6,0)</f>
        <v>SPEC.</v>
      </c>
      <c r="M43" s="286">
        <f>VLOOKUP($C43,'Typologie détaillée'!$E$4:$L$214,7,0)</f>
        <v>0</v>
      </c>
      <c r="N43" s="310">
        <v>600</v>
      </c>
      <c r="P43" s="129">
        <f t="shared" si="22"/>
        <v>0</v>
      </c>
      <c r="Q43" s="129">
        <v>0</v>
      </c>
      <c r="R43" s="106">
        <f t="shared" si="22"/>
        <v>600</v>
      </c>
      <c r="T43" s="106" t="str">
        <f t="shared" si="23"/>
        <v/>
      </c>
      <c r="U43" s="106" t="str">
        <f t="shared" si="23"/>
        <v/>
      </c>
      <c r="V43" s="106">
        <f t="shared" si="23"/>
        <v>600</v>
      </c>
      <c r="X43" s="106" t="str">
        <f t="shared" si="24"/>
        <v/>
      </c>
      <c r="Y43" s="106" t="str">
        <f t="shared" si="24"/>
        <v/>
      </c>
      <c r="Z43" s="106" t="str">
        <f t="shared" si="24"/>
        <v/>
      </c>
      <c r="AA43" s="106">
        <f t="shared" si="24"/>
        <v>600</v>
      </c>
    </row>
    <row r="44" spans="1:85" ht="15" outlineLevel="1" x14ac:dyDescent="0.25">
      <c r="C44" s="37" t="s">
        <v>568</v>
      </c>
      <c r="D44" s="285" t="str">
        <f>VLOOKUP($C44,'Typologie détaillée'!$E$4:$H$214,3,0)</f>
        <v>Laboratoires</v>
      </c>
      <c r="E44" s="286" t="str">
        <f>VLOOKUP($C44,'Typologie détaillée'!$E$4:$H$214,4,0)</f>
        <v>CSA</v>
      </c>
      <c r="F44" s="142" t="s">
        <v>25</v>
      </c>
      <c r="G44" s="90">
        <v>1</v>
      </c>
      <c r="H44" s="455" t="s">
        <v>1030</v>
      </c>
      <c r="I44" s="90"/>
      <c r="J44" s="90"/>
      <c r="K44" s="309">
        <f t="shared" si="21"/>
        <v>40</v>
      </c>
      <c r="L44" s="452" t="str">
        <f>VLOOKUP($C44,'Typologie détaillée'!$E$4:$L$214,6,0)</f>
        <v>SPEC.</v>
      </c>
      <c r="M44" s="286">
        <f>VLOOKUP($C44,'Typologie détaillée'!$E$4:$L$214,7,0)</f>
        <v>0</v>
      </c>
      <c r="N44" s="310">
        <v>40</v>
      </c>
      <c r="P44" s="129">
        <f t="shared" si="22"/>
        <v>0</v>
      </c>
      <c r="Q44" s="129"/>
      <c r="R44" s="106">
        <f t="shared" si="22"/>
        <v>40</v>
      </c>
      <c r="T44" s="106" t="str">
        <f t="shared" si="23"/>
        <v/>
      </c>
      <c r="U44" s="106" t="str">
        <f t="shared" si="23"/>
        <v/>
      </c>
      <c r="V44" s="106">
        <f t="shared" si="23"/>
        <v>40</v>
      </c>
      <c r="X44" s="106" t="str">
        <f t="shared" si="24"/>
        <v/>
      </c>
      <c r="Y44" s="106" t="str">
        <f t="shared" si="24"/>
        <v/>
      </c>
      <c r="Z44" s="106" t="str">
        <f t="shared" si="24"/>
        <v/>
      </c>
      <c r="AA44" s="106">
        <f t="shared" si="24"/>
        <v>40</v>
      </c>
    </row>
    <row r="45" spans="1:85" ht="15" outlineLevel="1" x14ac:dyDescent="0.25">
      <c r="C45" s="37" t="s">
        <v>624</v>
      </c>
      <c r="D45" s="285" t="str">
        <f>VLOOKUP($C45,'Typologie détaillée'!$E$4:$H$214,3,0)</f>
        <v>Dépôts de matériel informatique (stocks)</v>
      </c>
      <c r="E45" s="286" t="str">
        <f>VLOOKUP($C45,'Typologie détaillée'!$E$4:$H$214,4,0)</f>
        <v>CSA</v>
      </c>
      <c r="F45" s="142" t="s">
        <v>25</v>
      </c>
      <c r="G45" s="90">
        <v>1</v>
      </c>
      <c r="H45" s="455" t="s">
        <v>982</v>
      </c>
      <c r="I45" s="90"/>
      <c r="J45" s="90"/>
      <c r="K45" s="309">
        <f t="shared" si="21"/>
        <v>648.53</v>
      </c>
      <c r="L45" s="452" t="str">
        <f>VLOOKUP($C45,'Typologie détaillée'!$E$4:$L$214,6,0)</f>
        <v>SPEC.</v>
      </c>
      <c r="M45" s="286">
        <f>VLOOKUP($C45,'Typologie détaillée'!$E$4:$L$214,7,0)</f>
        <v>0</v>
      </c>
      <c r="N45" s="457">
        <v>648.53</v>
      </c>
      <c r="P45" s="129">
        <f t="shared" si="22"/>
        <v>0</v>
      </c>
      <c r="Q45" s="129">
        <v>6</v>
      </c>
      <c r="R45" s="106">
        <f t="shared" si="22"/>
        <v>648.53</v>
      </c>
      <c r="T45" s="106" t="str">
        <f t="shared" si="23"/>
        <v/>
      </c>
      <c r="U45" s="106" t="str">
        <f t="shared" si="23"/>
        <v/>
      </c>
      <c r="V45" s="106">
        <f t="shared" si="23"/>
        <v>648.53</v>
      </c>
      <c r="X45" s="106" t="str">
        <f t="shared" si="24"/>
        <v/>
      </c>
      <c r="Y45" s="106" t="str">
        <f t="shared" si="24"/>
        <v/>
      </c>
      <c r="Z45" s="106" t="str">
        <f t="shared" si="24"/>
        <v/>
      </c>
      <c r="AA45" s="106">
        <f t="shared" si="24"/>
        <v>648.53</v>
      </c>
    </row>
    <row r="46" spans="1:85" ht="15" outlineLevel="1" x14ac:dyDescent="0.25">
      <c r="C46" s="37" t="s">
        <v>536</v>
      </c>
      <c r="D46" s="285" t="str">
        <f>VLOOKUP($C46,'Typologie détaillée'!$E$4:$H$214,3,0)</f>
        <v>Local "tri-sélectif"</v>
      </c>
      <c r="E46" s="286" t="str">
        <f>VLOOKUP($C46,'Typologie détaillée'!$E$4:$H$214,4,0)</f>
        <v>CSA</v>
      </c>
      <c r="F46" s="142" t="s">
        <v>25</v>
      </c>
      <c r="G46" s="90">
        <v>1</v>
      </c>
      <c r="H46" s="455" t="s">
        <v>983</v>
      </c>
      <c r="I46" s="90"/>
      <c r="J46" s="90"/>
      <c r="K46" s="309">
        <f t="shared" si="21"/>
        <v>82.35</v>
      </c>
      <c r="L46" s="452" t="str">
        <f>VLOOKUP($C46,'Typologie détaillée'!$E$4:$L$214,6,0)</f>
        <v>SPEC.</v>
      </c>
      <c r="M46" s="286">
        <f>VLOOKUP($C46,'Typologie détaillée'!$E$4:$L$214,7,0)</f>
        <v>0</v>
      </c>
      <c r="N46" s="310">
        <v>82.35</v>
      </c>
      <c r="P46" s="129">
        <f t="shared" si="22"/>
        <v>0</v>
      </c>
      <c r="Q46" s="129">
        <v>6</v>
      </c>
      <c r="R46" s="106">
        <f t="shared" si="22"/>
        <v>82.35</v>
      </c>
      <c r="T46" s="106" t="str">
        <f t="shared" si="23"/>
        <v/>
      </c>
      <c r="U46" s="106" t="str">
        <f t="shared" si="23"/>
        <v/>
      </c>
      <c r="V46" s="106">
        <f t="shared" si="23"/>
        <v>82.35</v>
      </c>
      <c r="X46" s="106" t="str">
        <f t="shared" si="24"/>
        <v/>
      </c>
      <c r="Y46" s="106" t="str">
        <f t="shared" si="24"/>
        <v/>
      </c>
      <c r="Z46" s="106" t="str">
        <f t="shared" si="24"/>
        <v/>
      </c>
      <c r="AA46" s="106">
        <f t="shared" si="24"/>
        <v>82.35</v>
      </c>
    </row>
    <row r="47" spans="1:85" ht="15" outlineLevel="1" x14ac:dyDescent="0.25">
      <c r="C47" s="37" t="s">
        <v>536</v>
      </c>
      <c r="D47" s="285" t="str">
        <f>VLOOKUP($C47,'Typologie détaillée'!$E$4:$H$214,3,0)</f>
        <v>Local "tri-sélectif"</v>
      </c>
      <c r="E47" s="286" t="str">
        <f>VLOOKUP($C47,'Typologie détaillée'!$E$4:$H$214,4,0)</f>
        <v>CSA</v>
      </c>
      <c r="F47" s="142" t="s">
        <v>25</v>
      </c>
      <c r="G47" s="90">
        <v>1</v>
      </c>
      <c r="H47" s="455" t="s">
        <v>984</v>
      </c>
      <c r="I47" s="90"/>
      <c r="J47" s="90"/>
      <c r="K47" s="309">
        <f t="shared" si="21"/>
        <v>43.91</v>
      </c>
      <c r="L47" s="452" t="str">
        <f>VLOOKUP($C47,'Typologie détaillée'!$E$4:$L$214,6,0)</f>
        <v>SPEC.</v>
      </c>
      <c r="M47" s="286">
        <f>VLOOKUP($C47,'Typologie détaillée'!$E$4:$L$214,7,0)</f>
        <v>0</v>
      </c>
      <c r="N47" s="310">
        <v>43.91</v>
      </c>
      <c r="P47" s="129">
        <f t="shared" ref="P47:P55" si="26">$G47*I47</f>
        <v>0</v>
      </c>
      <c r="Q47" s="129">
        <v>6</v>
      </c>
      <c r="R47" s="106">
        <f t="shared" ref="R47:R55" si="27">$G47*K47</f>
        <v>43.91</v>
      </c>
      <c r="T47" s="106" t="str">
        <f t="shared" ref="T47:V55" si="28">IF($E47=T$4,$R47,"")</f>
        <v/>
      </c>
      <c r="U47" s="106" t="str">
        <f t="shared" si="28"/>
        <v/>
      </c>
      <c r="V47" s="106">
        <f t="shared" si="28"/>
        <v>43.91</v>
      </c>
      <c r="X47" s="106" t="str">
        <f t="shared" ref="X47:AA55" si="29">IF($F47=X$4,$R47,"")</f>
        <v/>
      </c>
      <c r="Y47" s="106" t="str">
        <f t="shared" si="29"/>
        <v/>
      </c>
      <c r="Z47" s="106" t="str">
        <f t="shared" si="29"/>
        <v/>
      </c>
      <c r="AA47" s="106">
        <f t="shared" si="29"/>
        <v>43.91</v>
      </c>
    </row>
    <row r="48" spans="1:85" ht="15" outlineLevel="1" x14ac:dyDescent="0.25">
      <c r="C48" s="37" t="s">
        <v>603</v>
      </c>
      <c r="D48" s="285" t="str">
        <f>VLOOKUP($C48,'Typologie détaillée'!$E$4:$H$214,3,0)</f>
        <v>Locaux photocopie / imprimant / print corner</v>
      </c>
      <c r="E48" s="286" t="str">
        <f>VLOOKUP($C48,'Typologie détaillée'!$E$4:$H$214,4,0)</f>
        <v>LSA</v>
      </c>
      <c r="F48" s="142" t="s">
        <v>24</v>
      </c>
      <c r="G48" s="90">
        <v>1</v>
      </c>
      <c r="H48" s="455" t="s">
        <v>985</v>
      </c>
      <c r="I48" s="90"/>
      <c r="J48" s="90"/>
      <c r="K48" s="309">
        <f t="shared" si="21"/>
        <v>0</v>
      </c>
      <c r="L48" s="452">
        <f>VLOOKUP($C48,'Typologie détaillée'!$E$4:$L$214,6,0)</f>
        <v>0</v>
      </c>
      <c r="M48" s="286">
        <f>VLOOKUP($C48,'Typologie détaillée'!$E$4:$L$214,7,0)</f>
        <v>0</v>
      </c>
      <c r="N48" s="310">
        <v>0</v>
      </c>
      <c r="P48" s="129">
        <f t="shared" si="26"/>
        <v>0</v>
      </c>
      <c r="Q48" s="129">
        <v>7</v>
      </c>
      <c r="R48" s="106">
        <f t="shared" si="27"/>
        <v>0</v>
      </c>
      <c r="T48" s="106" t="str">
        <f t="shared" si="28"/>
        <v/>
      </c>
      <c r="U48" s="106">
        <f t="shared" si="28"/>
        <v>0</v>
      </c>
      <c r="V48" s="106" t="str">
        <f t="shared" si="28"/>
        <v/>
      </c>
      <c r="X48" s="106" t="str">
        <f t="shared" si="29"/>
        <v/>
      </c>
      <c r="Y48" s="106" t="str">
        <f t="shared" si="29"/>
        <v/>
      </c>
      <c r="Z48" s="106">
        <f t="shared" si="29"/>
        <v>0</v>
      </c>
      <c r="AA48" s="106" t="str">
        <f t="shared" si="29"/>
        <v/>
      </c>
    </row>
    <row r="49" spans="1:27" ht="15" outlineLevel="1" x14ac:dyDescent="0.25">
      <c r="C49" s="37" t="s">
        <v>391</v>
      </c>
      <c r="D49" s="285" t="str">
        <f>VLOOKUP($C49,'Typologie détaillée'!$E$4:$H$214,3,0)</f>
        <v>Locaux data / patch</v>
      </c>
      <c r="E49" s="286" t="str">
        <f>VLOOKUP($C49,'Typologie détaillée'!$E$4:$H$214,4,0)</f>
        <v>LSA</v>
      </c>
      <c r="F49" s="142" t="s">
        <v>24</v>
      </c>
      <c r="G49" s="90">
        <v>1</v>
      </c>
      <c r="H49" s="455" t="s">
        <v>986</v>
      </c>
      <c r="I49" s="90"/>
      <c r="J49" s="90"/>
      <c r="K49" s="309">
        <f t="shared" si="21"/>
        <v>0</v>
      </c>
      <c r="L49" s="452">
        <f>VLOOKUP($C49,'Typologie détaillée'!$E$4:$L$214,6,0)</f>
        <v>0</v>
      </c>
      <c r="M49" s="286">
        <f>VLOOKUP($C49,'Typologie détaillée'!$E$4:$L$214,7,0)</f>
        <v>0</v>
      </c>
      <c r="N49" s="310">
        <v>354.94</v>
      </c>
      <c r="P49" s="129">
        <f t="shared" si="26"/>
        <v>0</v>
      </c>
      <c r="Q49" s="129">
        <v>8</v>
      </c>
      <c r="R49" s="106">
        <f t="shared" si="27"/>
        <v>0</v>
      </c>
      <c r="T49" s="106" t="str">
        <f t="shared" si="28"/>
        <v/>
      </c>
      <c r="U49" s="106">
        <f t="shared" si="28"/>
        <v>0</v>
      </c>
      <c r="V49" s="106" t="str">
        <f t="shared" si="28"/>
        <v/>
      </c>
      <c r="X49" s="106" t="str">
        <f t="shared" si="29"/>
        <v/>
      </c>
      <c r="Y49" s="106" t="str">
        <f t="shared" si="29"/>
        <v/>
      </c>
      <c r="Z49" s="106">
        <f t="shared" si="29"/>
        <v>0</v>
      </c>
      <c r="AA49" s="106" t="str">
        <f t="shared" si="29"/>
        <v/>
      </c>
    </row>
    <row r="50" spans="1:27" ht="15" outlineLevel="1" x14ac:dyDescent="0.25">
      <c r="C50" s="37" t="s">
        <v>568</v>
      </c>
      <c r="D50" s="285" t="str">
        <f>VLOOKUP($C50,'Typologie détaillée'!$E$4:$H$214,3,0)</f>
        <v>Laboratoires</v>
      </c>
      <c r="E50" s="286" t="str">
        <f>VLOOKUP($C50,'Typologie détaillée'!$E$4:$H$214,4,0)</f>
        <v>CSA</v>
      </c>
      <c r="F50" s="142" t="s">
        <v>24</v>
      </c>
      <c r="G50" s="90">
        <v>1</v>
      </c>
      <c r="H50" s="455" t="s">
        <v>987</v>
      </c>
      <c r="I50" s="90"/>
      <c r="J50" s="90"/>
      <c r="K50" s="309">
        <f t="shared" si="21"/>
        <v>100.15</v>
      </c>
      <c r="L50" s="452" t="str">
        <f>VLOOKUP($C50,'Typologie détaillée'!$E$4:$L$214,6,0)</f>
        <v>SPEC.</v>
      </c>
      <c r="M50" s="286">
        <f>VLOOKUP($C50,'Typologie détaillée'!$E$4:$L$214,7,0)</f>
        <v>0</v>
      </c>
      <c r="N50" s="310">
        <v>100.15</v>
      </c>
      <c r="P50" s="129">
        <f t="shared" si="26"/>
        <v>0</v>
      </c>
      <c r="Q50" s="129">
        <v>9</v>
      </c>
      <c r="R50" s="106">
        <f t="shared" si="27"/>
        <v>100.15</v>
      </c>
      <c r="T50" s="106" t="str">
        <f t="shared" si="28"/>
        <v/>
      </c>
      <c r="U50" s="106" t="str">
        <f t="shared" si="28"/>
        <v/>
      </c>
      <c r="V50" s="106">
        <f t="shared" si="28"/>
        <v>100.15</v>
      </c>
      <c r="X50" s="106" t="str">
        <f t="shared" si="29"/>
        <v/>
      </c>
      <c r="Y50" s="106" t="str">
        <f t="shared" si="29"/>
        <v/>
      </c>
      <c r="Z50" s="106">
        <f t="shared" si="29"/>
        <v>100.15</v>
      </c>
      <c r="AA50" s="106" t="str">
        <f t="shared" si="29"/>
        <v/>
      </c>
    </row>
    <row r="51" spans="1:27" ht="15" outlineLevel="1" x14ac:dyDescent="0.25">
      <c r="C51" s="37" t="s">
        <v>585</v>
      </c>
      <c r="D51" s="285" t="str">
        <f>VLOOKUP($C51,'Typologie détaillée'!$E$4:$H$214,3,0)</f>
        <v>Salles d'attente</v>
      </c>
      <c r="E51" s="286" t="str">
        <f>VLOOKUP($C51,'Typologie détaillée'!$E$4:$H$214,4,0)</f>
        <v>CSA</v>
      </c>
      <c r="F51" s="142" t="s">
        <v>24</v>
      </c>
      <c r="G51" s="90">
        <v>1</v>
      </c>
      <c r="H51" s="455" t="s">
        <v>989</v>
      </c>
      <c r="I51" s="90"/>
      <c r="J51" s="90"/>
      <c r="K51" s="309">
        <f>IF(OR(L51="MiN.",L51="SPEC."),N51,M51*N51)*0+N51*1.8</f>
        <v>0</v>
      </c>
      <c r="L51" s="452" t="str">
        <f>VLOOKUP($C51,'Typologie détaillée'!$E$4:$L$214,6,0)</f>
        <v>PERS.</v>
      </c>
      <c r="M51" s="286">
        <f>VLOOKUP($C51,'Typologie détaillée'!$E$4:$L$214,7,0)</f>
        <v>0</v>
      </c>
      <c r="N51" s="310">
        <v>0</v>
      </c>
      <c r="P51" s="129">
        <f t="shared" si="26"/>
        <v>0</v>
      </c>
      <c r="Q51" s="129">
        <v>10</v>
      </c>
      <c r="R51" s="106">
        <f t="shared" si="27"/>
        <v>0</v>
      </c>
      <c r="T51" s="106" t="str">
        <f t="shared" si="28"/>
        <v/>
      </c>
      <c r="U51" s="106" t="str">
        <f t="shared" si="28"/>
        <v/>
      </c>
      <c r="V51" s="106">
        <f t="shared" si="28"/>
        <v>0</v>
      </c>
      <c r="X51" s="106" t="str">
        <f t="shared" si="29"/>
        <v/>
      </c>
      <c r="Y51" s="106" t="str">
        <f t="shared" si="29"/>
        <v/>
      </c>
      <c r="Z51" s="106">
        <f t="shared" si="29"/>
        <v>0</v>
      </c>
      <c r="AA51" s="106" t="str">
        <f t="shared" si="29"/>
        <v/>
      </c>
    </row>
    <row r="52" spans="1:27" ht="15" outlineLevel="1" x14ac:dyDescent="0.25">
      <c r="C52" s="37" t="s">
        <v>490</v>
      </c>
      <c r="D52" s="285" t="str">
        <f>VLOOKUP($C52,'Typologie détaillée'!$E$4:$H$214,3,0)</f>
        <v>Cuisinettes localisées</v>
      </c>
      <c r="E52" s="286" t="str">
        <f>VLOOKUP($C52,'Typologie détaillée'!$E$4:$H$214,4,0)</f>
        <v>LSA</v>
      </c>
      <c r="F52" s="142" t="s">
        <v>24</v>
      </c>
      <c r="G52" s="90">
        <v>1</v>
      </c>
      <c r="H52" s="455" t="s">
        <v>1288</v>
      </c>
      <c r="I52" s="90"/>
      <c r="J52" s="90"/>
      <c r="K52" s="309">
        <f t="shared" ref="K52:K53" si="30">IF(OR(L52="MiN.",L52="SPEC."),N52,M52*N52)</f>
        <v>0</v>
      </c>
      <c r="L52" s="452" t="s">
        <v>1289</v>
      </c>
      <c r="M52" s="286">
        <f>VLOOKUP($C52,'Typologie détaillée'!$E$4:$L$214,7,0)</f>
        <v>0</v>
      </c>
      <c r="N52" s="310">
        <v>0</v>
      </c>
      <c r="P52" s="129">
        <f t="shared" si="26"/>
        <v>0</v>
      </c>
      <c r="Q52" s="129">
        <v>11</v>
      </c>
      <c r="R52" s="106">
        <f t="shared" si="27"/>
        <v>0</v>
      </c>
      <c r="T52" s="106" t="str">
        <f t="shared" si="28"/>
        <v/>
      </c>
      <c r="U52" s="106">
        <f t="shared" si="28"/>
        <v>0</v>
      </c>
      <c r="V52" s="106" t="str">
        <f t="shared" si="28"/>
        <v/>
      </c>
      <c r="X52" s="106" t="str">
        <f t="shared" si="29"/>
        <v/>
      </c>
      <c r="Y52" s="106" t="str">
        <f t="shared" si="29"/>
        <v/>
      </c>
      <c r="Z52" s="106">
        <f t="shared" si="29"/>
        <v>0</v>
      </c>
      <c r="AA52" s="106" t="str">
        <f t="shared" si="29"/>
        <v/>
      </c>
    </row>
    <row r="53" spans="1:27" ht="15" outlineLevel="1" x14ac:dyDescent="0.25">
      <c r="C53" s="37" t="s">
        <v>483</v>
      </c>
      <c r="D53" s="285" t="str">
        <f>VLOOKUP($C53,'Typologie détaillée'!$E$4:$H$214,3,0)</f>
        <v>Cafeteria commune</v>
      </c>
      <c r="E53" s="286" t="str">
        <f>VLOOKUP($C53,'Typologie détaillée'!$E$4:$H$214,4,0)</f>
        <v>CSA</v>
      </c>
      <c r="F53" s="142" t="s">
        <v>23</v>
      </c>
      <c r="G53" s="90">
        <v>1</v>
      </c>
      <c r="H53" s="455" t="s">
        <v>990</v>
      </c>
      <c r="I53" s="90"/>
      <c r="J53" s="90"/>
      <c r="K53" s="309">
        <f t="shared" si="30"/>
        <v>0</v>
      </c>
      <c r="L53" s="452" t="str">
        <f>VLOOKUP($C53,'Typologie détaillée'!$E$4:$L$214,6,0)</f>
        <v>PERS.</v>
      </c>
      <c r="M53" s="286">
        <f>VLOOKUP($C53,'Typologie détaillée'!$E$4:$L$214,7,0)</f>
        <v>0</v>
      </c>
      <c r="N53" s="310">
        <v>0</v>
      </c>
      <c r="P53" s="129">
        <f t="shared" si="26"/>
        <v>0</v>
      </c>
      <c r="Q53" s="129">
        <v>12</v>
      </c>
      <c r="R53" s="106">
        <f t="shared" si="27"/>
        <v>0</v>
      </c>
      <c r="T53" s="106" t="str">
        <f t="shared" si="28"/>
        <v/>
      </c>
      <c r="U53" s="106" t="str">
        <f t="shared" si="28"/>
        <v/>
      </c>
      <c r="V53" s="106">
        <f t="shared" si="28"/>
        <v>0</v>
      </c>
      <c r="X53" s="106" t="str">
        <f t="shared" si="29"/>
        <v/>
      </c>
      <c r="Y53" s="106">
        <f t="shared" si="29"/>
        <v>0</v>
      </c>
      <c r="Z53" s="106" t="str">
        <f t="shared" si="29"/>
        <v/>
      </c>
      <c r="AA53" s="106" t="str">
        <f t="shared" si="29"/>
        <v/>
      </c>
    </row>
    <row r="54" spans="1:27" ht="15" outlineLevel="1" x14ac:dyDescent="0.25">
      <c r="C54" s="37" t="s">
        <v>579</v>
      </c>
      <c r="D54" s="285" t="str">
        <f>VLOOKUP($C54,'Typologie détaillée'!$E$4:$H$214,3,0)</f>
        <v>Salles de cours</v>
      </c>
      <c r="E54" s="286" t="str">
        <f>VLOOKUP($C54,'Typologie détaillée'!$E$4:$H$214,4,0)</f>
        <v>CSA</v>
      </c>
      <c r="F54" s="142" t="s">
        <v>23</v>
      </c>
      <c r="G54" s="90">
        <v>1</v>
      </c>
      <c r="H54" s="455" t="s">
        <v>988</v>
      </c>
      <c r="I54" s="90"/>
      <c r="J54" s="90"/>
      <c r="K54" s="309">
        <f>IF(OR(L54="MiN.",L54="SPEC."),N54,M54*N54)</f>
        <v>63</v>
      </c>
      <c r="L54" s="452" t="str">
        <f>VLOOKUP($C54,'Typologie détaillée'!$E$4:$L$214,6,0)</f>
        <v>PERS.</v>
      </c>
      <c r="M54" s="286">
        <f>VLOOKUP($C54,'Typologie détaillée'!$E$4:$L$214,7,0)</f>
        <v>1.8</v>
      </c>
      <c r="N54" s="310">
        <v>35</v>
      </c>
      <c r="P54" s="129">
        <f t="shared" si="26"/>
        <v>0</v>
      </c>
      <c r="Q54" s="129">
        <v>13</v>
      </c>
      <c r="R54" s="106">
        <f t="shared" si="27"/>
        <v>63</v>
      </c>
      <c r="T54" s="106" t="str">
        <f t="shared" si="28"/>
        <v/>
      </c>
      <c r="U54" s="106" t="str">
        <f t="shared" si="28"/>
        <v/>
      </c>
      <c r="V54" s="106">
        <f t="shared" si="28"/>
        <v>63</v>
      </c>
      <c r="X54" s="106" t="str">
        <f t="shared" si="29"/>
        <v/>
      </c>
      <c r="Y54" s="106">
        <f t="shared" si="29"/>
        <v>63</v>
      </c>
      <c r="Z54" s="106" t="str">
        <f t="shared" si="29"/>
        <v/>
      </c>
      <c r="AA54" s="106" t="str">
        <f t="shared" si="29"/>
        <v/>
      </c>
    </row>
    <row r="55" spans="1:27" ht="15" outlineLevel="1" x14ac:dyDescent="0.25">
      <c r="C55" s="37" t="s">
        <v>420</v>
      </c>
      <c r="D55" s="285" t="str">
        <f>VLOOKUP($C55,'Typologie détaillée'!$E$4:$H$214,3,0)</f>
        <v>Douches pour personnel de cuisine</v>
      </c>
      <c r="E55" s="286" t="str">
        <f>VLOOKUP($C55,'Typologie détaillée'!$E$4:$H$214,4,0)</f>
        <v>CSA</v>
      </c>
      <c r="F55" s="142" t="s">
        <v>24</v>
      </c>
      <c r="G55" s="90">
        <v>1</v>
      </c>
      <c r="H55" s="455" t="s">
        <v>979</v>
      </c>
      <c r="I55" s="90"/>
      <c r="J55" s="90"/>
      <c r="K55" s="309">
        <f>IF(OR(L55="MiN.",L55="SPEC."),N55,M55*N55)</f>
        <v>12</v>
      </c>
      <c r="L55" s="286" t="str">
        <f>VLOOKUP($C55,'Typologie détaillée'!$E$4:$L$214,6,0)</f>
        <v>PERS.</v>
      </c>
      <c r="M55" s="286">
        <v>2</v>
      </c>
      <c r="N55" s="310">
        <v>6</v>
      </c>
      <c r="P55" s="129">
        <f t="shared" si="26"/>
        <v>0</v>
      </c>
      <c r="Q55" s="129">
        <v>0</v>
      </c>
      <c r="R55" s="106">
        <f t="shared" si="27"/>
        <v>12</v>
      </c>
      <c r="T55" s="106" t="str">
        <f t="shared" si="28"/>
        <v/>
      </c>
      <c r="U55" s="106" t="str">
        <f t="shared" si="28"/>
        <v/>
      </c>
      <c r="V55" s="106">
        <f t="shared" si="28"/>
        <v>12</v>
      </c>
      <c r="X55" s="106" t="str">
        <f t="shared" si="29"/>
        <v/>
      </c>
      <c r="Y55" s="106" t="str">
        <f t="shared" si="29"/>
        <v/>
      </c>
      <c r="Z55" s="106">
        <f t="shared" si="29"/>
        <v>12</v>
      </c>
      <c r="AA55" s="106" t="str">
        <f t="shared" si="29"/>
        <v/>
      </c>
    </row>
    <row r="56" spans="1:27" ht="15" outlineLevel="1" x14ac:dyDescent="0.25">
      <c r="C56" s="37" t="s">
        <v>522</v>
      </c>
      <c r="D56" s="285" t="str">
        <f>VLOOKUP($C56,'Typologie détaillée'!$E$4:$H$214,3,0)</f>
        <v>Archives mortes</v>
      </c>
      <c r="E56" s="286" t="str">
        <f>VLOOKUP($C56,'Typologie détaillée'!$E$4:$H$214,4,0)</f>
        <v>CSA</v>
      </c>
      <c r="F56" s="142" t="s">
        <v>24</v>
      </c>
      <c r="G56" s="90">
        <v>1</v>
      </c>
      <c r="H56" s="301" t="s">
        <v>134</v>
      </c>
      <c r="I56" s="90"/>
      <c r="J56" s="90"/>
      <c r="K56" s="309">
        <v>1707</v>
      </c>
      <c r="L56" s="452" t="str">
        <f>VLOOKUP($C56,'Typologie détaillée'!$E$4:$L$214,6,0)</f>
        <v>M. COURANT</v>
      </c>
      <c r="M56" s="452">
        <v>2</v>
      </c>
      <c r="N56" s="310">
        <v>1706.6</v>
      </c>
      <c r="P56" s="129">
        <f t="shared" si="12"/>
        <v>0</v>
      </c>
      <c r="Q56" s="129">
        <f t="shared" si="13"/>
        <v>0</v>
      </c>
      <c r="R56" s="106">
        <f t="shared" ref="R56:R57" si="31">$G56*K56</f>
        <v>1707</v>
      </c>
      <c r="T56" s="106" t="str">
        <f t="shared" si="2"/>
        <v/>
      </c>
      <c r="U56" s="106" t="str">
        <f t="shared" si="2"/>
        <v/>
      </c>
      <c r="V56" s="106">
        <f t="shared" si="2"/>
        <v>1707</v>
      </c>
      <c r="X56" s="106" t="str">
        <f t="shared" si="3"/>
        <v/>
      </c>
      <c r="Y56" s="106" t="str">
        <f t="shared" si="3"/>
        <v/>
      </c>
      <c r="Z56" s="106">
        <f t="shared" si="3"/>
        <v>1707</v>
      </c>
      <c r="AA56" s="106" t="str">
        <f t="shared" si="3"/>
        <v/>
      </c>
    </row>
    <row r="57" spans="1:27" ht="15" outlineLevel="1" x14ac:dyDescent="0.25">
      <c r="C57" s="37" t="s">
        <v>522</v>
      </c>
      <c r="D57" s="285" t="s">
        <v>195</v>
      </c>
      <c r="E57" s="286" t="s">
        <v>90</v>
      </c>
      <c r="F57" s="142" t="s">
        <v>24</v>
      </c>
      <c r="G57" s="90">
        <v>1</v>
      </c>
      <c r="H57" s="301" t="s">
        <v>1300</v>
      </c>
      <c r="I57" s="90"/>
      <c r="J57" s="90"/>
      <c r="K57" s="309">
        <v>6900</v>
      </c>
      <c r="L57" s="452" t="str">
        <f>VLOOKUP($C57,'Typologie détaillée'!$E$4:$L$214,6,0)</f>
        <v>M. COURANT</v>
      </c>
      <c r="M57" s="452">
        <v>2</v>
      </c>
      <c r="N57" s="310">
        <v>6900</v>
      </c>
      <c r="P57" s="129">
        <f t="shared" si="12"/>
        <v>0</v>
      </c>
      <c r="Q57" s="129"/>
      <c r="R57" s="106">
        <f t="shared" si="31"/>
        <v>6900</v>
      </c>
      <c r="T57" s="106"/>
      <c r="U57" s="106"/>
      <c r="V57" s="106"/>
      <c r="X57" s="106" t="str">
        <f t="shared" si="3"/>
        <v/>
      </c>
      <c r="Y57" s="106" t="str">
        <f t="shared" si="3"/>
        <v/>
      </c>
      <c r="Z57" s="106">
        <f t="shared" si="3"/>
        <v>6900</v>
      </c>
      <c r="AA57" s="106" t="str">
        <f t="shared" si="3"/>
        <v/>
      </c>
    </row>
    <row r="58" spans="1:27" ht="15" outlineLevel="1" x14ac:dyDescent="0.25">
      <c r="C58" s="37" t="s">
        <v>580</v>
      </c>
      <c r="D58" s="285" t="str">
        <f>VLOOKUP($C58,'Typologie détaillée'!$E$4:$H$214,3,0)</f>
        <v>Bibliothèques</v>
      </c>
      <c r="E58" s="286" t="str">
        <f>VLOOKUP($C58,'Typologie détaillée'!$E$4:$H$214,4,0)</f>
        <v>CSA</v>
      </c>
      <c r="F58" s="142" t="s">
        <v>24</v>
      </c>
      <c r="G58" s="90">
        <v>2</v>
      </c>
      <c r="H58" s="301" t="s">
        <v>1196</v>
      </c>
      <c r="I58" s="90"/>
      <c r="J58" s="90"/>
      <c r="K58" s="309">
        <v>40</v>
      </c>
      <c r="L58" s="452" t="str">
        <f>VLOOKUP($C58,'Typologie détaillée'!$E$4:$L$214,6,0)</f>
        <v>M. COURANT</v>
      </c>
      <c r="M58" s="452">
        <v>40</v>
      </c>
      <c r="N58" s="310">
        <v>40</v>
      </c>
      <c r="P58" s="129">
        <f t="shared" si="12"/>
        <v>0</v>
      </c>
      <c r="Q58" s="129">
        <f t="shared" si="13"/>
        <v>0</v>
      </c>
      <c r="R58" s="106">
        <f t="shared" si="14"/>
        <v>80</v>
      </c>
      <c r="T58" s="106" t="str">
        <f>IF($E58=T$4,$R58,"")</f>
        <v/>
      </c>
      <c r="U58" s="106" t="str">
        <f>IF($E58=U$4,$R58,"")</f>
        <v/>
      </c>
      <c r="V58" s="106">
        <f>IF($E58=V$4,$R58,"")</f>
        <v>80</v>
      </c>
      <c r="X58" s="106" t="str">
        <f t="shared" si="3"/>
        <v/>
      </c>
      <c r="Y58" s="106" t="str">
        <f t="shared" si="3"/>
        <v/>
      </c>
      <c r="Z58" s="106">
        <f t="shared" si="3"/>
        <v>80</v>
      </c>
      <c r="AA58" s="106" t="str">
        <f t="shared" si="3"/>
        <v/>
      </c>
    </row>
    <row r="59" spans="1:27" ht="15" outlineLevel="1" x14ac:dyDescent="0.25">
      <c r="C59" s="37" t="s">
        <v>522</v>
      </c>
      <c r="D59" s="285" t="str">
        <f>VLOOKUP($C59,'Typologie détaillée'!$E$4:$H$214,3,0)</f>
        <v>Archives mortes</v>
      </c>
      <c r="E59" s="286" t="str">
        <f>VLOOKUP($C59,'Typologie détaillée'!$E$4:$H$214,4,0)</f>
        <v>CSA</v>
      </c>
      <c r="F59" s="142" t="s">
        <v>25</v>
      </c>
      <c r="G59" s="90">
        <v>1</v>
      </c>
      <c r="H59" s="298" t="s">
        <v>783</v>
      </c>
      <c r="I59" s="90"/>
      <c r="J59" s="90"/>
      <c r="K59" s="309">
        <v>1706.6</v>
      </c>
      <c r="L59" s="452" t="str">
        <f>VLOOKUP($C59,'Typologie détaillée'!$E$4:$L$214,6,0)</f>
        <v>M. COURANT</v>
      </c>
      <c r="M59" s="452">
        <f>VLOOKUP($C59,'Typologie détaillée'!$E$4:$L$214,7,0)</f>
        <v>0</v>
      </c>
      <c r="N59" s="310">
        <v>1706.64</v>
      </c>
      <c r="P59" s="129">
        <f t="shared" si="12"/>
        <v>0</v>
      </c>
      <c r="Q59" s="129">
        <f t="shared" si="13"/>
        <v>0</v>
      </c>
      <c r="R59" s="106">
        <f t="shared" si="14"/>
        <v>1706.6</v>
      </c>
      <c r="T59" s="106" t="str">
        <f t="shared" ref="T59:V59" si="32">IF($E59=T$4,$R59,"")</f>
        <v/>
      </c>
      <c r="U59" s="106" t="str">
        <f t="shared" si="32"/>
        <v/>
      </c>
      <c r="V59" s="106">
        <f t="shared" si="32"/>
        <v>1706.6</v>
      </c>
      <c r="X59" s="106" t="str">
        <f t="shared" ref="X59:AA59" si="33">IF($F59=X$4,$R59,"")</f>
        <v/>
      </c>
      <c r="Y59" s="106" t="str">
        <f t="shared" si="33"/>
        <v/>
      </c>
      <c r="Z59" s="106" t="str">
        <f t="shared" si="33"/>
        <v/>
      </c>
      <c r="AA59" s="106">
        <f t="shared" si="33"/>
        <v>1706.6</v>
      </c>
    </row>
    <row r="60" spans="1:27" s="138" customFormat="1" x14ac:dyDescent="0.2">
      <c r="A60" s="138" t="e">
        <f>#REF!</f>
        <v>#REF!</v>
      </c>
      <c r="B60" s="138" t="e">
        <f>#REF!</f>
        <v>#REF!</v>
      </c>
      <c r="D60" s="138" t="s">
        <v>97</v>
      </c>
      <c r="E60" s="139"/>
      <c r="F60" s="139"/>
      <c r="G60" s="139"/>
      <c r="H60" s="299"/>
      <c r="I60" s="139"/>
      <c r="J60" s="139"/>
      <c r="K60" s="309"/>
      <c r="P60" s="139">
        <f>SUBTOTAL(9,P7:P58)</f>
        <v>0</v>
      </c>
      <c r="Q60" s="139">
        <f>SUBTOTAL(9,Q7:Q58)</f>
        <v>130</v>
      </c>
      <c r="R60" s="138">
        <f>SUBTOTAL(9,R7:R58)</f>
        <v>18193.230000000003</v>
      </c>
      <c r="T60" s="138">
        <f>SUBTOTAL(9,T7:T58)</f>
        <v>0</v>
      </c>
      <c r="U60" s="138">
        <f>SUBTOTAL(9,U7:U58)</f>
        <v>0</v>
      </c>
      <c r="V60" s="138">
        <f>SUBTOTAL(9,V7:V58)</f>
        <v>11293.230000000001</v>
      </c>
      <c r="X60" s="138">
        <f>SUBTOTAL(9,X7:X58)</f>
        <v>56</v>
      </c>
      <c r="Y60" s="138">
        <f>SUBTOTAL(9,Y7:Y58)</f>
        <v>758</v>
      </c>
      <c r="Z60" s="138">
        <f>SUBTOTAL(9,Z7:Z58)</f>
        <v>15356.439999999999</v>
      </c>
      <c r="AA60" s="138">
        <f>SUBTOTAL(9,AA7:AA58)</f>
        <v>2022.79</v>
      </c>
    </row>
    <row r="61" spans="1:27" ht="15" outlineLevel="1" x14ac:dyDescent="0.25">
      <c r="C61" s="37" t="s">
        <v>484</v>
      </c>
      <c r="D61" s="285" t="str">
        <f>VLOOKUP($C61,'Typologie détaillée'!$E$4:$H$214,3,0)</f>
        <v>Infirmerie</v>
      </c>
      <c r="E61" s="286" t="str">
        <f>VLOOKUP($C61,'Typologie détaillée'!$E$4:$H$214,4,0)</f>
        <v>CSA</v>
      </c>
      <c r="F61" s="142" t="s">
        <v>23</v>
      </c>
      <c r="G61" s="90">
        <v>1</v>
      </c>
      <c r="H61" s="301" t="s">
        <v>785</v>
      </c>
      <c r="I61" s="90"/>
      <c r="J61" s="90"/>
      <c r="K61" s="309">
        <f t="shared" ref="K61:K64" si="34">IF(OR(L61="MiN.",L61="SPEC."),N61,M61*N61)</f>
        <v>52</v>
      </c>
      <c r="L61" s="286" t="str">
        <f>VLOOKUP($C61,'Typologie détaillée'!$E$4:$L$214,6,0)</f>
        <v>MIN.</v>
      </c>
      <c r="M61" s="286">
        <f>VLOOKUP($C61,'Typologie détaillée'!$E$4:$L$214,7,0)</f>
        <v>20</v>
      </c>
      <c r="N61" s="310">
        <v>52</v>
      </c>
      <c r="P61" s="129">
        <f t="shared" ref="P61:P64" si="35">$G61*I61</f>
        <v>0</v>
      </c>
      <c r="Q61" s="129">
        <v>1</v>
      </c>
      <c r="R61" s="106">
        <f t="shared" ref="R61:R64" si="36">$G61*K61</f>
        <v>52</v>
      </c>
      <c r="T61" s="106" t="str">
        <f t="shared" ref="T61:V64" si="37">IF($E61=T$4,$R61,"")</f>
        <v/>
      </c>
      <c r="U61" s="106" t="str">
        <f t="shared" si="37"/>
        <v/>
      </c>
      <c r="V61" s="106">
        <f t="shared" si="37"/>
        <v>52</v>
      </c>
      <c r="X61" s="106" t="str">
        <f t="shared" ref="X61:AA64" si="38">IF($F61=X$4,$R61,"")</f>
        <v/>
      </c>
      <c r="Y61" s="106">
        <f t="shared" si="38"/>
        <v>52</v>
      </c>
      <c r="Z61" s="106" t="str">
        <f t="shared" si="38"/>
        <v/>
      </c>
      <c r="AA61" s="106" t="str">
        <f t="shared" si="38"/>
        <v/>
      </c>
    </row>
    <row r="62" spans="1:27" ht="15" outlineLevel="1" x14ac:dyDescent="0.25">
      <c r="C62" s="37" t="s">
        <v>484</v>
      </c>
      <c r="D62" s="285" t="str">
        <f>VLOOKUP($C62,'Typologie détaillée'!$E$4:$H$214,3,0)</f>
        <v>Infirmerie</v>
      </c>
      <c r="E62" s="286" t="str">
        <f>VLOOKUP($C62,'Typologie détaillée'!$E$4:$H$214,4,0)</f>
        <v>CSA</v>
      </c>
      <c r="F62" s="142" t="s">
        <v>23</v>
      </c>
      <c r="G62" s="90">
        <v>1</v>
      </c>
      <c r="H62" s="301" t="s">
        <v>786</v>
      </c>
      <c r="I62" s="90"/>
      <c r="J62" s="90"/>
      <c r="K62" s="309">
        <f t="shared" si="34"/>
        <v>96</v>
      </c>
      <c r="L62" s="286" t="str">
        <f>VLOOKUP($C62,'Typologie détaillée'!$E$4:$L$214,6,0)</f>
        <v>MIN.</v>
      </c>
      <c r="M62" s="286">
        <f>VLOOKUP($C62,'Typologie détaillée'!$E$4:$L$214,7,0)</f>
        <v>20</v>
      </c>
      <c r="N62" s="310">
        <v>96</v>
      </c>
      <c r="P62" s="129">
        <f t="shared" si="35"/>
        <v>0</v>
      </c>
      <c r="Q62" s="129">
        <v>3</v>
      </c>
      <c r="R62" s="106">
        <f t="shared" si="36"/>
        <v>96</v>
      </c>
      <c r="T62" s="106" t="str">
        <f t="shared" si="37"/>
        <v/>
      </c>
      <c r="U62" s="106" t="str">
        <f t="shared" si="37"/>
        <v/>
      </c>
      <c r="V62" s="106">
        <f t="shared" si="37"/>
        <v>96</v>
      </c>
      <c r="X62" s="106" t="str">
        <f t="shared" si="38"/>
        <v/>
      </c>
      <c r="Y62" s="106">
        <f t="shared" si="38"/>
        <v>96</v>
      </c>
      <c r="Z62" s="106" t="str">
        <f t="shared" si="38"/>
        <v/>
      </c>
      <c r="AA62" s="106" t="str">
        <f t="shared" si="38"/>
        <v/>
      </c>
    </row>
    <row r="63" spans="1:27" ht="15" outlineLevel="1" x14ac:dyDescent="0.25">
      <c r="C63" s="37" t="s">
        <v>524</v>
      </c>
      <c r="D63" s="285" t="str">
        <f>VLOOKUP($C63,'Typologie détaillée'!$E$4:$H$214,3,0)</f>
        <v>Dépôts de mobilier</v>
      </c>
      <c r="E63" s="286" t="str">
        <f>VLOOKUP($C63,'Typologie détaillée'!$E$4:$H$214,4,0)</f>
        <v>CSA</v>
      </c>
      <c r="F63" s="142" t="s">
        <v>25</v>
      </c>
      <c r="G63" s="90">
        <v>1</v>
      </c>
      <c r="H63" s="301" t="s">
        <v>787</v>
      </c>
      <c r="I63" s="90"/>
      <c r="J63" s="90"/>
      <c r="K63" s="309">
        <f t="shared" si="34"/>
        <v>146</v>
      </c>
      <c r="L63" s="286" t="str">
        <f>VLOOKUP($C63,'Typologie détaillée'!$E$4:$L$214,6,0)</f>
        <v>SPEC.</v>
      </c>
      <c r="M63" s="286">
        <f>VLOOKUP($C63,'Typologie détaillée'!$E$4:$L$214,7,0)</f>
        <v>0</v>
      </c>
      <c r="N63" s="310">
        <v>146</v>
      </c>
      <c r="P63" s="129">
        <f t="shared" si="35"/>
        <v>0</v>
      </c>
      <c r="Q63" s="129">
        <f t="shared" ref="Q63:Q64" si="39">$G63*J63</f>
        <v>0</v>
      </c>
      <c r="R63" s="106">
        <f t="shared" si="36"/>
        <v>146</v>
      </c>
      <c r="T63" s="106" t="str">
        <f t="shared" si="37"/>
        <v/>
      </c>
      <c r="U63" s="106" t="str">
        <f t="shared" si="37"/>
        <v/>
      </c>
      <c r="V63" s="106">
        <f t="shared" si="37"/>
        <v>146</v>
      </c>
      <c r="X63" s="106" t="str">
        <f t="shared" si="38"/>
        <v/>
      </c>
      <c r="Y63" s="106" t="str">
        <f t="shared" si="38"/>
        <v/>
      </c>
      <c r="Z63" s="106" t="str">
        <f t="shared" si="38"/>
        <v/>
      </c>
      <c r="AA63" s="106">
        <f t="shared" si="38"/>
        <v>146</v>
      </c>
    </row>
    <row r="64" spans="1:27" ht="15" outlineLevel="1" x14ac:dyDescent="0.25">
      <c r="C64" s="37" t="s">
        <v>524</v>
      </c>
      <c r="D64" s="285" t="str">
        <f>VLOOKUP($C64,'Typologie détaillée'!$E$4:$H$214,3,0)</f>
        <v>Dépôts de mobilier</v>
      </c>
      <c r="E64" s="286" t="str">
        <f>VLOOKUP($C64,'Typologie détaillée'!$E$4:$H$214,4,0)</f>
        <v>CSA</v>
      </c>
      <c r="F64" s="142" t="s">
        <v>25</v>
      </c>
      <c r="G64" s="90">
        <v>1</v>
      </c>
      <c r="H64" s="301" t="s">
        <v>788</v>
      </c>
      <c r="I64" s="90"/>
      <c r="J64" s="90"/>
      <c r="K64" s="309">
        <f t="shared" si="34"/>
        <v>695</v>
      </c>
      <c r="L64" s="286" t="str">
        <f>VLOOKUP($C64,'Typologie détaillée'!$E$4:$L$214,6,0)</f>
        <v>SPEC.</v>
      </c>
      <c r="M64" s="286">
        <f>VLOOKUP($C64,'Typologie détaillée'!$E$4:$L$214,7,0)</f>
        <v>0</v>
      </c>
      <c r="N64" s="310">
        <v>695</v>
      </c>
      <c r="P64" s="129">
        <f t="shared" si="35"/>
        <v>0</v>
      </c>
      <c r="Q64" s="129">
        <f t="shared" si="39"/>
        <v>0</v>
      </c>
      <c r="R64" s="106">
        <f t="shared" si="36"/>
        <v>695</v>
      </c>
      <c r="T64" s="106" t="str">
        <f t="shared" si="37"/>
        <v/>
      </c>
      <c r="U64" s="106" t="str">
        <f t="shared" si="37"/>
        <v/>
      </c>
      <c r="V64" s="106">
        <f t="shared" si="37"/>
        <v>695</v>
      </c>
      <c r="X64" s="106" t="str">
        <f t="shared" si="38"/>
        <v/>
      </c>
      <c r="Y64" s="106" t="str">
        <f t="shared" si="38"/>
        <v/>
      </c>
      <c r="Z64" s="106" t="str">
        <f t="shared" si="38"/>
        <v/>
      </c>
      <c r="AA64" s="106">
        <f t="shared" si="38"/>
        <v>695</v>
      </c>
    </row>
    <row r="65" spans="1:27" s="138" customFormat="1" x14ac:dyDescent="0.2">
      <c r="A65" s="138" t="e">
        <f>#REF!</f>
        <v>#REF!</v>
      </c>
      <c r="B65" s="138" t="e">
        <f>#REF!</f>
        <v>#REF!</v>
      </c>
      <c r="D65" s="138" t="s">
        <v>97</v>
      </c>
      <c r="E65" s="139"/>
      <c r="F65" s="139"/>
      <c r="G65" s="139"/>
      <c r="H65" s="299"/>
      <c r="I65" s="139"/>
      <c r="J65" s="139"/>
      <c r="K65" s="139"/>
      <c r="P65" s="139">
        <f>SUBTOTAL(9,P61:P64)</f>
        <v>0</v>
      </c>
      <c r="Q65" s="139">
        <f>SUBTOTAL(9,Q61:Q64)</f>
        <v>4</v>
      </c>
      <c r="R65" s="138">
        <f>SUBTOTAL(9,R61:R64)</f>
        <v>989</v>
      </c>
      <c r="T65" s="138">
        <f>SUBTOTAL(9,T61:T64)</f>
        <v>0</v>
      </c>
      <c r="U65" s="138">
        <f>SUBTOTAL(9,U61:U64)</f>
        <v>0</v>
      </c>
      <c r="V65" s="138">
        <f>SUBTOTAL(9,V61:V64)</f>
        <v>989</v>
      </c>
      <c r="X65" s="138">
        <f>SUBTOTAL(9,X61:X64)</f>
        <v>0</v>
      </c>
      <c r="Y65" s="138">
        <f>SUBTOTAL(9,Y61:Y64)</f>
        <v>148</v>
      </c>
      <c r="Z65" s="138">
        <f>SUBTOTAL(9,Z61:Z64)</f>
        <v>0</v>
      </c>
      <c r="AA65" s="138">
        <f>SUBTOTAL(9,AA61:AA64)</f>
        <v>841</v>
      </c>
    </row>
    <row r="66" spans="1:27" ht="15" outlineLevel="1" x14ac:dyDescent="0.25">
      <c r="C66" s="37" t="s">
        <v>624</v>
      </c>
      <c r="D66" s="285" t="str">
        <f>VLOOKUP($C66,'Typologie détaillée'!$E$4:$H$214,3,0)</f>
        <v>Dépôts de matériel informatique (stocks)</v>
      </c>
      <c r="E66" s="286" t="str">
        <f>VLOOKUP($C66,'Typologie détaillée'!$E$4:$H$214,4,0)</f>
        <v>CSA</v>
      </c>
      <c r="F66" s="142" t="s">
        <v>25</v>
      </c>
      <c r="G66" s="90">
        <v>1</v>
      </c>
      <c r="H66" s="301" t="s">
        <v>982</v>
      </c>
      <c r="I66" s="90"/>
      <c r="J66" s="90"/>
      <c r="K66" s="309">
        <f t="shared" ref="K66:K68" si="40">IF(OR(L66="MiN.",L66="SPEC."),N66,M66*N66)</f>
        <v>648.53</v>
      </c>
      <c r="L66" s="452" t="str">
        <f>VLOOKUP($C66,'Typologie détaillée'!$E$4:$L$214,6,0)</f>
        <v>SPEC.</v>
      </c>
      <c r="M66" s="286">
        <f>VLOOKUP($C66,'Typologie détaillée'!$E$4:$L$214,7,0)</f>
        <v>0</v>
      </c>
      <c r="N66" s="310">
        <v>648.53</v>
      </c>
      <c r="P66" s="129">
        <f t="shared" ref="P66" si="41">$G66*I66</f>
        <v>0</v>
      </c>
      <c r="Q66" s="129">
        <v>6</v>
      </c>
      <c r="R66" s="106">
        <f t="shared" ref="R66" si="42">$G66*K66</f>
        <v>648.53</v>
      </c>
      <c r="T66" s="106" t="str">
        <f t="shared" ref="T66:V70" si="43">IF($E66=T$4,$R66,"")</f>
        <v/>
      </c>
      <c r="U66" s="106" t="str">
        <f t="shared" si="43"/>
        <v/>
      </c>
      <c r="V66" s="106">
        <f t="shared" si="43"/>
        <v>648.53</v>
      </c>
      <c r="X66" s="106" t="str">
        <f t="shared" ref="X66:AA70" si="44">IF($F66=X$4,$R66,"")</f>
        <v/>
      </c>
      <c r="Y66" s="106" t="str">
        <f t="shared" si="44"/>
        <v/>
      </c>
      <c r="Z66" s="106" t="str">
        <f t="shared" si="44"/>
        <v/>
      </c>
      <c r="AA66" s="106">
        <f t="shared" si="44"/>
        <v>648.53</v>
      </c>
    </row>
    <row r="67" spans="1:27" ht="15" hidden="1" outlineLevel="1" x14ac:dyDescent="0.25">
      <c r="C67" s="37" t="s">
        <v>603</v>
      </c>
      <c r="D67" s="285" t="str">
        <f>VLOOKUP($C67,'Typologie détaillée'!$E$4:$H$214,3,0)</f>
        <v>Locaux photocopie / imprimant / print corner</v>
      </c>
      <c r="E67" s="286" t="str">
        <f>VLOOKUP($C67,'Typologie détaillée'!$E$4:$H$214,4,0)</f>
        <v>LSA</v>
      </c>
      <c r="F67" s="142" t="s">
        <v>24</v>
      </c>
      <c r="G67" s="90">
        <v>1</v>
      </c>
      <c r="H67" s="301" t="s">
        <v>985</v>
      </c>
      <c r="I67" s="90"/>
      <c r="J67" s="90"/>
      <c r="K67" s="309">
        <f t="shared" si="40"/>
        <v>0</v>
      </c>
      <c r="L67" s="452">
        <f>VLOOKUP($C67,'Typologie détaillée'!$E$4:$L$214,6,0)</f>
        <v>0</v>
      </c>
      <c r="M67" s="286">
        <f>VLOOKUP($C67,'Typologie détaillée'!$E$4:$L$214,7,0)</f>
        <v>0</v>
      </c>
      <c r="N67" s="310">
        <v>1041.7</v>
      </c>
      <c r="P67" s="129">
        <f t="shared" ref="P67:P70" si="45">$G67*I67</f>
        <v>0</v>
      </c>
      <c r="Q67" s="129">
        <v>7</v>
      </c>
      <c r="R67" s="106">
        <f t="shared" ref="R67:R70" si="46">$G67*K67</f>
        <v>0</v>
      </c>
      <c r="T67" s="106" t="str">
        <f t="shared" si="43"/>
        <v/>
      </c>
      <c r="U67" s="106">
        <f t="shared" si="43"/>
        <v>0</v>
      </c>
      <c r="V67" s="106" t="str">
        <f t="shared" si="43"/>
        <v/>
      </c>
      <c r="X67" s="106" t="str">
        <f t="shared" si="44"/>
        <v/>
      </c>
      <c r="Y67" s="106" t="str">
        <f t="shared" si="44"/>
        <v/>
      </c>
      <c r="Z67" s="106">
        <f t="shared" si="44"/>
        <v>0</v>
      </c>
      <c r="AA67" s="106" t="str">
        <f t="shared" si="44"/>
        <v/>
      </c>
    </row>
    <row r="68" spans="1:27" ht="15" outlineLevel="1" x14ac:dyDescent="0.25">
      <c r="C68" s="37" t="s">
        <v>568</v>
      </c>
      <c r="D68" s="285" t="str">
        <f>VLOOKUP($C68,'Typologie détaillée'!$E$4:$H$214,3,0)</f>
        <v>Laboratoires</v>
      </c>
      <c r="E68" s="286" t="str">
        <f>VLOOKUP($C68,'Typologie détaillée'!$E$4:$H$214,4,0)</f>
        <v>CSA</v>
      </c>
      <c r="F68" s="142" t="s">
        <v>24</v>
      </c>
      <c r="G68" s="90">
        <v>1</v>
      </c>
      <c r="H68" s="301" t="s">
        <v>987</v>
      </c>
      <c r="I68" s="90"/>
      <c r="J68" s="90"/>
      <c r="K68" s="309">
        <f t="shared" si="40"/>
        <v>100.15</v>
      </c>
      <c r="L68" s="452" t="str">
        <f>VLOOKUP($C68,'Typologie détaillée'!$E$4:$L$214,6,0)</f>
        <v>SPEC.</v>
      </c>
      <c r="M68" s="286">
        <f>VLOOKUP($C68,'Typologie détaillée'!$E$4:$L$214,7,0)</f>
        <v>0</v>
      </c>
      <c r="N68" s="310">
        <v>100.15</v>
      </c>
      <c r="P68" s="129">
        <f t="shared" si="45"/>
        <v>0</v>
      </c>
      <c r="Q68" s="129">
        <v>9</v>
      </c>
      <c r="R68" s="106">
        <f t="shared" si="46"/>
        <v>100.15</v>
      </c>
      <c r="T68" s="106" t="str">
        <f t="shared" si="43"/>
        <v/>
      </c>
      <c r="U68" s="106" t="str">
        <f t="shared" si="43"/>
        <v/>
      </c>
      <c r="V68" s="106">
        <f t="shared" si="43"/>
        <v>100.15</v>
      </c>
      <c r="X68" s="106" t="str">
        <f t="shared" si="44"/>
        <v/>
      </c>
      <c r="Y68" s="106" t="str">
        <f t="shared" si="44"/>
        <v/>
      </c>
      <c r="Z68" s="106">
        <f t="shared" si="44"/>
        <v>100.15</v>
      </c>
      <c r="AA68" s="106" t="str">
        <f t="shared" si="44"/>
        <v/>
      </c>
    </row>
    <row r="69" spans="1:27" ht="15" hidden="1" outlineLevel="1" x14ac:dyDescent="0.25">
      <c r="C69" s="37" t="s">
        <v>490</v>
      </c>
      <c r="D69" s="285" t="str">
        <f>VLOOKUP($C69,'Typologie détaillée'!$E$4:$H$214,3,0)</f>
        <v>Cuisinettes localisées</v>
      </c>
      <c r="E69" s="286" t="str">
        <f>VLOOKUP($C69,'Typologie détaillée'!$E$4:$H$214,4,0)</f>
        <v>LSA</v>
      </c>
      <c r="F69" s="142" t="s">
        <v>24</v>
      </c>
      <c r="G69" s="90">
        <v>1</v>
      </c>
      <c r="H69" s="301" t="s">
        <v>1288</v>
      </c>
      <c r="I69" s="90"/>
      <c r="J69" s="90"/>
      <c r="K69" s="309">
        <f t="shared" ref="K69:K70" si="47">IF(OR(L69="MiN.",L69="SPEC."),N69,M69*N69)</f>
        <v>0</v>
      </c>
      <c r="L69" s="452">
        <f>VLOOKUP($C69,'Typologie détaillée'!$E$4:$L$214,6,0)</f>
        <v>0</v>
      </c>
      <c r="M69" s="286">
        <f>VLOOKUP($C69,'Typologie détaillée'!$E$4:$L$214,7,0)</f>
        <v>0</v>
      </c>
      <c r="N69" s="310">
        <v>145.22</v>
      </c>
      <c r="P69" s="129">
        <f t="shared" si="45"/>
        <v>0</v>
      </c>
      <c r="Q69" s="129">
        <v>11</v>
      </c>
      <c r="R69" s="106">
        <f t="shared" si="46"/>
        <v>0</v>
      </c>
      <c r="T69" s="106" t="str">
        <f t="shared" si="43"/>
        <v/>
      </c>
      <c r="U69" s="106">
        <f t="shared" si="43"/>
        <v>0</v>
      </c>
      <c r="V69" s="106" t="str">
        <f t="shared" si="43"/>
        <v/>
      </c>
      <c r="X69" s="106" t="str">
        <f t="shared" si="44"/>
        <v/>
      </c>
      <c r="Y69" s="106" t="str">
        <f t="shared" si="44"/>
        <v/>
      </c>
      <c r="Z69" s="106">
        <f t="shared" si="44"/>
        <v>0</v>
      </c>
      <c r="AA69" s="106" t="str">
        <f t="shared" si="44"/>
        <v/>
      </c>
    </row>
    <row r="70" spans="1:27" ht="15" hidden="1" outlineLevel="1" x14ac:dyDescent="0.25">
      <c r="C70" s="37" t="s">
        <v>483</v>
      </c>
      <c r="D70" s="285" t="str">
        <f>VLOOKUP($C70,'Typologie détaillée'!$E$4:$H$214,3,0)</f>
        <v>Cafeteria commune</v>
      </c>
      <c r="E70" s="286" t="str">
        <f>VLOOKUP($C70,'Typologie détaillée'!$E$4:$H$214,4,0)</f>
        <v>CSA</v>
      </c>
      <c r="F70" s="142" t="s">
        <v>24</v>
      </c>
      <c r="G70" s="90">
        <v>1</v>
      </c>
      <c r="H70" s="301" t="s">
        <v>990</v>
      </c>
      <c r="I70" s="90"/>
      <c r="J70" s="90"/>
      <c r="K70" s="309">
        <f t="shared" si="47"/>
        <v>0</v>
      </c>
      <c r="L70" s="452" t="str">
        <f>VLOOKUP($C70,'Typologie détaillée'!$E$4:$L$214,6,0)</f>
        <v>PERS.</v>
      </c>
      <c r="M70" s="286">
        <f>VLOOKUP($C70,'Typologie détaillée'!$E$4:$L$214,7,0)</f>
        <v>0</v>
      </c>
      <c r="N70" s="310">
        <v>522.53</v>
      </c>
      <c r="P70" s="129">
        <f t="shared" si="45"/>
        <v>0</v>
      </c>
      <c r="Q70" s="129">
        <v>12</v>
      </c>
      <c r="R70" s="106">
        <f t="shared" si="46"/>
        <v>0</v>
      </c>
      <c r="T70" s="106" t="str">
        <f t="shared" si="43"/>
        <v/>
      </c>
      <c r="U70" s="106" t="str">
        <f t="shared" si="43"/>
        <v/>
      </c>
      <c r="V70" s="106">
        <f t="shared" si="43"/>
        <v>0</v>
      </c>
      <c r="X70" s="106" t="str">
        <f t="shared" si="44"/>
        <v/>
      </c>
      <c r="Y70" s="106" t="str">
        <f t="shared" si="44"/>
        <v/>
      </c>
      <c r="Z70" s="106">
        <f t="shared" si="44"/>
        <v>0</v>
      </c>
      <c r="AA70" s="106" t="str">
        <f t="shared" si="44"/>
        <v/>
      </c>
    </row>
    <row r="71" spans="1:27" s="138" customFormat="1" collapsed="1" x14ac:dyDescent="0.2">
      <c r="A71" s="138" t="e">
        <f>#REF!</f>
        <v>#REF!</v>
      </c>
      <c r="B71" s="138" t="e">
        <f>#REF!</f>
        <v>#REF!</v>
      </c>
      <c r="D71" s="138" t="s">
        <v>97</v>
      </c>
      <c r="E71" s="139"/>
      <c r="F71" s="139"/>
      <c r="G71" s="139"/>
      <c r="H71" s="299"/>
      <c r="I71" s="139"/>
      <c r="J71" s="139"/>
      <c r="K71" s="486"/>
      <c r="L71" s="486"/>
      <c r="M71" s="486"/>
      <c r="N71" s="486"/>
      <c r="P71" s="139">
        <f>SUBTOTAL(9,P66:P70)</f>
        <v>0</v>
      </c>
      <c r="Q71" s="139">
        <f>SUBTOTAL(9,Q66:Q70)</f>
        <v>45</v>
      </c>
      <c r="R71" s="138">
        <f>SUBTOTAL(9,R66:R70)</f>
        <v>748.68</v>
      </c>
      <c r="T71" s="138">
        <f>SUBTOTAL(9,T66:T70)</f>
        <v>0</v>
      </c>
      <c r="U71" s="138">
        <f>SUBTOTAL(9,U66:U70)</f>
        <v>0</v>
      </c>
      <c r="V71" s="138">
        <f>SUBTOTAL(9,V66:V70)</f>
        <v>748.68</v>
      </c>
      <c r="X71" s="138">
        <f>SUBTOTAL(9,X66:X70)</f>
        <v>0</v>
      </c>
      <c r="Y71" s="138">
        <f>SUBTOTAL(9,Y66:Y70)</f>
        <v>0</v>
      </c>
      <c r="Z71" s="138">
        <f>SUBTOTAL(9,Z66:Z70)</f>
        <v>100.15</v>
      </c>
      <c r="AA71" s="138">
        <f>SUBTOTAL(9,AA66:AA70)</f>
        <v>648.53</v>
      </c>
    </row>
    <row r="72" spans="1:27" ht="13.5" thickBot="1" x14ac:dyDescent="0.25">
      <c r="E72" s="291"/>
      <c r="F72" s="291"/>
      <c r="G72" s="291"/>
      <c r="I72" s="291"/>
      <c r="J72" s="291"/>
      <c r="K72" s="291"/>
      <c r="P72" s="291"/>
      <c r="Q72" s="291"/>
    </row>
    <row r="73" spans="1:27" ht="12" customHeight="1" x14ac:dyDescent="0.2">
      <c r="E73" s="291"/>
      <c r="F73" s="291"/>
      <c r="G73" s="291"/>
      <c r="I73" s="473" t="s">
        <v>90</v>
      </c>
      <c r="J73" s="474"/>
      <c r="K73" s="475"/>
      <c r="L73" s="442"/>
      <c r="P73" s="130">
        <f>SUBTOTAL(9,P7:P72)</f>
        <v>0</v>
      </c>
      <c r="Q73" s="130">
        <f>SUBTOTAL(9,Q7:Q72)</f>
        <v>179</v>
      </c>
      <c r="R73" s="132">
        <f>SUBTOTAL(9,R7:R72)</f>
        <v>21637.510000000002</v>
      </c>
      <c r="S73" s="291"/>
      <c r="T73" s="134">
        <f>SUBTOTAL(9,T7:T72)</f>
        <v>0</v>
      </c>
      <c r="U73" s="134">
        <f>SUBTOTAL(9,U7:U72)</f>
        <v>0</v>
      </c>
      <c r="V73" s="134">
        <f>SUBTOTAL(9,V7:V72)</f>
        <v>14737.510000000002</v>
      </c>
      <c r="W73" s="291"/>
      <c r="X73" s="134">
        <f>SUBTOTAL(9,X7:X72)</f>
        <v>56</v>
      </c>
      <c r="Y73" s="134">
        <f>SUBTOTAL(9,Y7:Y72)</f>
        <v>906</v>
      </c>
      <c r="Z73" s="134">
        <f>SUBTOTAL(9,Z7:Z72)</f>
        <v>15456.589999999998</v>
      </c>
      <c r="AA73" s="134">
        <f>SUBTOTAL(9,AA7:AA72)</f>
        <v>5218.9199999999992</v>
      </c>
    </row>
    <row r="74" spans="1:27" ht="12.95" customHeight="1" thickBot="1" x14ac:dyDescent="0.25">
      <c r="E74" s="291"/>
      <c r="F74" s="291"/>
      <c r="G74" s="291"/>
      <c r="I74" s="476"/>
      <c r="J74" s="477"/>
      <c r="K74" s="478"/>
      <c r="P74" s="131" t="str">
        <f>P$4</f>
        <v>P.D.T.</v>
      </c>
      <c r="Q74" s="131" t="str">
        <f>Q$4</f>
        <v>PERS.</v>
      </c>
      <c r="R74" s="133" t="str">
        <f>R$4</f>
        <v>SURFACE</v>
      </c>
      <c r="S74" s="291"/>
      <c r="T74" s="131" t="str">
        <f>T$4</f>
        <v>OA</v>
      </c>
      <c r="U74" s="131" t="str">
        <f>U$4</f>
        <v>LSA</v>
      </c>
      <c r="V74" s="131" t="str">
        <f>V$4</f>
        <v>CSA</v>
      </c>
      <c r="W74" s="291"/>
      <c r="X74" s="135" t="str">
        <f>X$4</f>
        <v xml:space="preserve">1er </v>
      </c>
      <c r="Y74" s="135" t="str">
        <f>Y$4</f>
        <v>1-2nd</v>
      </c>
      <c r="Z74" s="135" t="str">
        <f>Z$4</f>
        <v>Av. HS</v>
      </c>
      <c r="AA74" s="135" t="str">
        <f>AA$4</f>
        <v>Av. SS</v>
      </c>
    </row>
    <row r="75" spans="1:27" s="77" customFormat="1" ht="13.5" thickBot="1" x14ac:dyDescent="0.25">
      <c r="A75" s="307"/>
      <c r="E75" s="307"/>
      <c r="F75" s="307"/>
      <c r="G75" s="307"/>
      <c r="H75" s="308"/>
      <c r="I75" s="307"/>
      <c r="J75" s="307"/>
      <c r="K75" s="307"/>
      <c r="P75" s="307"/>
      <c r="Q75" s="307"/>
      <c r="R75" s="307"/>
      <c r="T75" s="307"/>
      <c r="U75" s="307"/>
      <c r="V75" s="307"/>
      <c r="X75" s="307"/>
      <c r="Y75" s="307"/>
      <c r="Z75" s="307"/>
      <c r="AA75" s="307"/>
    </row>
    <row r="76" spans="1:27" s="67" customFormat="1" x14ac:dyDescent="0.2">
      <c r="A76" s="66" t="s">
        <v>655</v>
      </c>
      <c r="J76" s="68"/>
      <c r="K76" s="68"/>
    </row>
    <row r="77" spans="1:27" s="77" customFormat="1" x14ac:dyDescent="0.2">
      <c r="A77" s="307"/>
      <c r="E77" s="307"/>
      <c r="F77" s="307"/>
      <c r="G77" s="307"/>
      <c r="H77" s="308"/>
      <c r="I77" s="307"/>
      <c r="J77" s="307"/>
      <c r="K77" s="307"/>
      <c r="P77" s="307"/>
      <c r="Q77" s="307"/>
      <c r="R77" s="307"/>
      <c r="T77" s="307"/>
      <c r="U77" s="307"/>
      <c r="V77" s="307"/>
      <c r="X77" s="307"/>
      <c r="Y77" s="307"/>
      <c r="Z77" s="307"/>
      <c r="AA77" s="307"/>
    </row>
    <row r="78" spans="1:27" outlineLevel="1" x14ac:dyDescent="0.2">
      <c r="A78" t="str">
        <f>'Partie 3 • M.implantation'!C4</f>
        <v>• service 1</v>
      </c>
      <c r="B78" t="str">
        <f>'Partie 1 • Global'!C49</f>
        <v>S1 - AD</v>
      </c>
      <c r="C78" s="37" t="s">
        <v>353</v>
      </c>
      <c r="D78" s="285" t="str">
        <f>VLOOKUP($C78,'Typologie détaillée'!$E$4:$H$214,3,0)</f>
        <v>Ne pas utiliser</v>
      </c>
      <c r="E78" s="286">
        <f>VLOOKUP($C78,'Typologie détaillée'!$E$4:$H$214,4,0)</f>
        <v>0</v>
      </c>
      <c r="F78" s="90"/>
      <c r="G78" s="90"/>
      <c r="H78" s="301"/>
      <c r="I78" s="90"/>
      <c r="J78" s="90"/>
      <c r="K78" s="90"/>
      <c r="P78" s="129">
        <f>$G78*I78</f>
        <v>0</v>
      </c>
      <c r="Q78" s="129">
        <f>$G78*J78</f>
        <v>0</v>
      </c>
      <c r="R78" s="106">
        <f>$G78*K78</f>
        <v>0</v>
      </c>
      <c r="T78" s="106" t="str">
        <f>IF($E78=T$4,$R78,"")</f>
        <v/>
      </c>
      <c r="U78" s="106" t="str">
        <f>IF($E78=U$4,$R78,"")</f>
        <v/>
      </c>
      <c r="V78" s="106" t="str">
        <f>IF($E78=V$4,$R78,"")</f>
        <v/>
      </c>
      <c r="X78" s="106" t="str">
        <f>IF($F78=X$4,$R78,"")</f>
        <v/>
      </c>
      <c r="Y78" s="106" t="str">
        <f>IF($F78=Y$4,$R78,"")</f>
        <v/>
      </c>
      <c r="Z78" s="106" t="str">
        <f>IF($F78=Z$4,$R78,"")</f>
        <v/>
      </c>
      <c r="AA78" s="106" t="str">
        <f>IF($F78=AA$4,$R78,"")</f>
        <v/>
      </c>
    </row>
    <row r="79" spans="1:27" s="138" customFormat="1" x14ac:dyDescent="0.2">
      <c r="A79" s="138" t="str">
        <f>A78</f>
        <v>• service 1</v>
      </c>
      <c r="B79" s="138" t="str">
        <f>B78</f>
        <v>S1 - AD</v>
      </c>
      <c r="D79" s="138" t="s">
        <v>97</v>
      </c>
      <c r="E79" s="139"/>
      <c r="F79" s="139"/>
      <c r="G79" s="139"/>
      <c r="H79" s="299"/>
      <c r="I79" s="139"/>
      <c r="J79" s="139"/>
      <c r="K79" s="139"/>
      <c r="P79" s="139">
        <f>SUBTOTAL(9,P78:P78)</f>
        <v>0</v>
      </c>
      <c r="Q79" s="139">
        <f>SUBTOTAL(9,Q78:Q78)</f>
        <v>0</v>
      </c>
      <c r="R79" s="138">
        <f>SUBTOTAL(9,R78:R78)</f>
        <v>0</v>
      </c>
      <c r="T79" s="138">
        <f>SUBTOTAL(9,T78:T78)</f>
        <v>0</v>
      </c>
      <c r="U79" s="138">
        <f>SUBTOTAL(9,U78:U78)</f>
        <v>0</v>
      </c>
      <c r="V79" s="138">
        <f>SUBTOTAL(9,V78:V78)</f>
        <v>0</v>
      </c>
      <c r="X79" s="138">
        <f>SUBTOTAL(9,X78:X78)</f>
        <v>0</v>
      </c>
      <c r="Y79" s="138">
        <f>SUBTOTAL(9,Y78:Y78)</f>
        <v>0</v>
      </c>
      <c r="Z79" s="138">
        <f>SUBTOTAL(9,Z78:Z78)</f>
        <v>0</v>
      </c>
      <c r="AA79" s="138">
        <f>SUBTOTAL(9,AA78:AA78)</f>
        <v>0</v>
      </c>
    </row>
    <row r="80" spans="1:27" outlineLevel="1" x14ac:dyDescent="0.2">
      <c r="A80" t="str">
        <f>'Partie 3 • M.implantation'!C5</f>
        <v>• service 2</v>
      </c>
      <c r="C80" s="37" t="s">
        <v>353</v>
      </c>
      <c r="D80" s="285" t="str">
        <f>VLOOKUP($C80,'Typologie détaillée'!$E$4:$H$214,3,0)</f>
        <v>Ne pas utiliser</v>
      </c>
      <c r="E80" s="286">
        <f>VLOOKUP($C80,'Typologie détaillée'!$E$4:$H$214,4,0)</f>
        <v>0</v>
      </c>
      <c r="F80" s="90"/>
      <c r="G80" s="125"/>
      <c r="H80" s="302"/>
      <c r="I80" s="125"/>
      <c r="J80" s="125"/>
      <c r="K80" s="125"/>
      <c r="P80" s="129">
        <f t="shared" ref="P80:R86" si="48">$G80*I80</f>
        <v>0</v>
      </c>
      <c r="Q80" s="129">
        <f t="shared" si="48"/>
        <v>0</v>
      </c>
      <c r="R80" s="106">
        <f t="shared" si="48"/>
        <v>0</v>
      </c>
      <c r="T80" s="106" t="str">
        <f t="shared" ref="T80:V86" si="49">IF($E80=T$4,$R80,"")</f>
        <v/>
      </c>
      <c r="U80" s="106" t="str">
        <f t="shared" si="49"/>
        <v/>
      </c>
      <c r="V80" s="106" t="str">
        <f t="shared" si="49"/>
        <v/>
      </c>
      <c r="X80" s="106" t="str">
        <f t="shared" ref="X80:AA86" si="50">IF($F80=X$4,$R80,"")</f>
        <v/>
      </c>
      <c r="Y80" s="106" t="str">
        <f t="shared" si="50"/>
        <v/>
      </c>
      <c r="Z80" s="106" t="str">
        <f t="shared" si="50"/>
        <v/>
      </c>
      <c r="AA80" s="106" t="str">
        <f t="shared" si="50"/>
        <v/>
      </c>
    </row>
    <row r="81" spans="1:27" outlineLevel="1" x14ac:dyDescent="0.2">
      <c r="C81" s="37" t="s">
        <v>353</v>
      </c>
      <c r="D81" s="285" t="str">
        <f>VLOOKUP($C81,'Typologie détaillée'!$E$4:$H$214,3,0)</f>
        <v>Ne pas utiliser</v>
      </c>
      <c r="E81" s="286">
        <f>VLOOKUP($C81,'Typologie détaillée'!$E$4:$H$214,4,0)</f>
        <v>0</v>
      </c>
      <c r="F81" s="125"/>
      <c r="G81" s="125"/>
      <c r="H81" s="302"/>
      <c r="I81" s="125"/>
      <c r="J81" s="125"/>
      <c r="K81" s="125"/>
      <c r="P81" s="129">
        <f t="shared" si="48"/>
        <v>0</v>
      </c>
      <c r="Q81" s="129">
        <f t="shared" si="48"/>
        <v>0</v>
      </c>
      <c r="R81" s="106">
        <f t="shared" si="48"/>
        <v>0</v>
      </c>
      <c r="T81" s="106" t="str">
        <f t="shared" si="49"/>
        <v/>
      </c>
      <c r="U81" s="106" t="str">
        <f t="shared" si="49"/>
        <v/>
      </c>
      <c r="V81" s="106" t="str">
        <f t="shared" si="49"/>
        <v/>
      </c>
      <c r="X81" s="106" t="str">
        <f t="shared" si="50"/>
        <v/>
      </c>
      <c r="Y81" s="106" t="str">
        <f t="shared" si="50"/>
        <v/>
      </c>
      <c r="Z81" s="106" t="str">
        <f t="shared" si="50"/>
        <v/>
      </c>
      <c r="AA81" s="106" t="str">
        <f t="shared" si="50"/>
        <v/>
      </c>
    </row>
    <row r="82" spans="1:27" outlineLevel="1" x14ac:dyDescent="0.2">
      <c r="C82" s="37" t="s">
        <v>353</v>
      </c>
      <c r="D82" s="285" t="str">
        <f>VLOOKUP($C82,'Typologie détaillée'!$E$4:$H$214,3,0)</f>
        <v>Ne pas utiliser</v>
      </c>
      <c r="E82" s="286">
        <f>VLOOKUP($C82,'Typologie détaillée'!$E$4:$H$214,4,0)</f>
        <v>0</v>
      </c>
      <c r="F82" s="125"/>
      <c r="G82" s="125"/>
      <c r="H82" s="302"/>
      <c r="I82" s="125"/>
      <c r="J82" s="125"/>
      <c r="K82" s="125"/>
      <c r="P82" s="129">
        <f t="shared" si="48"/>
        <v>0</v>
      </c>
      <c r="Q82" s="129">
        <f t="shared" si="48"/>
        <v>0</v>
      </c>
      <c r="R82" s="106">
        <f t="shared" si="48"/>
        <v>0</v>
      </c>
      <c r="T82" s="106" t="str">
        <f t="shared" si="49"/>
        <v/>
      </c>
      <c r="U82" s="106" t="str">
        <f t="shared" si="49"/>
        <v/>
      </c>
      <c r="V82" s="106" t="str">
        <f t="shared" si="49"/>
        <v/>
      </c>
      <c r="X82" s="106" t="str">
        <f t="shared" si="50"/>
        <v/>
      </c>
      <c r="Y82" s="106" t="str">
        <f t="shared" si="50"/>
        <v/>
      </c>
      <c r="Z82" s="106" t="str">
        <f t="shared" si="50"/>
        <v/>
      </c>
      <c r="AA82" s="106" t="str">
        <f t="shared" si="50"/>
        <v/>
      </c>
    </row>
    <row r="83" spans="1:27" outlineLevel="1" x14ac:dyDescent="0.2">
      <c r="C83" s="37" t="s">
        <v>353</v>
      </c>
      <c r="D83" s="285" t="str">
        <f>VLOOKUP($C83,'Typologie détaillée'!$E$4:$H$214,3,0)</f>
        <v>Ne pas utiliser</v>
      </c>
      <c r="E83" s="286">
        <f>VLOOKUP($C83,'Typologie détaillée'!$E$4:$H$214,4,0)</f>
        <v>0</v>
      </c>
      <c r="F83" s="125"/>
      <c r="G83" s="125"/>
      <c r="H83" s="302"/>
      <c r="I83" s="125"/>
      <c r="J83" s="125"/>
      <c r="K83" s="125"/>
      <c r="P83" s="129">
        <f t="shared" si="48"/>
        <v>0</v>
      </c>
      <c r="Q83" s="129">
        <f t="shared" si="48"/>
        <v>0</v>
      </c>
      <c r="R83" s="106">
        <f t="shared" si="48"/>
        <v>0</v>
      </c>
      <c r="T83" s="106" t="str">
        <f t="shared" si="49"/>
        <v/>
      </c>
      <c r="U83" s="106" t="str">
        <f t="shared" si="49"/>
        <v/>
      </c>
      <c r="V83" s="106" t="str">
        <f t="shared" si="49"/>
        <v/>
      </c>
      <c r="X83" s="106" t="str">
        <f t="shared" si="50"/>
        <v/>
      </c>
      <c r="Y83" s="106" t="str">
        <f t="shared" si="50"/>
        <v/>
      </c>
      <c r="Z83" s="106" t="str">
        <f t="shared" si="50"/>
        <v/>
      </c>
      <c r="AA83" s="106" t="str">
        <f t="shared" si="50"/>
        <v/>
      </c>
    </row>
    <row r="84" spans="1:27" outlineLevel="1" x14ac:dyDescent="0.2">
      <c r="C84" s="37" t="s">
        <v>353</v>
      </c>
      <c r="D84" s="285" t="str">
        <f>VLOOKUP($C84,'Typologie détaillée'!$E$4:$H$214,3,0)</f>
        <v>Ne pas utiliser</v>
      </c>
      <c r="E84" s="286">
        <f>VLOOKUP($C84,'Typologie détaillée'!$E$4:$H$214,4,0)</f>
        <v>0</v>
      </c>
      <c r="F84" s="90"/>
      <c r="G84" s="90"/>
      <c r="H84" s="301"/>
      <c r="I84" s="90"/>
      <c r="J84" s="90"/>
      <c r="K84" s="90"/>
      <c r="P84" s="129">
        <f t="shared" si="48"/>
        <v>0</v>
      </c>
      <c r="Q84" s="129">
        <f t="shared" si="48"/>
        <v>0</v>
      </c>
      <c r="R84" s="106">
        <f t="shared" si="48"/>
        <v>0</v>
      </c>
      <c r="T84" s="106" t="str">
        <f t="shared" si="49"/>
        <v/>
      </c>
      <c r="U84" s="106" t="str">
        <f t="shared" si="49"/>
        <v/>
      </c>
      <c r="V84" s="106" t="str">
        <f t="shared" si="49"/>
        <v/>
      </c>
      <c r="X84" s="106" t="str">
        <f t="shared" si="50"/>
        <v/>
      </c>
      <c r="Y84" s="106" t="str">
        <f t="shared" si="50"/>
        <v/>
      </c>
      <c r="Z84" s="106" t="str">
        <f t="shared" si="50"/>
        <v/>
      </c>
      <c r="AA84" s="106" t="str">
        <f t="shared" si="50"/>
        <v/>
      </c>
    </row>
    <row r="85" spans="1:27" outlineLevel="1" x14ac:dyDescent="0.2">
      <c r="C85" s="37" t="s">
        <v>353</v>
      </c>
      <c r="D85" s="285" t="str">
        <f>VLOOKUP($C85,'Typologie détaillée'!$E$4:$H$214,3,0)</f>
        <v>Ne pas utiliser</v>
      </c>
      <c r="E85" s="286">
        <f>VLOOKUP($C85,'Typologie détaillée'!$E$4:$H$214,4,0)</f>
        <v>0</v>
      </c>
      <c r="F85" s="90"/>
      <c r="G85" s="90"/>
      <c r="H85" s="301"/>
      <c r="I85" s="90"/>
      <c r="J85" s="90"/>
      <c r="K85" s="90"/>
      <c r="P85" s="129">
        <f t="shared" si="48"/>
        <v>0</v>
      </c>
      <c r="Q85" s="129">
        <f t="shared" si="48"/>
        <v>0</v>
      </c>
      <c r="R85" s="106">
        <f t="shared" si="48"/>
        <v>0</v>
      </c>
      <c r="T85" s="106" t="str">
        <f t="shared" si="49"/>
        <v/>
      </c>
      <c r="U85" s="106" t="str">
        <f t="shared" si="49"/>
        <v/>
      </c>
      <c r="V85" s="106" t="str">
        <f t="shared" si="49"/>
        <v/>
      </c>
      <c r="X85" s="106" t="str">
        <f t="shared" si="50"/>
        <v/>
      </c>
      <c r="Y85" s="106" t="str">
        <f t="shared" si="50"/>
        <v/>
      </c>
      <c r="Z85" s="106" t="str">
        <f t="shared" si="50"/>
        <v/>
      </c>
      <c r="AA85" s="106" t="str">
        <f t="shared" si="50"/>
        <v/>
      </c>
    </row>
    <row r="86" spans="1:27" outlineLevel="1" x14ac:dyDescent="0.2">
      <c r="C86" s="37" t="s">
        <v>353</v>
      </c>
      <c r="D86" s="285" t="str">
        <f>VLOOKUP($C86,'Typologie détaillée'!$E$4:$H$214,3,0)</f>
        <v>Ne pas utiliser</v>
      </c>
      <c r="E86" s="286">
        <f>VLOOKUP($C86,'Typologie détaillée'!$E$4:$H$214,4,0)</f>
        <v>0</v>
      </c>
      <c r="F86" s="90"/>
      <c r="G86" s="90"/>
      <c r="H86" s="301"/>
      <c r="I86" s="90"/>
      <c r="J86" s="90"/>
      <c r="K86" s="90"/>
      <c r="P86" s="129">
        <f t="shared" si="48"/>
        <v>0</v>
      </c>
      <c r="Q86" s="129">
        <f t="shared" si="48"/>
        <v>0</v>
      </c>
      <c r="R86" s="106">
        <f t="shared" si="48"/>
        <v>0</v>
      </c>
      <c r="T86" s="106" t="str">
        <f t="shared" si="49"/>
        <v/>
      </c>
      <c r="U86" s="106" t="str">
        <f t="shared" si="49"/>
        <v/>
      </c>
      <c r="V86" s="106" t="str">
        <f t="shared" si="49"/>
        <v/>
      </c>
      <c r="X86" s="106" t="str">
        <f t="shared" si="50"/>
        <v/>
      </c>
      <c r="Y86" s="106" t="str">
        <f t="shared" si="50"/>
        <v/>
      </c>
      <c r="Z86" s="106" t="str">
        <f t="shared" si="50"/>
        <v/>
      </c>
      <c r="AA86" s="106" t="str">
        <f t="shared" si="50"/>
        <v/>
      </c>
    </row>
    <row r="87" spans="1:27" s="138" customFormat="1" x14ac:dyDescent="0.2">
      <c r="A87" s="138" t="str">
        <f>A80</f>
        <v>• service 2</v>
      </c>
      <c r="B87" s="138">
        <f>B80</f>
        <v>0</v>
      </c>
      <c r="D87" s="138" t="s">
        <v>97</v>
      </c>
      <c r="E87" s="139"/>
      <c r="F87" s="139"/>
      <c r="G87" s="139"/>
      <c r="H87" s="299"/>
      <c r="I87" s="139"/>
      <c r="J87" s="139"/>
      <c r="K87" s="139"/>
      <c r="P87" s="139">
        <f>SUBTOTAL(9,P80:P86)</f>
        <v>0</v>
      </c>
      <c r="Q87" s="139">
        <f>SUBTOTAL(9,Q80:Q86)</f>
        <v>0</v>
      </c>
      <c r="R87" s="138">
        <f>SUBTOTAL(9,R80:R86)</f>
        <v>0</v>
      </c>
      <c r="T87" s="138">
        <f>SUBTOTAL(9,T80:T86)</f>
        <v>0</v>
      </c>
      <c r="U87" s="138">
        <f>SUBTOTAL(9,U80:U86)</f>
        <v>0</v>
      </c>
      <c r="V87" s="138">
        <f>SUBTOTAL(9,V80:V86)</f>
        <v>0</v>
      </c>
      <c r="X87" s="138">
        <f>SUBTOTAL(9,X80:X86)</f>
        <v>0</v>
      </c>
      <c r="Y87" s="138">
        <f>SUBTOTAL(9,Y80:Y86)</f>
        <v>0</v>
      </c>
      <c r="Z87" s="138">
        <f>SUBTOTAL(9,Z80:Z86)</f>
        <v>0</v>
      </c>
      <c r="AA87" s="138">
        <f>SUBTOTAL(9,AA80:AA86)</f>
        <v>0</v>
      </c>
    </row>
    <row r="88" spans="1:27" outlineLevel="1" x14ac:dyDescent="0.2">
      <c r="A88" t="str">
        <f>'Partie 3 • M.implantation'!C6</f>
        <v>• service 7</v>
      </c>
      <c r="C88" s="37" t="s">
        <v>353</v>
      </c>
      <c r="D88" s="285" t="str">
        <f>VLOOKUP($C88,'Typologie détaillée'!$E$4:$H$214,3,0)</f>
        <v>Ne pas utiliser</v>
      </c>
      <c r="E88" s="286">
        <f>VLOOKUP($C88,'Typologie détaillée'!$E$4:$H$214,4,0)</f>
        <v>0</v>
      </c>
      <c r="F88" s="125"/>
      <c r="G88" s="125"/>
      <c r="H88" s="302"/>
      <c r="I88" s="125"/>
      <c r="J88" s="125"/>
      <c r="K88" s="125"/>
      <c r="P88" s="129">
        <f t="shared" ref="P88:R89" si="51">$G88*I88</f>
        <v>0</v>
      </c>
      <c r="Q88" s="129">
        <f t="shared" si="51"/>
        <v>0</v>
      </c>
      <c r="R88" s="106">
        <f t="shared" si="51"/>
        <v>0</v>
      </c>
      <c r="T88" s="106" t="str">
        <f t="shared" ref="T88:V89" si="52">IF($E88=T$4,$R88,"")</f>
        <v/>
      </c>
      <c r="U88" s="106" t="str">
        <f t="shared" si="52"/>
        <v/>
      </c>
      <c r="V88" s="106" t="str">
        <f t="shared" si="52"/>
        <v/>
      </c>
      <c r="X88" s="106" t="str">
        <f t="shared" ref="X88:AA89" si="53">IF($F88=X$4,$R88,"")</f>
        <v/>
      </c>
      <c r="Y88" s="106" t="str">
        <f t="shared" si="53"/>
        <v/>
      </c>
      <c r="Z88" s="106" t="str">
        <f t="shared" si="53"/>
        <v/>
      </c>
      <c r="AA88" s="106" t="str">
        <f t="shared" si="53"/>
        <v/>
      </c>
    </row>
    <row r="89" spans="1:27" outlineLevel="1" x14ac:dyDescent="0.2">
      <c r="C89" s="37" t="s">
        <v>353</v>
      </c>
      <c r="D89" s="285" t="str">
        <f>VLOOKUP($C89,'Typologie détaillée'!$E$4:$H$214,3,0)</f>
        <v>Ne pas utiliser</v>
      </c>
      <c r="E89" s="286">
        <f>VLOOKUP($C89,'Typologie détaillée'!$E$4:$H$214,4,0)</f>
        <v>0</v>
      </c>
      <c r="F89" s="125"/>
      <c r="G89" s="125"/>
      <c r="H89" s="302"/>
      <c r="I89" s="125"/>
      <c r="J89" s="125"/>
      <c r="K89" s="125"/>
      <c r="P89" s="129">
        <f t="shared" si="51"/>
        <v>0</v>
      </c>
      <c r="Q89" s="129">
        <f t="shared" si="51"/>
        <v>0</v>
      </c>
      <c r="R89" s="106">
        <f t="shared" si="51"/>
        <v>0</v>
      </c>
      <c r="T89" s="106" t="str">
        <f t="shared" si="52"/>
        <v/>
      </c>
      <c r="U89" s="106" t="str">
        <f t="shared" si="52"/>
        <v/>
      </c>
      <c r="V89" s="106" t="str">
        <f t="shared" si="52"/>
        <v/>
      </c>
      <c r="X89" s="106" t="str">
        <f t="shared" si="53"/>
        <v/>
      </c>
      <c r="Y89" s="106" t="str">
        <f t="shared" si="53"/>
        <v/>
      </c>
      <c r="Z89" s="106" t="str">
        <f t="shared" si="53"/>
        <v/>
      </c>
      <c r="AA89" s="106" t="str">
        <f t="shared" si="53"/>
        <v/>
      </c>
    </row>
    <row r="90" spans="1:27" s="138" customFormat="1" x14ac:dyDescent="0.2">
      <c r="A90" s="138" t="str">
        <f>A88</f>
        <v>• service 7</v>
      </c>
      <c r="B90" s="138">
        <f>B88</f>
        <v>0</v>
      </c>
      <c r="D90" s="138" t="s">
        <v>97</v>
      </c>
      <c r="E90" s="139"/>
      <c r="F90" s="139"/>
      <c r="G90" s="139"/>
      <c r="H90" s="299"/>
      <c r="I90" s="139"/>
      <c r="J90" s="139"/>
      <c r="K90" s="139"/>
      <c r="P90" s="139">
        <f>SUBTOTAL(9,P88:P89)</f>
        <v>0</v>
      </c>
      <c r="Q90" s="139">
        <f>SUBTOTAL(9,Q88:Q89)</f>
        <v>0</v>
      </c>
      <c r="R90" s="138">
        <f>SUBTOTAL(9,R88:R89)</f>
        <v>0</v>
      </c>
      <c r="T90" s="138">
        <f>SUBTOTAL(9,T88:T89)</f>
        <v>0</v>
      </c>
      <c r="U90" s="138">
        <f>SUBTOTAL(9,U88:U89)</f>
        <v>0</v>
      </c>
      <c r="V90" s="138">
        <f>SUBTOTAL(9,V88:V89)</f>
        <v>0</v>
      </c>
      <c r="X90" s="138">
        <f>SUBTOTAL(9,X88:X89)</f>
        <v>0</v>
      </c>
      <c r="Y90" s="138">
        <f>SUBTOTAL(9,Y88:Y89)</f>
        <v>0</v>
      </c>
      <c r="Z90" s="138">
        <f>SUBTOTAL(9,Z88:Z89)</f>
        <v>0</v>
      </c>
      <c r="AA90" s="138">
        <f>SUBTOTAL(9,AA88:AA89)</f>
        <v>0</v>
      </c>
    </row>
    <row r="91" spans="1:27" outlineLevel="1" x14ac:dyDescent="0.2">
      <c r="A91" t="str">
        <f>'Partie 3 • M.implantation'!C7</f>
        <v>• service 8</v>
      </c>
      <c r="C91" s="37" t="s">
        <v>353</v>
      </c>
      <c r="D91" s="285" t="str">
        <f>VLOOKUP($C91,'Typologie détaillée'!$E$4:$H$214,3,0)</f>
        <v>Ne pas utiliser</v>
      </c>
      <c r="E91" s="286">
        <f>VLOOKUP($C91,'Typologie détaillée'!$E$4:$H$214,4,0)</f>
        <v>0</v>
      </c>
      <c r="F91" s="125"/>
      <c r="G91" s="125"/>
      <c r="H91" s="302"/>
      <c r="I91" s="125"/>
      <c r="J91" s="125"/>
      <c r="K91" s="125"/>
      <c r="P91" s="129">
        <f t="shared" ref="P91:R94" si="54">$G91*I91</f>
        <v>0</v>
      </c>
      <c r="Q91" s="129">
        <f t="shared" si="54"/>
        <v>0</v>
      </c>
      <c r="R91" s="106">
        <f t="shared" si="54"/>
        <v>0</v>
      </c>
      <c r="T91" s="106" t="str">
        <f t="shared" ref="T91:V94" si="55">IF($E91=T$4,$R91,"")</f>
        <v/>
      </c>
      <c r="U91" s="106" t="str">
        <f t="shared" si="55"/>
        <v/>
      </c>
      <c r="V91" s="106" t="str">
        <f t="shared" si="55"/>
        <v/>
      </c>
      <c r="X91" s="106" t="str">
        <f t="shared" ref="X91:AA94" si="56">IF($F91=X$4,$R91,"")</f>
        <v/>
      </c>
      <c r="Y91" s="106" t="str">
        <f t="shared" si="56"/>
        <v/>
      </c>
      <c r="Z91" s="106" t="str">
        <f t="shared" si="56"/>
        <v/>
      </c>
      <c r="AA91" s="106" t="str">
        <f t="shared" si="56"/>
        <v/>
      </c>
    </row>
    <row r="92" spans="1:27" outlineLevel="1" x14ac:dyDescent="0.2">
      <c r="C92" s="37" t="s">
        <v>353</v>
      </c>
      <c r="D92" s="285" t="str">
        <f>VLOOKUP($C92,'Typologie détaillée'!$E$4:$H$214,3,0)</f>
        <v>Ne pas utiliser</v>
      </c>
      <c r="E92" s="286">
        <f>VLOOKUP($C92,'Typologie détaillée'!$E$4:$H$214,4,0)</f>
        <v>0</v>
      </c>
      <c r="F92" s="125"/>
      <c r="G92" s="125"/>
      <c r="H92" s="302"/>
      <c r="I92" s="125"/>
      <c r="J92" s="125"/>
      <c r="K92" s="125"/>
      <c r="P92" s="129">
        <f t="shared" si="54"/>
        <v>0</v>
      </c>
      <c r="Q92" s="129">
        <f t="shared" si="54"/>
        <v>0</v>
      </c>
      <c r="R92" s="106">
        <f t="shared" si="54"/>
        <v>0</v>
      </c>
      <c r="T92" s="106" t="str">
        <f t="shared" si="55"/>
        <v/>
      </c>
      <c r="U92" s="106" t="str">
        <f t="shared" si="55"/>
        <v/>
      </c>
      <c r="V92" s="106" t="str">
        <f t="shared" si="55"/>
        <v/>
      </c>
      <c r="X92" s="106" t="str">
        <f t="shared" si="56"/>
        <v/>
      </c>
      <c r="Y92" s="106" t="str">
        <f t="shared" si="56"/>
        <v/>
      </c>
      <c r="Z92" s="106" t="str">
        <f t="shared" si="56"/>
        <v/>
      </c>
      <c r="AA92" s="106" t="str">
        <f t="shared" si="56"/>
        <v/>
      </c>
    </row>
    <row r="93" spans="1:27" outlineLevel="1" x14ac:dyDescent="0.2">
      <c r="C93" s="37" t="s">
        <v>353</v>
      </c>
      <c r="D93" s="285" t="str">
        <f>VLOOKUP($C93,'Typologie détaillée'!$E$4:$H$214,3,0)</f>
        <v>Ne pas utiliser</v>
      </c>
      <c r="E93" s="286">
        <f>VLOOKUP($C93,'Typologie détaillée'!$E$4:$H$214,4,0)</f>
        <v>0</v>
      </c>
      <c r="F93" s="90"/>
      <c r="G93" s="90"/>
      <c r="H93" s="301"/>
      <c r="I93" s="90"/>
      <c r="J93" s="90"/>
      <c r="K93" s="90"/>
      <c r="P93" s="129">
        <f t="shared" si="54"/>
        <v>0</v>
      </c>
      <c r="Q93" s="129">
        <f t="shared" si="54"/>
        <v>0</v>
      </c>
      <c r="R93" s="106">
        <f t="shared" si="54"/>
        <v>0</v>
      </c>
      <c r="T93" s="106" t="str">
        <f t="shared" si="55"/>
        <v/>
      </c>
      <c r="U93" s="106" t="str">
        <f t="shared" si="55"/>
        <v/>
      </c>
      <c r="V93" s="106" t="str">
        <f t="shared" si="55"/>
        <v/>
      </c>
      <c r="X93" s="106" t="str">
        <f t="shared" si="56"/>
        <v/>
      </c>
      <c r="Y93" s="106" t="str">
        <f t="shared" si="56"/>
        <v/>
      </c>
      <c r="Z93" s="106" t="str">
        <f t="shared" si="56"/>
        <v/>
      </c>
      <c r="AA93" s="106" t="str">
        <f t="shared" si="56"/>
        <v/>
      </c>
    </row>
    <row r="94" spans="1:27" outlineLevel="1" x14ac:dyDescent="0.2">
      <c r="C94" s="37" t="s">
        <v>353</v>
      </c>
      <c r="D94" s="285" t="str">
        <f>VLOOKUP($C94,'Typologie détaillée'!$E$4:$H$214,3,0)</f>
        <v>Ne pas utiliser</v>
      </c>
      <c r="E94" s="286">
        <f>VLOOKUP($C94,'Typologie détaillée'!$E$4:$H$214,4,0)</f>
        <v>0</v>
      </c>
      <c r="F94" s="90"/>
      <c r="G94" s="90"/>
      <c r="H94" s="301"/>
      <c r="I94" s="90"/>
      <c r="J94" s="90"/>
      <c r="K94" s="90"/>
      <c r="P94" s="129">
        <f t="shared" si="54"/>
        <v>0</v>
      </c>
      <c r="Q94" s="129">
        <f t="shared" si="54"/>
        <v>0</v>
      </c>
      <c r="R94" s="106">
        <f t="shared" si="54"/>
        <v>0</v>
      </c>
      <c r="T94" s="106" t="str">
        <f t="shared" si="55"/>
        <v/>
      </c>
      <c r="U94" s="106" t="str">
        <f t="shared" si="55"/>
        <v/>
      </c>
      <c r="V94" s="106" t="str">
        <f t="shared" si="55"/>
        <v/>
      </c>
      <c r="X94" s="106" t="str">
        <f t="shared" si="56"/>
        <v/>
      </c>
      <c r="Y94" s="106" t="str">
        <f t="shared" si="56"/>
        <v/>
      </c>
      <c r="Z94" s="106" t="str">
        <f t="shared" si="56"/>
        <v/>
      </c>
      <c r="AA94" s="106" t="str">
        <f t="shared" si="56"/>
        <v/>
      </c>
    </row>
    <row r="95" spans="1:27" s="138" customFormat="1" x14ac:dyDescent="0.2">
      <c r="A95" s="138" t="str">
        <f>A91</f>
        <v>• service 8</v>
      </c>
      <c r="B95" s="138">
        <f>B91</f>
        <v>0</v>
      </c>
      <c r="D95" s="138" t="s">
        <v>97</v>
      </c>
      <c r="E95" s="139"/>
      <c r="F95" s="139"/>
      <c r="G95" s="139"/>
      <c r="H95" s="299"/>
      <c r="I95" s="139"/>
      <c r="J95" s="139"/>
      <c r="K95" s="139"/>
      <c r="P95" s="139">
        <f>SUBTOTAL(9,P91:P94)</f>
        <v>0</v>
      </c>
      <c r="Q95" s="139">
        <f>SUBTOTAL(9,Q91:Q94)</f>
        <v>0</v>
      </c>
      <c r="R95" s="138">
        <f>SUBTOTAL(9,R91:R94)</f>
        <v>0</v>
      </c>
      <c r="T95" s="138">
        <f>SUBTOTAL(9,T91:T94)</f>
        <v>0</v>
      </c>
      <c r="U95" s="138">
        <f>SUBTOTAL(9,U91:U94)</f>
        <v>0</v>
      </c>
      <c r="V95" s="138">
        <f>SUBTOTAL(9,V91:V94)</f>
        <v>0</v>
      </c>
      <c r="X95" s="138">
        <f>SUBTOTAL(9,X91:X94)</f>
        <v>0</v>
      </c>
      <c r="Y95" s="138">
        <f>SUBTOTAL(9,Y91:Y94)</f>
        <v>0</v>
      </c>
      <c r="Z95" s="138">
        <f>SUBTOTAL(9,Z91:Z94)</f>
        <v>0</v>
      </c>
      <c r="AA95" s="138">
        <f>SUBTOTAL(9,AA91:AA94)</f>
        <v>0</v>
      </c>
    </row>
    <row r="96" spans="1:27" outlineLevel="1" x14ac:dyDescent="0.2">
      <c r="A96" t="str">
        <f>'Partie 3 • M.implantation'!C8</f>
        <v>• service 9</v>
      </c>
      <c r="C96" s="37" t="s">
        <v>353</v>
      </c>
      <c r="D96" s="285" t="str">
        <f>VLOOKUP($C96,'Typologie détaillée'!$E$4:$H$214,3,0)</f>
        <v>Ne pas utiliser</v>
      </c>
      <c r="E96" s="286">
        <f>VLOOKUP($C96,'Typologie détaillée'!$E$4:$H$214,4,0)</f>
        <v>0</v>
      </c>
      <c r="F96" s="125"/>
      <c r="G96" s="125"/>
      <c r="H96" s="302"/>
      <c r="I96" s="125"/>
      <c r="J96" s="125"/>
      <c r="K96" s="125"/>
      <c r="P96" s="129">
        <f t="shared" ref="P96:R98" si="57">$G96*I96</f>
        <v>0</v>
      </c>
      <c r="Q96" s="129">
        <f t="shared" si="57"/>
        <v>0</v>
      </c>
      <c r="R96" s="106">
        <f t="shared" si="57"/>
        <v>0</v>
      </c>
      <c r="T96" s="106" t="str">
        <f t="shared" ref="T96:V98" si="58">IF($E96=T$4,$R96,"")</f>
        <v/>
      </c>
      <c r="U96" s="106" t="str">
        <f t="shared" si="58"/>
        <v/>
      </c>
      <c r="V96" s="106" t="str">
        <f t="shared" si="58"/>
        <v/>
      </c>
      <c r="X96" s="106" t="str">
        <f t="shared" ref="X96:AA98" si="59">IF($F96=X$4,$R96,"")</f>
        <v/>
      </c>
      <c r="Y96" s="106" t="str">
        <f t="shared" si="59"/>
        <v/>
      </c>
      <c r="Z96" s="106" t="str">
        <f t="shared" si="59"/>
        <v/>
      </c>
      <c r="AA96" s="106" t="str">
        <f t="shared" si="59"/>
        <v/>
      </c>
    </row>
    <row r="97" spans="1:27" outlineLevel="1" x14ac:dyDescent="0.2">
      <c r="C97" s="37" t="s">
        <v>353</v>
      </c>
      <c r="D97" s="285" t="str">
        <f>VLOOKUP($C97,'Typologie détaillée'!$E$4:$H$214,3,0)</f>
        <v>Ne pas utiliser</v>
      </c>
      <c r="E97" s="286">
        <f>VLOOKUP($C97,'Typologie détaillée'!$E$4:$H$214,4,0)</f>
        <v>0</v>
      </c>
      <c r="F97" s="90"/>
      <c r="G97" s="90"/>
      <c r="H97" s="301"/>
      <c r="I97" s="90"/>
      <c r="J97" s="90"/>
      <c r="K97" s="90"/>
      <c r="P97" s="129">
        <f t="shared" si="57"/>
        <v>0</v>
      </c>
      <c r="Q97" s="129">
        <f t="shared" si="57"/>
        <v>0</v>
      </c>
      <c r="R97" s="106">
        <f t="shared" si="57"/>
        <v>0</v>
      </c>
      <c r="T97" s="106" t="str">
        <f t="shared" si="58"/>
        <v/>
      </c>
      <c r="U97" s="106" t="str">
        <f t="shared" si="58"/>
        <v/>
      </c>
      <c r="V97" s="106" t="str">
        <f t="shared" si="58"/>
        <v/>
      </c>
      <c r="X97" s="106" t="str">
        <f t="shared" si="59"/>
        <v/>
      </c>
      <c r="Y97" s="106" t="str">
        <f t="shared" si="59"/>
        <v/>
      </c>
      <c r="Z97" s="106" t="str">
        <f t="shared" si="59"/>
        <v/>
      </c>
      <c r="AA97" s="106" t="str">
        <f t="shared" si="59"/>
        <v/>
      </c>
    </row>
    <row r="98" spans="1:27" outlineLevel="1" x14ac:dyDescent="0.2">
      <c r="C98" s="37" t="s">
        <v>353</v>
      </c>
      <c r="D98" s="285" t="str">
        <f>VLOOKUP($C98,'Typologie détaillée'!$E$4:$H$214,3,0)</f>
        <v>Ne pas utiliser</v>
      </c>
      <c r="E98" s="286">
        <f>VLOOKUP($C98,'Typologie détaillée'!$E$4:$H$214,4,0)</f>
        <v>0</v>
      </c>
      <c r="F98" s="90"/>
      <c r="G98" s="90"/>
      <c r="H98" s="301"/>
      <c r="I98" s="90"/>
      <c r="J98" s="90"/>
      <c r="K98" s="90"/>
      <c r="P98" s="129">
        <f t="shared" si="57"/>
        <v>0</v>
      </c>
      <c r="Q98" s="129">
        <f t="shared" si="57"/>
        <v>0</v>
      </c>
      <c r="R98" s="106">
        <f t="shared" si="57"/>
        <v>0</v>
      </c>
      <c r="T98" s="106" t="str">
        <f t="shared" si="58"/>
        <v/>
      </c>
      <c r="U98" s="106" t="str">
        <f t="shared" si="58"/>
        <v/>
      </c>
      <c r="V98" s="106" t="str">
        <f t="shared" si="58"/>
        <v/>
      </c>
      <c r="X98" s="106" t="str">
        <f t="shared" si="59"/>
        <v/>
      </c>
      <c r="Y98" s="106" t="str">
        <f t="shared" si="59"/>
        <v/>
      </c>
      <c r="Z98" s="106" t="str">
        <f t="shared" si="59"/>
        <v/>
      </c>
      <c r="AA98" s="106" t="str">
        <f t="shared" si="59"/>
        <v/>
      </c>
    </row>
    <row r="99" spans="1:27" s="138" customFormat="1" x14ac:dyDescent="0.2">
      <c r="A99" s="138" t="str">
        <f>A96</f>
        <v>• service 9</v>
      </c>
      <c r="B99" s="138">
        <f>B96</f>
        <v>0</v>
      </c>
      <c r="D99" s="138" t="s">
        <v>97</v>
      </c>
      <c r="E99" s="139"/>
      <c r="F99" s="139"/>
      <c r="G99" s="139"/>
      <c r="H99" s="299"/>
      <c r="I99" s="139"/>
      <c r="J99" s="139"/>
      <c r="K99" s="139"/>
      <c r="P99" s="139">
        <f>SUBTOTAL(9,P96:P98)</f>
        <v>0</v>
      </c>
      <c r="Q99" s="139">
        <f>SUBTOTAL(9,Q96:Q98)</f>
        <v>0</v>
      </c>
      <c r="R99" s="138">
        <f>SUBTOTAL(9,R96:R98)</f>
        <v>0</v>
      </c>
      <c r="T99" s="138">
        <f>SUBTOTAL(9,T96:T98)</f>
        <v>0</v>
      </c>
      <c r="U99" s="138">
        <f>SUBTOTAL(9,U96:U98)</f>
        <v>0</v>
      </c>
      <c r="V99" s="138">
        <f>SUBTOTAL(9,V96:V98)</f>
        <v>0</v>
      </c>
      <c r="X99" s="138">
        <f>SUBTOTAL(9,X96:X98)</f>
        <v>0</v>
      </c>
      <c r="Y99" s="138">
        <f>SUBTOTAL(9,Y96:Y98)</f>
        <v>0</v>
      </c>
      <c r="Z99" s="138">
        <f>SUBTOTAL(9,Z96:Z98)</f>
        <v>0</v>
      </c>
      <c r="AA99" s="138">
        <f>SUBTOTAL(9,AA96:AA98)</f>
        <v>0</v>
      </c>
    </row>
    <row r="100" spans="1:27" outlineLevel="1" x14ac:dyDescent="0.2">
      <c r="A100" t="str">
        <f>'Partie 3 • M.implantation'!C9</f>
        <v>• service 10</v>
      </c>
      <c r="C100" s="37" t="s">
        <v>353</v>
      </c>
      <c r="D100" s="285" t="str">
        <f>VLOOKUP($C100,'Typologie détaillée'!$E$4:$H$214,3,0)</f>
        <v>Ne pas utiliser</v>
      </c>
      <c r="E100" s="286">
        <f>VLOOKUP($C100,'Typologie détaillée'!$E$4:$H$214,4,0)</f>
        <v>0</v>
      </c>
      <c r="F100" s="125"/>
      <c r="G100" s="125"/>
      <c r="H100" s="302"/>
      <c r="I100" s="125"/>
      <c r="J100" s="125"/>
      <c r="K100" s="125"/>
      <c r="P100" s="129">
        <f t="shared" ref="P100:R106" si="60">$G100*I100</f>
        <v>0</v>
      </c>
      <c r="Q100" s="129">
        <f t="shared" si="60"/>
        <v>0</v>
      </c>
      <c r="R100" s="106">
        <f t="shared" si="60"/>
        <v>0</v>
      </c>
      <c r="T100" s="106" t="str">
        <f t="shared" ref="T100:V106" si="61">IF($E100=T$4,$R100,"")</f>
        <v/>
      </c>
      <c r="U100" s="106" t="str">
        <f t="shared" si="61"/>
        <v/>
      </c>
      <c r="V100" s="106" t="str">
        <f t="shared" si="61"/>
        <v/>
      </c>
      <c r="X100" s="106" t="str">
        <f t="shared" ref="X100:AA106" si="62">IF($F100=X$4,$R100,"")</f>
        <v/>
      </c>
      <c r="Y100" s="106" t="str">
        <f t="shared" si="62"/>
        <v/>
      </c>
      <c r="Z100" s="106" t="str">
        <f t="shared" si="62"/>
        <v/>
      </c>
      <c r="AA100" s="106" t="str">
        <f t="shared" si="62"/>
        <v/>
      </c>
    </row>
    <row r="101" spans="1:27" outlineLevel="1" x14ac:dyDescent="0.2">
      <c r="C101" s="37" t="s">
        <v>353</v>
      </c>
      <c r="D101" s="285" t="str">
        <f>VLOOKUP($C101,'Typologie détaillée'!$E$4:$H$214,3,0)</f>
        <v>Ne pas utiliser</v>
      </c>
      <c r="E101" s="286">
        <f>VLOOKUP($C101,'Typologie détaillée'!$E$4:$H$214,4,0)</f>
        <v>0</v>
      </c>
      <c r="F101" s="90"/>
      <c r="G101" s="90"/>
      <c r="H101" s="301"/>
      <c r="I101" s="90"/>
      <c r="J101" s="90"/>
      <c r="K101" s="90"/>
      <c r="P101" s="129">
        <f t="shared" si="60"/>
        <v>0</v>
      </c>
      <c r="Q101" s="129">
        <f t="shared" si="60"/>
        <v>0</v>
      </c>
      <c r="R101" s="106">
        <f t="shared" si="60"/>
        <v>0</v>
      </c>
      <c r="T101" s="106" t="str">
        <f t="shared" si="61"/>
        <v/>
      </c>
      <c r="U101" s="106" t="str">
        <f t="shared" si="61"/>
        <v/>
      </c>
      <c r="V101" s="106" t="str">
        <f t="shared" si="61"/>
        <v/>
      </c>
      <c r="X101" s="106" t="str">
        <f t="shared" si="62"/>
        <v/>
      </c>
      <c r="Y101" s="106" t="str">
        <f t="shared" si="62"/>
        <v/>
      </c>
      <c r="Z101" s="106" t="str">
        <f t="shared" si="62"/>
        <v/>
      </c>
      <c r="AA101" s="106" t="str">
        <f t="shared" si="62"/>
        <v/>
      </c>
    </row>
    <row r="102" spans="1:27" outlineLevel="1" x14ac:dyDescent="0.2">
      <c r="C102" s="37" t="s">
        <v>353</v>
      </c>
      <c r="D102" s="285" t="str">
        <f>VLOOKUP($C102,'Typologie détaillée'!$E$4:$H$214,3,0)</f>
        <v>Ne pas utiliser</v>
      </c>
      <c r="E102" s="286">
        <f>VLOOKUP($C102,'Typologie détaillée'!$E$4:$H$214,4,0)</f>
        <v>0</v>
      </c>
      <c r="F102" s="90"/>
      <c r="G102" s="90"/>
      <c r="H102" s="301"/>
      <c r="I102" s="90"/>
      <c r="J102" s="90"/>
      <c r="K102" s="90"/>
      <c r="P102" s="129">
        <f t="shared" si="60"/>
        <v>0</v>
      </c>
      <c r="Q102" s="129">
        <f t="shared" si="60"/>
        <v>0</v>
      </c>
      <c r="R102" s="106">
        <f t="shared" si="60"/>
        <v>0</v>
      </c>
      <c r="T102" s="106" t="str">
        <f t="shared" si="61"/>
        <v/>
      </c>
      <c r="U102" s="106" t="str">
        <f t="shared" si="61"/>
        <v/>
      </c>
      <c r="V102" s="106" t="str">
        <f t="shared" si="61"/>
        <v/>
      </c>
      <c r="X102" s="106" t="str">
        <f t="shared" si="62"/>
        <v/>
      </c>
      <c r="Y102" s="106" t="str">
        <f t="shared" si="62"/>
        <v/>
      </c>
      <c r="Z102" s="106" t="str">
        <f t="shared" si="62"/>
        <v/>
      </c>
      <c r="AA102" s="106" t="str">
        <f t="shared" si="62"/>
        <v/>
      </c>
    </row>
    <row r="103" spans="1:27" outlineLevel="1" x14ac:dyDescent="0.2">
      <c r="C103" s="37" t="s">
        <v>353</v>
      </c>
      <c r="D103" s="285" t="str">
        <f>VLOOKUP($C103,'Typologie détaillée'!$E$4:$H$214,3,0)</f>
        <v>Ne pas utiliser</v>
      </c>
      <c r="E103" s="286">
        <f>VLOOKUP($C103,'Typologie détaillée'!$E$4:$H$214,4,0)</f>
        <v>0</v>
      </c>
      <c r="F103" s="90"/>
      <c r="G103" s="90"/>
      <c r="H103" s="301"/>
      <c r="I103" s="90"/>
      <c r="J103" s="90"/>
      <c r="K103" s="90"/>
      <c r="P103" s="129">
        <f t="shared" si="60"/>
        <v>0</v>
      </c>
      <c r="Q103" s="129">
        <f t="shared" si="60"/>
        <v>0</v>
      </c>
      <c r="R103" s="106">
        <f t="shared" si="60"/>
        <v>0</v>
      </c>
      <c r="T103" s="106" t="str">
        <f t="shared" si="61"/>
        <v/>
      </c>
      <c r="U103" s="106" t="str">
        <f t="shared" si="61"/>
        <v/>
      </c>
      <c r="V103" s="106" t="str">
        <f t="shared" si="61"/>
        <v/>
      </c>
      <c r="X103" s="106" t="str">
        <f t="shared" si="62"/>
        <v/>
      </c>
      <c r="Y103" s="106" t="str">
        <f t="shared" si="62"/>
        <v/>
      </c>
      <c r="Z103" s="106" t="str">
        <f t="shared" si="62"/>
        <v/>
      </c>
      <c r="AA103" s="106" t="str">
        <f t="shared" si="62"/>
        <v/>
      </c>
    </row>
    <row r="104" spans="1:27" outlineLevel="1" x14ac:dyDescent="0.2">
      <c r="C104" s="37" t="s">
        <v>353</v>
      </c>
      <c r="D104" s="285" t="str">
        <f>VLOOKUP($C104,'Typologie détaillée'!$E$4:$H$214,3,0)</f>
        <v>Ne pas utiliser</v>
      </c>
      <c r="E104" s="286">
        <f>VLOOKUP($C104,'Typologie détaillée'!$E$4:$H$214,4,0)</f>
        <v>0</v>
      </c>
      <c r="F104" s="90"/>
      <c r="G104" s="90"/>
      <c r="H104" s="301"/>
      <c r="I104" s="90"/>
      <c r="J104" s="90"/>
      <c r="K104" s="90"/>
      <c r="P104" s="129">
        <f t="shared" si="60"/>
        <v>0</v>
      </c>
      <c r="Q104" s="129">
        <f t="shared" si="60"/>
        <v>0</v>
      </c>
      <c r="R104" s="106">
        <f t="shared" si="60"/>
        <v>0</v>
      </c>
      <c r="T104" s="106" t="str">
        <f t="shared" si="61"/>
        <v/>
      </c>
      <c r="U104" s="106" t="str">
        <f t="shared" si="61"/>
        <v/>
      </c>
      <c r="V104" s="106" t="str">
        <f t="shared" si="61"/>
        <v/>
      </c>
      <c r="X104" s="106" t="str">
        <f t="shared" si="62"/>
        <v/>
      </c>
      <c r="Y104" s="106" t="str">
        <f t="shared" si="62"/>
        <v/>
      </c>
      <c r="Z104" s="106" t="str">
        <f t="shared" si="62"/>
        <v/>
      </c>
      <c r="AA104" s="106" t="str">
        <f t="shared" si="62"/>
        <v/>
      </c>
    </row>
    <row r="105" spans="1:27" outlineLevel="1" x14ac:dyDescent="0.2">
      <c r="C105" s="37" t="s">
        <v>353</v>
      </c>
      <c r="D105" s="285" t="str">
        <f>VLOOKUP($C105,'Typologie détaillée'!$E$4:$H$214,3,0)</f>
        <v>Ne pas utiliser</v>
      </c>
      <c r="E105" s="286">
        <f>VLOOKUP($C105,'Typologie détaillée'!$E$4:$H$214,4,0)</f>
        <v>0</v>
      </c>
      <c r="F105" s="90"/>
      <c r="G105" s="90"/>
      <c r="H105" s="301"/>
      <c r="I105" s="90"/>
      <c r="J105" s="90"/>
      <c r="K105" s="90"/>
      <c r="P105" s="129">
        <f t="shared" si="60"/>
        <v>0</v>
      </c>
      <c r="Q105" s="129">
        <f t="shared" si="60"/>
        <v>0</v>
      </c>
      <c r="R105" s="106">
        <f t="shared" si="60"/>
        <v>0</v>
      </c>
      <c r="T105" s="106" t="str">
        <f t="shared" si="61"/>
        <v/>
      </c>
      <c r="U105" s="106" t="str">
        <f t="shared" si="61"/>
        <v/>
      </c>
      <c r="V105" s="106" t="str">
        <f t="shared" si="61"/>
        <v/>
      </c>
      <c r="X105" s="106" t="str">
        <f t="shared" si="62"/>
        <v/>
      </c>
      <c r="Y105" s="106" t="str">
        <f t="shared" si="62"/>
        <v/>
      </c>
      <c r="Z105" s="106" t="str">
        <f t="shared" si="62"/>
        <v/>
      </c>
      <c r="AA105" s="106" t="str">
        <f t="shared" si="62"/>
        <v/>
      </c>
    </row>
    <row r="106" spans="1:27" outlineLevel="1" x14ac:dyDescent="0.2">
      <c r="C106" s="37" t="s">
        <v>353</v>
      </c>
      <c r="D106" s="285" t="str">
        <f>VLOOKUP($C106,'Typologie détaillée'!$E$4:$H$214,3,0)</f>
        <v>Ne pas utiliser</v>
      </c>
      <c r="E106" s="286">
        <f>VLOOKUP($C106,'Typologie détaillée'!$E$4:$H$214,4,0)</f>
        <v>0</v>
      </c>
      <c r="F106" s="90"/>
      <c r="G106" s="90"/>
      <c r="H106" s="301"/>
      <c r="I106" s="90"/>
      <c r="J106" s="90"/>
      <c r="K106" s="90"/>
      <c r="P106" s="129">
        <f t="shared" si="60"/>
        <v>0</v>
      </c>
      <c r="Q106" s="129">
        <f t="shared" si="60"/>
        <v>0</v>
      </c>
      <c r="R106" s="106">
        <f t="shared" si="60"/>
        <v>0</v>
      </c>
      <c r="T106" s="106" t="str">
        <f t="shared" si="61"/>
        <v/>
      </c>
      <c r="U106" s="106" t="str">
        <f t="shared" si="61"/>
        <v/>
      </c>
      <c r="V106" s="106" t="str">
        <f t="shared" si="61"/>
        <v/>
      </c>
      <c r="X106" s="106" t="str">
        <f t="shared" si="62"/>
        <v/>
      </c>
      <c r="Y106" s="106" t="str">
        <f t="shared" si="62"/>
        <v/>
      </c>
      <c r="Z106" s="106" t="str">
        <f t="shared" si="62"/>
        <v/>
      </c>
      <c r="AA106" s="106" t="str">
        <f t="shared" si="62"/>
        <v/>
      </c>
    </row>
    <row r="107" spans="1:27" s="138" customFormat="1" x14ac:dyDescent="0.2">
      <c r="A107" s="138" t="str">
        <f>A100</f>
        <v>• service 10</v>
      </c>
      <c r="B107" s="138">
        <f>B100</f>
        <v>0</v>
      </c>
      <c r="D107" s="138" t="s">
        <v>97</v>
      </c>
      <c r="E107" s="139"/>
      <c r="F107" s="139"/>
      <c r="G107" s="139"/>
      <c r="H107" s="299"/>
      <c r="I107" s="139"/>
      <c r="J107" s="139"/>
      <c r="K107" s="139"/>
      <c r="P107" s="139">
        <f>SUBTOTAL(9,P100:P106)</f>
        <v>0</v>
      </c>
      <c r="Q107" s="139">
        <f>SUBTOTAL(9,Q100:Q106)</f>
        <v>0</v>
      </c>
      <c r="R107" s="138">
        <f>SUBTOTAL(9,R100:R106)</f>
        <v>0</v>
      </c>
      <c r="T107" s="138">
        <f>SUBTOTAL(9,T100:T106)</f>
        <v>0</v>
      </c>
      <c r="U107" s="138">
        <f>SUBTOTAL(9,U100:U106)</f>
        <v>0</v>
      </c>
      <c r="V107" s="138">
        <f>SUBTOTAL(9,V100:V106)</f>
        <v>0</v>
      </c>
      <c r="X107" s="138">
        <f>SUBTOTAL(9,X100:X106)</f>
        <v>0</v>
      </c>
      <c r="Y107" s="138">
        <f>SUBTOTAL(9,Y100:Y106)</f>
        <v>0</v>
      </c>
      <c r="Z107" s="138">
        <f>SUBTOTAL(9,Z100:Z106)</f>
        <v>0</v>
      </c>
      <c r="AA107" s="138">
        <f>SUBTOTAL(9,AA100:AA106)</f>
        <v>0</v>
      </c>
    </row>
    <row r="108" spans="1:27" outlineLevel="1" x14ac:dyDescent="0.2">
      <c r="A108" t="str">
        <f>'Partie 3 • M.implantation'!C10</f>
        <v>• service 11</v>
      </c>
      <c r="C108" s="37" t="s">
        <v>353</v>
      </c>
      <c r="D108" s="285" t="str">
        <f>VLOOKUP($C108,'Typologie détaillée'!$E$4:$H$214,3,0)</f>
        <v>Ne pas utiliser</v>
      </c>
      <c r="E108" s="286">
        <f>VLOOKUP($C108,'Typologie détaillée'!$E$4:$H$214,4,0)</f>
        <v>0</v>
      </c>
      <c r="F108" s="125"/>
      <c r="G108" s="125"/>
      <c r="H108" s="302"/>
      <c r="I108" s="125"/>
      <c r="J108" s="125"/>
      <c r="K108" s="125"/>
      <c r="P108" s="129">
        <f t="shared" ref="P108:P116" si="63">$G108*I108</f>
        <v>0</v>
      </c>
      <c r="Q108" s="129">
        <f t="shared" ref="Q108:Q116" si="64">$G108*J108</f>
        <v>0</v>
      </c>
      <c r="R108" s="106">
        <f t="shared" ref="R108:R116" si="65">$G108*K108</f>
        <v>0</v>
      </c>
      <c r="T108" s="106" t="str">
        <f t="shared" ref="T108:V116" si="66">IF($E108=T$4,$R108,"")</f>
        <v/>
      </c>
      <c r="U108" s="106" t="str">
        <f t="shared" si="66"/>
        <v/>
      </c>
      <c r="V108" s="106" t="str">
        <f t="shared" si="66"/>
        <v/>
      </c>
      <c r="X108" s="106" t="str">
        <f t="shared" ref="X108:AA116" si="67">IF($F108=X$4,$R108,"")</f>
        <v/>
      </c>
      <c r="Y108" s="106" t="str">
        <f t="shared" si="67"/>
        <v/>
      </c>
      <c r="Z108" s="106" t="str">
        <f t="shared" si="67"/>
        <v/>
      </c>
      <c r="AA108" s="106" t="str">
        <f t="shared" si="67"/>
        <v/>
      </c>
    </row>
    <row r="109" spans="1:27" outlineLevel="1" x14ac:dyDescent="0.2">
      <c r="C109" s="37" t="s">
        <v>353</v>
      </c>
      <c r="D109" s="285" t="str">
        <f>VLOOKUP($C109,'Typologie détaillée'!$E$4:$H$214,3,0)</f>
        <v>Ne pas utiliser</v>
      </c>
      <c r="E109" s="286">
        <f>VLOOKUP($C109,'Typologie détaillée'!$E$4:$H$214,4,0)</f>
        <v>0</v>
      </c>
      <c r="F109" s="90"/>
      <c r="G109" s="90"/>
      <c r="H109" s="301"/>
      <c r="I109" s="90"/>
      <c r="J109" s="90"/>
      <c r="K109" s="90"/>
      <c r="P109" s="129">
        <f t="shared" si="63"/>
        <v>0</v>
      </c>
      <c r="Q109" s="129">
        <f t="shared" si="64"/>
        <v>0</v>
      </c>
      <c r="R109" s="106">
        <f t="shared" si="65"/>
        <v>0</v>
      </c>
      <c r="T109" s="106" t="str">
        <f t="shared" si="66"/>
        <v/>
      </c>
      <c r="U109" s="106" t="str">
        <f t="shared" si="66"/>
        <v/>
      </c>
      <c r="V109" s="106" t="str">
        <f t="shared" si="66"/>
        <v/>
      </c>
      <c r="X109" s="106" t="str">
        <f t="shared" si="67"/>
        <v/>
      </c>
      <c r="Y109" s="106" t="str">
        <f t="shared" si="67"/>
        <v/>
      </c>
      <c r="Z109" s="106" t="str">
        <f t="shared" si="67"/>
        <v/>
      </c>
      <c r="AA109" s="106" t="str">
        <f t="shared" si="67"/>
        <v/>
      </c>
    </row>
    <row r="110" spans="1:27" outlineLevel="1" x14ac:dyDescent="0.2">
      <c r="C110" s="37" t="s">
        <v>353</v>
      </c>
      <c r="D110" s="285" t="str">
        <f>VLOOKUP($C110,'Typologie détaillée'!$E$4:$H$214,3,0)</f>
        <v>Ne pas utiliser</v>
      </c>
      <c r="E110" s="286">
        <f>VLOOKUP($C110,'Typologie détaillée'!$E$4:$H$214,4,0)</f>
        <v>0</v>
      </c>
      <c r="F110" s="90"/>
      <c r="G110" s="90"/>
      <c r="H110" s="301"/>
      <c r="I110" s="90"/>
      <c r="J110" s="90"/>
      <c r="K110" s="90"/>
      <c r="P110" s="129">
        <f t="shared" si="63"/>
        <v>0</v>
      </c>
      <c r="Q110" s="129">
        <f t="shared" si="64"/>
        <v>0</v>
      </c>
      <c r="R110" s="106">
        <f t="shared" si="65"/>
        <v>0</v>
      </c>
      <c r="T110" s="106" t="str">
        <f t="shared" si="66"/>
        <v/>
      </c>
      <c r="U110" s="106" t="str">
        <f t="shared" si="66"/>
        <v/>
      </c>
      <c r="V110" s="106" t="str">
        <f t="shared" si="66"/>
        <v/>
      </c>
      <c r="X110" s="106" t="str">
        <f t="shared" si="67"/>
        <v/>
      </c>
      <c r="Y110" s="106" t="str">
        <f t="shared" si="67"/>
        <v/>
      </c>
      <c r="Z110" s="106" t="str">
        <f t="shared" si="67"/>
        <v/>
      </c>
      <c r="AA110" s="106" t="str">
        <f t="shared" si="67"/>
        <v/>
      </c>
    </row>
    <row r="111" spans="1:27" outlineLevel="1" x14ac:dyDescent="0.2">
      <c r="C111" s="37" t="s">
        <v>353</v>
      </c>
      <c r="D111" s="285" t="str">
        <f>VLOOKUP($C111,'Typologie détaillée'!$E$4:$H$214,3,0)</f>
        <v>Ne pas utiliser</v>
      </c>
      <c r="E111" s="286">
        <f>VLOOKUP($C111,'Typologie détaillée'!$E$4:$H$214,4,0)</f>
        <v>0</v>
      </c>
      <c r="F111" s="90"/>
      <c r="G111" s="90"/>
      <c r="H111" s="301"/>
      <c r="I111" s="90"/>
      <c r="J111" s="90"/>
      <c r="K111" s="90"/>
      <c r="P111" s="129">
        <f t="shared" si="63"/>
        <v>0</v>
      </c>
      <c r="Q111" s="129">
        <f t="shared" si="64"/>
        <v>0</v>
      </c>
      <c r="R111" s="106">
        <f t="shared" si="65"/>
        <v>0</v>
      </c>
      <c r="T111" s="106" t="str">
        <f t="shared" si="66"/>
        <v/>
      </c>
      <c r="U111" s="106" t="str">
        <f t="shared" si="66"/>
        <v/>
      </c>
      <c r="V111" s="106" t="str">
        <f t="shared" si="66"/>
        <v/>
      </c>
      <c r="X111" s="106" t="str">
        <f t="shared" si="67"/>
        <v/>
      </c>
      <c r="Y111" s="106" t="str">
        <f t="shared" si="67"/>
        <v/>
      </c>
      <c r="Z111" s="106" t="str">
        <f t="shared" si="67"/>
        <v/>
      </c>
      <c r="AA111" s="106" t="str">
        <f t="shared" si="67"/>
        <v/>
      </c>
    </row>
    <row r="112" spans="1:27" outlineLevel="1" x14ac:dyDescent="0.2">
      <c r="C112" s="37" t="s">
        <v>353</v>
      </c>
      <c r="D112" s="285" t="str">
        <f>VLOOKUP($C112,'Typologie détaillée'!$E$4:$H$214,3,0)</f>
        <v>Ne pas utiliser</v>
      </c>
      <c r="E112" s="286">
        <f>VLOOKUP($C112,'Typologie détaillée'!$E$4:$H$214,4,0)</f>
        <v>0</v>
      </c>
      <c r="F112" s="90"/>
      <c r="G112" s="90"/>
      <c r="H112" s="301"/>
      <c r="I112" s="90"/>
      <c r="J112" s="90"/>
      <c r="K112" s="90"/>
      <c r="P112" s="129">
        <f t="shared" si="63"/>
        <v>0</v>
      </c>
      <c r="Q112" s="129">
        <f t="shared" si="64"/>
        <v>0</v>
      </c>
      <c r="R112" s="106">
        <f t="shared" si="65"/>
        <v>0</v>
      </c>
      <c r="T112" s="106" t="str">
        <f t="shared" si="66"/>
        <v/>
      </c>
      <c r="U112" s="106" t="str">
        <f t="shared" si="66"/>
        <v/>
      </c>
      <c r="V112" s="106" t="str">
        <f t="shared" si="66"/>
        <v/>
      </c>
      <c r="X112" s="106" t="str">
        <f t="shared" si="67"/>
        <v/>
      </c>
      <c r="Y112" s="106" t="str">
        <f t="shared" si="67"/>
        <v/>
      </c>
      <c r="Z112" s="106" t="str">
        <f t="shared" si="67"/>
        <v/>
      </c>
      <c r="AA112" s="106" t="str">
        <f t="shared" si="67"/>
        <v/>
      </c>
    </row>
    <row r="113" spans="1:27" outlineLevel="1" x14ac:dyDescent="0.2">
      <c r="C113" s="37" t="s">
        <v>353</v>
      </c>
      <c r="D113" s="285" t="str">
        <f>VLOOKUP($C113,'Typologie détaillée'!$E$4:$H$214,3,0)</f>
        <v>Ne pas utiliser</v>
      </c>
      <c r="E113" s="286">
        <f>VLOOKUP($C113,'Typologie détaillée'!$E$4:$H$214,4,0)</f>
        <v>0</v>
      </c>
      <c r="F113" s="90"/>
      <c r="G113" s="90"/>
      <c r="H113" s="301"/>
      <c r="I113" s="90"/>
      <c r="J113" s="90"/>
      <c r="K113" s="90"/>
      <c r="P113" s="129">
        <f t="shared" si="63"/>
        <v>0</v>
      </c>
      <c r="Q113" s="129">
        <f t="shared" si="64"/>
        <v>0</v>
      </c>
      <c r="R113" s="106">
        <f t="shared" si="65"/>
        <v>0</v>
      </c>
      <c r="T113" s="106" t="str">
        <f t="shared" si="66"/>
        <v/>
      </c>
      <c r="U113" s="106" t="str">
        <f t="shared" si="66"/>
        <v/>
      </c>
      <c r="V113" s="106" t="str">
        <f t="shared" si="66"/>
        <v/>
      </c>
      <c r="X113" s="106" t="str">
        <f t="shared" si="67"/>
        <v/>
      </c>
      <c r="Y113" s="106" t="str">
        <f t="shared" si="67"/>
        <v/>
      </c>
      <c r="Z113" s="106" t="str">
        <f t="shared" si="67"/>
        <v/>
      </c>
      <c r="AA113" s="106" t="str">
        <f t="shared" si="67"/>
        <v/>
      </c>
    </row>
    <row r="114" spans="1:27" outlineLevel="1" x14ac:dyDescent="0.2">
      <c r="C114" s="37" t="s">
        <v>353</v>
      </c>
      <c r="D114" s="285" t="str">
        <f>VLOOKUP($C114,'Typologie détaillée'!$E$4:$H$214,3,0)</f>
        <v>Ne pas utiliser</v>
      </c>
      <c r="E114" s="286">
        <f>VLOOKUP($C114,'Typologie détaillée'!$E$4:$H$214,4,0)</f>
        <v>0</v>
      </c>
      <c r="F114" s="90"/>
      <c r="G114" s="90"/>
      <c r="H114" s="301"/>
      <c r="I114" s="90"/>
      <c r="J114" s="90"/>
      <c r="K114" s="90"/>
      <c r="P114" s="129">
        <f t="shared" si="63"/>
        <v>0</v>
      </c>
      <c r="Q114" s="129">
        <f t="shared" si="64"/>
        <v>0</v>
      </c>
      <c r="R114" s="106">
        <f t="shared" si="65"/>
        <v>0</v>
      </c>
      <c r="T114" s="106" t="str">
        <f t="shared" si="66"/>
        <v/>
      </c>
      <c r="U114" s="106" t="str">
        <f t="shared" si="66"/>
        <v/>
      </c>
      <c r="V114" s="106" t="str">
        <f t="shared" si="66"/>
        <v/>
      </c>
      <c r="X114" s="106" t="str">
        <f t="shared" si="67"/>
        <v/>
      </c>
      <c r="Y114" s="106" t="str">
        <f t="shared" si="67"/>
        <v/>
      </c>
      <c r="Z114" s="106" t="str">
        <f t="shared" si="67"/>
        <v/>
      </c>
      <c r="AA114" s="106" t="str">
        <f t="shared" si="67"/>
        <v/>
      </c>
    </row>
    <row r="115" spans="1:27" outlineLevel="1" x14ac:dyDescent="0.2">
      <c r="C115" s="37" t="s">
        <v>353</v>
      </c>
      <c r="D115" s="285" t="str">
        <f>VLOOKUP($C115,'Typologie détaillée'!$E$4:$H$214,3,0)</f>
        <v>Ne pas utiliser</v>
      </c>
      <c r="E115" s="286">
        <f>VLOOKUP($C115,'Typologie détaillée'!$E$4:$H$214,4,0)</f>
        <v>0</v>
      </c>
      <c r="F115" s="90"/>
      <c r="G115" s="90"/>
      <c r="H115" s="301"/>
      <c r="I115" s="90"/>
      <c r="J115" s="90"/>
      <c r="K115" s="90"/>
      <c r="P115" s="129">
        <f t="shared" si="63"/>
        <v>0</v>
      </c>
      <c r="Q115" s="129">
        <f t="shared" si="64"/>
        <v>0</v>
      </c>
      <c r="R115" s="106">
        <f t="shared" si="65"/>
        <v>0</v>
      </c>
      <c r="T115" s="106" t="str">
        <f t="shared" si="66"/>
        <v/>
      </c>
      <c r="U115" s="106" t="str">
        <f t="shared" si="66"/>
        <v/>
      </c>
      <c r="V115" s="106" t="str">
        <f t="shared" si="66"/>
        <v/>
      </c>
      <c r="X115" s="106" t="str">
        <f t="shared" si="67"/>
        <v/>
      </c>
      <c r="Y115" s="106" t="str">
        <f t="shared" si="67"/>
        <v/>
      </c>
      <c r="Z115" s="106" t="str">
        <f t="shared" si="67"/>
        <v/>
      </c>
      <c r="AA115" s="106" t="str">
        <f t="shared" si="67"/>
        <v/>
      </c>
    </row>
    <row r="116" spans="1:27" outlineLevel="1" x14ac:dyDescent="0.2">
      <c r="C116" s="37" t="s">
        <v>353</v>
      </c>
      <c r="D116" s="285" t="str">
        <f>VLOOKUP($C116,'Typologie détaillée'!$E$4:$H$214,3,0)</f>
        <v>Ne pas utiliser</v>
      </c>
      <c r="E116" s="286">
        <f>VLOOKUP($C116,'Typologie détaillée'!$E$4:$H$214,4,0)</f>
        <v>0</v>
      </c>
      <c r="F116" s="90"/>
      <c r="G116" s="90"/>
      <c r="H116" s="301"/>
      <c r="I116" s="90"/>
      <c r="J116" s="90"/>
      <c r="K116" s="90"/>
      <c r="P116" s="129">
        <f t="shared" si="63"/>
        <v>0</v>
      </c>
      <c r="Q116" s="129">
        <f t="shared" si="64"/>
        <v>0</v>
      </c>
      <c r="R116" s="106">
        <f t="shared" si="65"/>
        <v>0</v>
      </c>
      <c r="T116" s="106" t="str">
        <f t="shared" si="66"/>
        <v/>
      </c>
      <c r="U116" s="106" t="str">
        <f t="shared" si="66"/>
        <v/>
      </c>
      <c r="V116" s="106" t="str">
        <f t="shared" si="66"/>
        <v/>
      </c>
      <c r="X116" s="106" t="str">
        <f t="shared" si="67"/>
        <v/>
      </c>
      <c r="Y116" s="106" t="str">
        <f t="shared" si="67"/>
        <v/>
      </c>
      <c r="Z116" s="106" t="str">
        <f t="shared" si="67"/>
        <v/>
      </c>
      <c r="AA116" s="106" t="str">
        <f t="shared" si="67"/>
        <v/>
      </c>
    </row>
    <row r="117" spans="1:27" s="138" customFormat="1" x14ac:dyDescent="0.2">
      <c r="A117" s="138" t="str">
        <f>A108</f>
        <v>• service 11</v>
      </c>
      <c r="B117" s="138">
        <f>B108</f>
        <v>0</v>
      </c>
      <c r="D117" s="138" t="s">
        <v>97</v>
      </c>
      <c r="E117" s="139"/>
      <c r="F117" s="139"/>
      <c r="G117" s="139"/>
      <c r="H117" s="299"/>
      <c r="I117" s="139"/>
      <c r="J117" s="139"/>
      <c r="K117" s="139"/>
      <c r="P117" s="139">
        <f>SUBTOTAL(9,P108:P116)</f>
        <v>0</v>
      </c>
      <c r="Q117" s="139">
        <f>SUBTOTAL(9,Q108:Q116)</f>
        <v>0</v>
      </c>
      <c r="R117" s="138">
        <f>SUBTOTAL(9,R108:R116)</f>
        <v>0</v>
      </c>
      <c r="T117" s="138">
        <f>SUBTOTAL(9,T108:T116)</f>
        <v>0</v>
      </c>
      <c r="U117" s="138">
        <f>SUBTOTAL(9,U108:U116)</f>
        <v>0</v>
      </c>
      <c r="V117" s="138">
        <f>SUBTOTAL(9,V108:V116)</f>
        <v>0</v>
      </c>
      <c r="X117" s="138">
        <f>SUBTOTAL(9,X108:X116)</f>
        <v>0</v>
      </c>
      <c r="Y117" s="138">
        <f>SUBTOTAL(9,Y108:Y116)</f>
        <v>0</v>
      </c>
      <c r="Z117" s="138">
        <f>SUBTOTAL(9,Z108:Z116)</f>
        <v>0</v>
      </c>
      <c r="AA117" s="138">
        <f>SUBTOTAL(9,AA108:AA116)</f>
        <v>0</v>
      </c>
    </row>
    <row r="118" spans="1:27" outlineLevel="1" x14ac:dyDescent="0.2">
      <c r="A118" t="str">
        <f>'Partie 3 • M.implantation'!C11</f>
        <v>• service 12</v>
      </c>
      <c r="C118" s="37" t="s">
        <v>353</v>
      </c>
      <c r="D118" s="285" t="str">
        <f>VLOOKUP($C118,'Typologie détaillée'!$E$4:$H$214,3,0)</f>
        <v>Ne pas utiliser</v>
      </c>
      <c r="E118" s="286">
        <f>VLOOKUP($C118,'Typologie détaillée'!$E$4:$H$214,4,0)</f>
        <v>0</v>
      </c>
      <c r="F118" s="125"/>
      <c r="G118" s="125"/>
      <c r="H118" s="302"/>
      <c r="I118" s="125"/>
      <c r="J118" s="125"/>
      <c r="K118" s="125"/>
      <c r="P118" s="129">
        <f t="shared" ref="P118:P127" si="68">$G118*I118</f>
        <v>0</v>
      </c>
      <c r="Q118" s="129">
        <f t="shared" ref="Q118:Q127" si="69">$G118*J118</f>
        <v>0</v>
      </c>
      <c r="R118" s="106">
        <f t="shared" ref="R118:R127" si="70">$G118*K118</f>
        <v>0</v>
      </c>
      <c r="T118" s="106" t="str">
        <f t="shared" ref="T118:V127" si="71">IF($E118=T$4,$R118,"")</f>
        <v/>
      </c>
      <c r="U118" s="106" t="str">
        <f t="shared" si="71"/>
        <v/>
      </c>
      <c r="V118" s="106" t="str">
        <f t="shared" si="71"/>
        <v/>
      </c>
      <c r="X118" s="106" t="str">
        <f t="shared" ref="X118:AA127" si="72">IF($F118=X$4,$R118,"")</f>
        <v/>
      </c>
      <c r="Y118" s="106" t="str">
        <f t="shared" si="72"/>
        <v/>
      </c>
      <c r="Z118" s="106" t="str">
        <f t="shared" si="72"/>
        <v/>
      </c>
      <c r="AA118" s="106" t="str">
        <f t="shared" si="72"/>
        <v/>
      </c>
    </row>
    <row r="119" spans="1:27" outlineLevel="1" x14ac:dyDescent="0.2">
      <c r="C119" s="37" t="s">
        <v>353</v>
      </c>
      <c r="D119" s="285" t="str">
        <f>VLOOKUP($C119,'Typologie détaillée'!$E$4:$H$214,3,0)</f>
        <v>Ne pas utiliser</v>
      </c>
      <c r="E119" s="286">
        <f>VLOOKUP($C119,'Typologie détaillée'!$E$4:$H$214,4,0)</f>
        <v>0</v>
      </c>
      <c r="F119" s="90"/>
      <c r="G119" s="90"/>
      <c r="H119" s="301"/>
      <c r="I119" s="90"/>
      <c r="J119" s="90"/>
      <c r="K119" s="90"/>
      <c r="P119" s="129">
        <f t="shared" si="68"/>
        <v>0</v>
      </c>
      <c r="Q119" s="129">
        <f t="shared" si="69"/>
        <v>0</v>
      </c>
      <c r="R119" s="106">
        <f t="shared" si="70"/>
        <v>0</v>
      </c>
      <c r="T119" s="106" t="str">
        <f t="shared" si="71"/>
        <v/>
      </c>
      <c r="U119" s="106" t="str">
        <f t="shared" si="71"/>
        <v/>
      </c>
      <c r="V119" s="106" t="str">
        <f t="shared" si="71"/>
        <v/>
      </c>
      <c r="X119" s="106" t="str">
        <f t="shared" si="72"/>
        <v/>
      </c>
      <c r="Y119" s="106" t="str">
        <f t="shared" si="72"/>
        <v/>
      </c>
      <c r="Z119" s="106" t="str">
        <f t="shared" si="72"/>
        <v/>
      </c>
      <c r="AA119" s="106" t="str">
        <f t="shared" si="72"/>
        <v/>
      </c>
    </row>
    <row r="120" spans="1:27" outlineLevel="1" x14ac:dyDescent="0.2">
      <c r="C120" s="37" t="s">
        <v>353</v>
      </c>
      <c r="D120" s="285" t="str">
        <f>VLOOKUP($C120,'Typologie détaillée'!$E$4:$H$214,3,0)</f>
        <v>Ne pas utiliser</v>
      </c>
      <c r="E120" s="286">
        <f>VLOOKUP($C120,'Typologie détaillée'!$E$4:$H$214,4,0)</f>
        <v>0</v>
      </c>
      <c r="F120" s="90"/>
      <c r="G120" s="90"/>
      <c r="H120" s="301"/>
      <c r="I120" s="90"/>
      <c r="J120" s="90"/>
      <c r="K120" s="90"/>
      <c r="P120" s="129">
        <f t="shared" si="68"/>
        <v>0</v>
      </c>
      <c r="Q120" s="129">
        <f t="shared" si="69"/>
        <v>0</v>
      </c>
      <c r="R120" s="106">
        <f t="shared" si="70"/>
        <v>0</v>
      </c>
      <c r="T120" s="106" t="str">
        <f t="shared" si="71"/>
        <v/>
      </c>
      <c r="U120" s="106" t="str">
        <f t="shared" si="71"/>
        <v/>
      </c>
      <c r="V120" s="106" t="str">
        <f t="shared" si="71"/>
        <v/>
      </c>
      <c r="X120" s="106" t="str">
        <f t="shared" si="72"/>
        <v/>
      </c>
      <c r="Y120" s="106" t="str">
        <f t="shared" si="72"/>
        <v/>
      </c>
      <c r="Z120" s="106" t="str">
        <f t="shared" si="72"/>
        <v/>
      </c>
      <c r="AA120" s="106" t="str">
        <f t="shared" si="72"/>
        <v/>
      </c>
    </row>
    <row r="121" spans="1:27" outlineLevel="1" x14ac:dyDescent="0.2">
      <c r="C121" s="37" t="s">
        <v>353</v>
      </c>
      <c r="D121" s="285" t="str">
        <f>VLOOKUP($C121,'Typologie détaillée'!$E$4:$H$214,3,0)</f>
        <v>Ne pas utiliser</v>
      </c>
      <c r="E121" s="286">
        <f>VLOOKUP($C121,'Typologie détaillée'!$E$4:$H$214,4,0)</f>
        <v>0</v>
      </c>
      <c r="F121" s="90"/>
      <c r="G121" s="90"/>
      <c r="H121" s="301"/>
      <c r="I121" s="90"/>
      <c r="J121" s="90"/>
      <c r="K121" s="90"/>
      <c r="P121" s="129">
        <f t="shared" si="68"/>
        <v>0</v>
      </c>
      <c r="Q121" s="129">
        <f t="shared" si="69"/>
        <v>0</v>
      </c>
      <c r="R121" s="106">
        <f t="shared" si="70"/>
        <v>0</v>
      </c>
      <c r="T121" s="106" t="str">
        <f t="shared" si="71"/>
        <v/>
      </c>
      <c r="U121" s="106" t="str">
        <f t="shared" si="71"/>
        <v/>
      </c>
      <c r="V121" s="106" t="str">
        <f t="shared" si="71"/>
        <v/>
      </c>
      <c r="X121" s="106" t="str">
        <f t="shared" si="72"/>
        <v/>
      </c>
      <c r="Y121" s="106" t="str">
        <f t="shared" si="72"/>
        <v/>
      </c>
      <c r="Z121" s="106" t="str">
        <f t="shared" si="72"/>
        <v/>
      </c>
      <c r="AA121" s="106" t="str">
        <f t="shared" si="72"/>
        <v/>
      </c>
    </row>
    <row r="122" spans="1:27" outlineLevel="1" x14ac:dyDescent="0.2">
      <c r="C122" s="37" t="s">
        <v>353</v>
      </c>
      <c r="D122" s="285" t="str">
        <f>VLOOKUP($C122,'Typologie détaillée'!$E$4:$H$214,3,0)</f>
        <v>Ne pas utiliser</v>
      </c>
      <c r="E122" s="286">
        <f>VLOOKUP($C122,'Typologie détaillée'!$E$4:$H$214,4,0)</f>
        <v>0</v>
      </c>
      <c r="F122" s="90"/>
      <c r="G122" s="90"/>
      <c r="H122" s="301"/>
      <c r="I122" s="90"/>
      <c r="J122" s="90"/>
      <c r="K122" s="90"/>
      <c r="P122" s="129">
        <f t="shared" si="68"/>
        <v>0</v>
      </c>
      <c r="Q122" s="129">
        <f t="shared" si="69"/>
        <v>0</v>
      </c>
      <c r="R122" s="106">
        <f t="shared" si="70"/>
        <v>0</v>
      </c>
      <c r="T122" s="106" t="str">
        <f t="shared" si="71"/>
        <v/>
      </c>
      <c r="U122" s="106" t="str">
        <f t="shared" si="71"/>
        <v/>
      </c>
      <c r="V122" s="106" t="str">
        <f t="shared" si="71"/>
        <v/>
      </c>
      <c r="X122" s="106" t="str">
        <f t="shared" si="72"/>
        <v/>
      </c>
      <c r="Y122" s="106" t="str">
        <f t="shared" si="72"/>
        <v/>
      </c>
      <c r="Z122" s="106" t="str">
        <f t="shared" si="72"/>
        <v/>
      </c>
      <c r="AA122" s="106" t="str">
        <f t="shared" si="72"/>
        <v/>
      </c>
    </row>
    <row r="123" spans="1:27" outlineLevel="1" x14ac:dyDescent="0.2">
      <c r="C123" s="37" t="s">
        <v>353</v>
      </c>
      <c r="D123" s="285" t="str">
        <f>VLOOKUP($C123,'Typologie détaillée'!$E$4:$H$214,3,0)</f>
        <v>Ne pas utiliser</v>
      </c>
      <c r="E123" s="286">
        <f>VLOOKUP($C123,'Typologie détaillée'!$E$4:$H$214,4,0)</f>
        <v>0</v>
      </c>
      <c r="F123" s="90"/>
      <c r="G123" s="90"/>
      <c r="H123" s="301"/>
      <c r="I123" s="90"/>
      <c r="J123" s="90"/>
      <c r="K123" s="90"/>
      <c r="P123" s="129">
        <f t="shared" si="68"/>
        <v>0</v>
      </c>
      <c r="Q123" s="129">
        <f t="shared" si="69"/>
        <v>0</v>
      </c>
      <c r="R123" s="106">
        <f t="shared" si="70"/>
        <v>0</v>
      </c>
      <c r="T123" s="106" t="str">
        <f t="shared" si="71"/>
        <v/>
      </c>
      <c r="U123" s="106" t="str">
        <f t="shared" si="71"/>
        <v/>
      </c>
      <c r="V123" s="106" t="str">
        <f t="shared" si="71"/>
        <v/>
      </c>
      <c r="X123" s="106" t="str">
        <f t="shared" si="72"/>
        <v/>
      </c>
      <c r="Y123" s="106" t="str">
        <f t="shared" si="72"/>
        <v/>
      </c>
      <c r="Z123" s="106" t="str">
        <f t="shared" si="72"/>
        <v/>
      </c>
      <c r="AA123" s="106" t="str">
        <f t="shared" si="72"/>
        <v/>
      </c>
    </row>
    <row r="124" spans="1:27" outlineLevel="1" x14ac:dyDescent="0.2">
      <c r="C124" s="37" t="s">
        <v>353</v>
      </c>
      <c r="D124" s="285" t="str">
        <f>VLOOKUP($C124,'Typologie détaillée'!$E$4:$H$214,3,0)</f>
        <v>Ne pas utiliser</v>
      </c>
      <c r="E124" s="286">
        <f>VLOOKUP($C124,'Typologie détaillée'!$E$4:$H$214,4,0)</f>
        <v>0</v>
      </c>
      <c r="F124" s="90"/>
      <c r="G124" s="90"/>
      <c r="H124" s="301"/>
      <c r="I124" s="90"/>
      <c r="J124" s="90"/>
      <c r="K124" s="90"/>
      <c r="P124" s="129">
        <f t="shared" si="68"/>
        <v>0</v>
      </c>
      <c r="Q124" s="129">
        <f t="shared" si="69"/>
        <v>0</v>
      </c>
      <c r="R124" s="106">
        <f t="shared" si="70"/>
        <v>0</v>
      </c>
      <c r="T124" s="106" t="str">
        <f t="shared" si="71"/>
        <v/>
      </c>
      <c r="U124" s="106" t="str">
        <f t="shared" si="71"/>
        <v/>
      </c>
      <c r="V124" s="106" t="str">
        <f t="shared" si="71"/>
        <v/>
      </c>
      <c r="X124" s="106" t="str">
        <f t="shared" si="72"/>
        <v/>
      </c>
      <c r="Y124" s="106" t="str">
        <f t="shared" si="72"/>
        <v/>
      </c>
      <c r="Z124" s="106" t="str">
        <f t="shared" si="72"/>
        <v/>
      </c>
      <c r="AA124" s="106" t="str">
        <f t="shared" si="72"/>
        <v/>
      </c>
    </row>
    <row r="125" spans="1:27" outlineLevel="1" x14ac:dyDescent="0.2">
      <c r="C125" s="37" t="s">
        <v>353</v>
      </c>
      <c r="D125" s="285" t="str">
        <f>VLOOKUP($C125,'Typologie détaillée'!$E$4:$H$214,3,0)</f>
        <v>Ne pas utiliser</v>
      </c>
      <c r="E125" s="286">
        <f>VLOOKUP($C125,'Typologie détaillée'!$E$4:$H$214,4,0)</f>
        <v>0</v>
      </c>
      <c r="F125" s="90"/>
      <c r="G125" s="90"/>
      <c r="H125" s="301"/>
      <c r="I125" s="90"/>
      <c r="J125" s="90"/>
      <c r="K125" s="90"/>
      <c r="P125" s="129">
        <f t="shared" si="68"/>
        <v>0</v>
      </c>
      <c r="Q125" s="129">
        <f t="shared" si="69"/>
        <v>0</v>
      </c>
      <c r="R125" s="106">
        <f t="shared" si="70"/>
        <v>0</v>
      </c>
      <c r="T125" s="106" t="str">
        <f t="shared" si="71"/>
        <v/>
      </c>
      <c r="U125" s="106" t="str">
        <f t="shared" si="71"/>
        <v/>
      </c>
      <c r="V125" s="106" t="str">
        <f t="shared" si="71"/>
        <v/>
      </c>
      <c r="X125" s="106" t="str">
        <f t="shared" si="72"/>
        <v/>
      </c>
      <c r="Y125" s="106" t="str">
        <f t="shared" si="72"/>
        <v/>
      </c>
      <c r="Z125" s="106" t="str">
        <f t="shared" si="72"/>
        <v/>
      </c>
      <c r="AA125" s="106" t="str">
        <f t="shared" si="72"/>
        <v/>
      </c>
    </row>
    <row r="126" spans="1:27" outlineLevel="1" x14ac:dyDescent="0.2">
      <c r="C126" s="37" t="s">
        <v>353</v>
      </c>
      <c r="D126" s="285" t="str">
        <f>VLOOKUP($C126,'Typologie détaillée'!$E$4:$H$214,3,0)</f>
        <v>Ne pas utiliser</v>
      </c>
      <c r="E126" s="286">
        <f>VLOOKUP($C126,'Typologie détaillée'!$E$4:$H$214,4,0)</f>
        <v>0</v>
      </c>
      <c r="F126" s="90"/>
      <c r="G126" s="90"/>
      <c r="H126" s="301"/>
      <c r="I126" s="90"/>
      <c r="J126" s="90"/>
      <c r="K126" s="90"/>
      <c r="P126" s="129">
        <f t="shared" si="68"/>
        <v>0</v>
      </c>
      <c r="Q126" s="129">
        <f t="shared" si="69"/>
        <v>0</v>
      </c>
      <c r="R126" s="106">
        <f t="shared" si="70"/>
        <v>0</v>
      </c>
      <c r="T126" s="106" t="str">
        <f t="shared" si="71"/>
        <v/>
      </c>
      <c r="U126" s="106" t="str">
        <f t="shared" si="71"/>
        <v/>
      </c>
      <c r="V126" s="106" t="str">
        <f t="shared" si="71"/>
        <v/>
      </c>
      <c r="X126" s="106" t="str">
        <f t="shared" si="72"/>
        <v/>
      </c>
      <c r="Y126" s="106" t="str">
        <f t="shared" si="72"/>
        <v/>
      </c>
      <c r="Z126" s="106" t="str">
        <f t="shared" si="72"/>
        <v/>
      </c>
      <c r="AA126" s="106" t="str">
        <f t="shared" si="72"/>
        <v/>
      </c>
    </row>
    <row r="127" spans="1:27" outlineLevel="1" x14ac:dyDescent="0.2">
      <c r="C127" s="37" t="s">
        <v>353</v>
      </c>
      <c r="D127" s="285" t="str">
        <f>VLOOKUP($C127,'Typologie détaillée'!$E$4:$H$214,3,0)</f>
        <v>Ne pas utiliser</v>
      </c>
      <c r="E127" s="286">
        <f>VLOOKUP($C127,'Typologie détaillée'!$E$4:$H$214,4,0)</f>
        <v>0</v>
      </c>
      <c r="F127" s="90"/>
      <c r="G127" s="90"/>
      <c r="H127" s="301"/>
      <c r="I127" s="90"/>
      <c r="J127" s="90"/>
      <c r="K127" s="90"/>
      <c r="P127" s="129">
        <f t="shared" si="68"/>
        <v>0</v>
      </c>
      <c r="Q127" s="129">
        <f t="shared" si="69"/>
        <v>0</v>
      </c>
      <c r="R127" s="106">
        <f t="shared" si="70"/>
        <v>0</v>
      </c>
      <c r="T127" s="106" t="str">
        <f t="shared" si="71"/>
        <v/>
      </c>
      <c r="U127" s="106" t="str">
        <f t="shared" si="71"/>
        <v/>
      </c>
      <c r="V127" s="106" t="str">
        <f t="shared" si="71"/>
        <v/>
      </c>
      <c r="X127" s="106" t="str">
        <f t="shared" si="72"/>
        <v/>
      </c>
      <c r="Y127" s="106" t="str">
        <f t="shared" si="72"/>
        <v/>
      </c>
      <c r="Z127" s="106" t="str">
        <f t="shared" si="72"/>
        <v/>
      </c>
      <c r="AA127" s="106" t="str">
        <f t="shared" si="72"/>
        <v/>
      </c>
    </row>
    <row r="128" spans="1:27" s="138" customFormat="1" x14ac:dyDescent="0.2">
      <c r="A128" s="138" t="str">
        <f>A118</f>
        <v>• service 12</v>
      </c>
      <c r="B128" s="138">
        <f>B118</f>
        <v>0</v>
      </c>
      <c r="D128" s="138" t="s">
        <v>97</v>
      </c>
      <c r="E128" s="139"/>
      <c r="F128" s="139"/>
      <c r="G128" s="139"/>
      <c r="H128" s="299"/>
      <c r="I128" s="139"/>
      <c r="J128" s="139"/>
      <c r="K128" s="139"/>
      <c r="P128" s="139">
        <f>SUBTOTAL(9,P118:P127)</f>
        <v>0</v>
      </c>
      <c r="Q128" s="139">
        <f>SUBTOTAL(9,Q118:Q127)</f>
        <v>0</v>
      </c>
      <c r="R128" s="138">
        <f>SUBTOTAL(9,R118:R127)</f>
        <v>0</v>
      </c>
      <c r="T128" s="138">
        <f>SUBTOTAL(9,T118:T127)</f>
        <v>0</v>
      </c>
      <c r="U128" s="138">
        <f>SUBTOTAL(9,U118:U127)</f>
        <v>0</v>
      </c>
      <c r="V128" s="138">
        <f>SUBTOTAL(9,V118:V127)</f>
        <v>0</v>
      </c>
      <c r="X128" s="138">
        <f>SUBTOTAL(9,X118:X127)</f>
        <v>0</v>
      </c>
      <c r="Y128" s="138">
        <f>SUBTOTAL(9,Y118:Y127)</f>
        <v>0</v>
      </c>
      <c r="Z128" s="138">
        <f>SUBTOTAL(9,Z118:Z127)</f>
        <v>0</v>
      </c>
      <c r="AA128" s="138">
        <f>SUBTOTAL(9,AA118:AA127)</f>
        <v>0</v>
      </c>
    </row>
    <row r="129" spans="1:27" outlineLevel="1" x14ac:dyDescent="0.2">
      <c r="A129" t="str">
        <f>'Partie 3 • M.implantation'!C12</f>
        <v>• service 13</v>
      </c>
      <c r="B129" s="126"/>
      <c r="C129" s="37" t="s">
        <v>353</v>
      </c>
      <c r="D129" s="285" t="str">
        <f>VLOOKUP($C129,'Typologie détaillée'!$E$4:$H$214,3,0)</f>
        <v>Ne pas utiliser</v>
      </c>
      <c r="E129" s="286">
        <f>VLOOKUP($C129,'Typologie détaillée'!$E$4:$H$214,4,0)</f>
        <v>0</v>
      </c>
      <c r="F129" s="125"/>
      <c r="G129" s="125"/>
      <c r="H129" s="302"/>
      <c r="I129" s="125"/>
      <c r="J129" s="125"/>
      <c r="K129" s="125"/>
      <c r="P129" s="129">
        <f t="shared" ref="P129:R135" si="73">$G129*I129</f>
        <v>0</v>
      </c>
      <c r="Q129" s="129">
        <f t="shared" si="73"/>
        <v>0</v>
      </c>
      <c r="R129" s="106">
        <f t="shared" si="73"/>
        <v>0</v>
      </c>
      <c r="T129" s="106" t="str">
        <f t="shared" ref="T129:V135" si="74">IF($E129=T$4,$R129,"")</f>
        <v/>
      </c>
      <c r="U129" s="106" t="str">
        <f t="shared" si="74"/>
        <v/>
      </c>
      <c r="V129" s="106" t="str">
        <f t="shared" si="74"/>
        <v/>
      </c>
      <c r="X129" s="106" t="str">
        <f t="shared" ref="X129:AA135" si="75">IF($F129=X$4,$R129,"")</f>
        <v/>
      </c>
      <c r="Y129" s="106" t="str">
        <f t="shared" si="75"/>
        <v/>
      </c>
      <c r="Z129" s="106" t="str">
        <f t="shared" si="75"/>
        <v/>
      </c>
      <c r="AA129" s="106" t="str">
        <f t="shared" si="75"/>
        <v/>
      </c>
    </row>
    <row r="130" spans="1:27" outlineLevel="1" x14ac:dyDescent="0.2">
      <c r="C130" s="37" t="s">
        <v>353</v>
      </c>
      <c r="D130" s="285" t="str">
        <f>VLOOKUP($C130,'Typologie détaillée'!$E$4:$H$214,3,0)</f>
        <v>Ne pas utiliser</v>
      </c>
      <c r="E130" s="286">
        <f>VLOOKUP($C130,'Typologie détaillée'!$E$4:$H$214,4,0)</f>
        <v>0</v>
      </c>
      <c r="F130" s="90"/>
      <c r="G130" s="90"/>
      <c r="H130" s="301"/>
      <c r="I130" s="90"/>
      <c r="J130" s="90"/>
      <c r="K130" s="90"/>
      <c r="P130" s="129">
        <f t="shared" si="73"/>
        <v>0</v>
      </c>
      <c r="Q130" s="129">
        <f t="shared" si="73"/>
        <v>0</v>
      </c>
      <c r="R130" s="106">
        <f t="shared" si="73"/>
        <v>0</v>
      </c>
      <c r="T130" s="106" t="str">
        <f t="shared" si="74"/>
        <v/>
      </c>
      <c r="U130" s="106" t="str">
        <f t="shared" si="74"/>
        <v/>
      </c>
      <c r="V130" s="106" t="str">
        <f t="shared" si="74"/>
        <v/>
      </c>
      <c r="X130" s="106" t="str">
        <f t="shared" si="75"/>
        <v/>
      </c>
      <c r="Y130" s="106" t="str">
        <f t="shared" si="75"/>
        <v/>
      </c>
      <c r="Z130" s="106" t="str">
        <f t="shared" si="75"/>
        <v/>
      </c>
      <c r="AA130" s="106" t="str">
        <f t="shared" si="75"/>
        <v/>
      </c>
    </row>
    <row r="131" spans="1:27" outlineLevel="1" x14ac:dyDescent="0.2">
      <c r="C131" s="37" t="s">
        <v>353</v>
      </c>
      <c r="D131" s="285" t="str">
        <f>VLOOKUP($C131,'Typologie détaillée'!$E$4:$H$214,3,0)</f>
        <v>Ne pas utiliser</v>
      </c>
      <c r="E131" s="286">
        <f>VLOOKUP($C131,'Typologie détaillée'!$E$4:$H$214,4,0)</f>
        <v>0</v>
      </c>
      <c r="F131" s="90"/>
      <c r="G131" s="90"/>
      <c r="H131" s="301"/>
      <c r="I131" s="90"/>
      <c r="J131" s="90"/>
      <c r="K131" s="90"/>
      <c r="P131" s="129">
        <f t="shared" si="73"/>
        <v>0</v>
      </c>
      <c r="Q131" s="129">
        <f t="shared" si="73"/>
        <v>0</v>
      </c>
      <c r="R131" s="106">
        <f t="shared" si="73"/>
        <v>0</v>
      </c>
      <c r="T131" s="106" t="str">
        <f t="shared" si="74"/>
        <v/>
      </c>
      <c r="U131" s="106" t="str">
        <f t="shared" si="74"/>
        <v/>
      </c>
      <c r="V131" s="106" t="str">
        <f t="shared" si="74"/>
        <v/>
      </c>
      <c r="X131" s="106" t="str">
        <f t="shared" si="75"/>
        <v/>
      </c>
      <c r="Y131" s="106" t="str">
        <f t="shared" si="75"/>
        <v/>
      </c>
      <c r="Z131" s="106" t="str">
        <f t="shared" si="75"/>
        <v/>
      </c>
      <c r="AA131" s="106" t="str">
        <f t="shared" si="75"/>
        <v/>
      </c>
    </row>
    <row r="132" spans="1:27" outlineLevel="1" x14ac:dyDescent="0.2">
      <c r="C132" s="37" t="s">
        <v>353</v>
      </c>
      <c r="D132" s="285" t="str">
        <f>VLOOKUP($C132,'Typologie détaillée'!$E$4:$H$214,3,0)</f>
        <v>Ne pas utiliser</v>
      </c>
      <c r="E132" s="286">
        <f>VLOOKUP($C132,'Typologie détaillée'!$E$4:$H$214,4,0)</f>
        <v>0</v>
      </c>
      <c r="F132" s="90"/>
      <c r="G132" s="90"/>
      <c r="H132" s="301"/>
      <c r="I132" s="90"/>
      <c r="J132" s="90"/>
      <c r="K132" s="90"/>
      <c r="P132" s="129">
        <f t="shared" si="73"/>
        <v>0</v>
      </c>
      <c r="Q132" s="129">
        <f t="shared" si="73"/>
        <v>0</v>
      </c>
      <c r="R132" s="106">
        <f t="shared" si="73"/>
        <v>0</v>
      </c>
      <c r="T132" s="106" t="str">
        <f t="shared" si="74"/>
        <v/>
      </c>
      <c r="U132" s="106" t="str">
        <f t="shared" si="74"/>
        <v/>
      </c>
      <c r="V132" s="106" t="str">
        <f t="shared" si="74"/>
        <v/>
      </c>
      <c r="X132" s="106" t="str">
        <f t="shared" si="75"/>
        <v/>
      </c>
      <c r="Y132" s="106" t="str">
        <f t="shared" si="75"/>
        <v/>
      </c>
      <c r="Z132" s="106" t="str">
        <f t="shared" si="75"/>
        <v/>
      </c>
      <c r="AA132" s="106" t="str">
        <f t="shared" si="75"/>
        <v/>
      </c>
    </row>
    <row r="133" spans="1:27" outlineLevel="1" x14ac:dyDescent="0.2">
      <c r="C133" s="37" t="s">
        <v>353</v>
      </c>
      <c r="D133" s="285" t="str">
        <f>VLOOKUP($C133,'Typologie détaillée'!$E$4:$H$214,3,0)</f>
        <v>Ne pas utiliser</v>
      </c>
      <c r="E133" s="286">
        <f>VLOOKUP($C133,'Typologie détaillée'!$E$4:$H$214,4,0)</f>
        <v>0</v>
      </c>
      <c r="F133" s="90"/>
      <c r="G133" s="90"/>
      <c r="H133" s="301"/>
      <c r="I133" s="90"/>
      <c r="J133" s="90"/>
      <c r="K133" s="90"/>
      <c r="P133" s="129">
        <f t="shared" si="73"/>
        <v>0</v>
      </c>
      <c r="Q133" s="129">
        <f t="shared" si="73"/>
        <v>0</v>
      </c>
      <c r="R133" s="106">
        <f t="shared" si="73"/>
        <v>0</v>
      </c>
      <c r="T133" s="106" t="str">
        <f t="shared" si="74"/>
        <v/>
      </c>
      <c r="U133" s="106" t="str">
        <f t="shared" si="74"/>
        <v/>
      </c>
      <c r="V133" s="106" t="str">
        <f t="shared" si="74"/>
        <v/>
      </c>
      <c r="X133" s="106" t="str">
        <f t="shared" si="75"/>
        <v/>
      </c>
      <c r="Y133" s="106" t="str">
        <f t="shared" si="75"/>
        <v/>
      </c>
      <c r="Z133" s="106" t="str">
        <f t="shared" si="75"/>
        <v/>
      </c>
      <c r="AA133" s="106" t="str">
        <f t="shared" si="75"/>
        <v/>
      </c>
    </row>
    <row r="134" spans="1:27" outlineLevel="1" x14ac:dyDescent="0.2">
      <c r="C134" s="37" t="s">
        <v>353</v>
      </c>
      <c r="D134" s="285" t="str">
        <f>VLOOKUP($C134,'Typologie détaillée'!$E$4:$H$214,3,0)</f>
        <v>Ne pas utiliser</v>
      </c>
      <c r="E134" s="286">
        <f>VLOOKUP($C134,'Typologie détaillée'!$E$4:$H$214,4,0)</f>
        <v>0</v>
      </c>
      <c r="F134" s="90"/>
      <c r="G134" s="90"/>
      <c r="H134" s="301"/>
      <c r="I134" s="90"/>
      <c r="J134" s="90"/>
      <c r="K134" s="90"/>
      <c r="P134" s="129">
        <f t="shared" si="73"/>
        <v>0</v>
      </c>
      <c r="Q134" s="129">
        <f t="shared" si="73"/>
        <v>0</v>
      </c>
      <c r="R134" s="106">
        <f t="shared" si="73"/>
        <v>0</v>
      </c>
      <c r="T134" s="106" t="str">
        <f t="shared" si="74"/>
        <v/>
      </c>
      <c r="U134" s="106" t="str">
        <f t="shared" si="74"/>
        <v/>
      </c>
      <c r="V134" s="106" t="str">
        <f t="shared" si="74"/>
        <v/>
      </c>
      <c r="X134" s="106" t="str">
        <f t="shared" si="75"/>
        <v/>
      </c>
      <c r="Y134" s="106" t="str">
        <f t="shared" si="75"/>
        <v/>
      </c>
      <c r="Z134" s="106" t="str">
        <f t="shared" si="75"/>
        <v/>
      </c>
      <c r="AA134" s="106" t="str">
        <f t="shared" si="75"/>
        <v/>
      </c>
    </row>
    <row r="135" spans="1:27" outlineLevel="1" x14ac:dyDescent="0.2">
      <c r="C135" s="37" t="s">
        <v>353</v>
      </c>
      <c r="D135" s="285" t="str">
        <f>VLOOKUP($C135,'Typologie détaillée'!$E$4:$H$214,3,0)</f>
        <v>Ne pas utiliser</v>
      </c>
      <c r="E135" s="286">
        <f>VLOOKUP($C135,'Typologie détaillée'!$E$4:$H$214,4,0)</f>
        <v>0</v>
      </c>
      <c r="F135" s="90"/>
      <c r="G135" s="90"/>
      <c r="H135" s="301"/>
      <c r="I135" s="90"/>
      <c r="J135" s="90"/>
      <c r="K135" s="90"/>
      <c r="P135" s="129">
        <f t="shared" si="73"/>
        <v>0</v>
      </c>
      <c r="Q135" s="129">
        <f t="shared" si="73"/>
        <v>0</v>
      </c>
      <c r="R135" s="106">
        <f t="shared" si="73"/>
        <v>0</v>
      </c>
      <c r="T135" s="106" t="str">
        <f t="shared" si="74"/>
        <v/>
      </c>
      <c r="U135" s="106" t="str">
        <f t="shared" si="74"/>
        <v/>
      </c>
      <c r="V135" s="106" t="str">
        <f t="shared" si="74"/>
        <v/>
      </c>
      <c r="X135" s="106" t="str">
        <f t="shared" si="75"/>
        <v/>
      </c>
      <c r="Y135" s="106" t="str">
        <f t="shared" si="75"/>
        <v/>
      </c>
      <c r="Z135" s="106" t="str">
        <f t="shared" si="75"/>
        <v/>
      </c>
      <c r="AA135" s="106" t="str">
        <f t="shared" si="75"/>
        <v/>
      </c>
    </row>
    <row r="136" spans="1:27" s="138" customFormat="1" x14ac:dyDescent="0.2">
      <c r="A136" s="138" t="str">
        <f>A129</f>
        <v>• service 13</v>
      </c>
      <c r="B136" s="138">
        <f>B129</f>
        <v>0</v>
      </c>
      <c r="D136" s="138" t="s">
        <v>97</v>
      </c>
      <c r="E136" s="139"/>
      <c r="F136" s="139"/>
      <c r="G136" s="139"/>
      <c r="H136" s="299"/>
      <c r="I136" s="139"/>
      <c r="J136" s="139"/>
      <c r="K136" s="139"/>
      <c r="P136" s="139">
        <f>SUBTOTAL(9,P129:P135)</f>
        <v>0</v>
      </c>
      <c r="Q136" s="139">
        <f>SUBTOTAL(9,Q129:Q135)</f>
        <v>0</v>
      </c>
      <c r="R136" s="138">
        <f>SUBTOTAL(9,R129:R135)</f>
        <v>0</v>
      </c>
      <c r="T136" s="138">
        <f>SUBTOTAL(9,T129:T135)</f>
        <v>0</v>
      </c>
      <c r="U136" s="138">
        <f>SUBTOTAL(9,U129:U135)</f>
        <v>0</v>
      </c>
      <c r="V136" s="138">
        <f>SUBTOTAL(9,V129:V135)</f>
        <v>0</v>
      </c>
      <c r="X136" s="138">
        <f>SUBTOTAL(9,X129:X135)</f>
        <v>0</v>
      </c>
      <c r="Y136" s="138">
        <f>SUBTOTAL(9,Y129:Y135)</f>
        <v>0</v>
      </c>
      <c r="Z136" s="138">
        <f>SUBTOTAL(9,Z129:Z135)</f>
        <v>0</v>
      </c>
      <c r="AA136" s="138">
        <f>SUBTOTAL(9,AA129:AA135)</f>
        <v>0</v>
      </c>
    </row>
    <row r="137" spans="1:27" outlineLevel="1" x14ac:dyDescent="0.2">
      <c r="A137" t="str">
        <f>'Partie 3 • M.implantation'!C13</f>
        <v>• service 15</v>
      </c>
      <c r="B137" s="126"/>
      <c r="C137" s="37" t="s">
        <v>353</v>
      </c>
      <c r="D137" s="285" t="str">
        <f>VLOOKUP($C137,'Typologie détaillée'!$E$4:$H$214,3,0)</f>
        <v>Ne pas utiliser</v>
      </c>
      <c r="E137" s="286">
        <f>VLOOKUP($C137,'Typologie détaillée'!$E$4:$H$214,4,0)</f>
        <v>0</v>
      </c>
      <c r="F137" s="125"/>
      <c r="G137" s="125"/>
      <c r="H137" s="302"/>
      <c r="I137" s="125"/>
      <c r="J137" s="125"/>
      <c r="K137" s="125"/>
      <c r="P137" s="129">
        <f t="shared" ref="P137:R144" si="76">$G137*I137</f>
        <v>0</v>
      </c>
      <c r="Q137" s="129">
        <f t="shared" si="76"/>
        <v>0</v>
      </c>
      <c r="R137" s="106">
        <f t="shared" si="76"/>
        <v>0</v>
      </c>
      <c r="T137" s="106" t="str">
        <f t="shared" ref="T137:V144" si="77">IF($E137=T$4,$R137,"")</f>
        <v/>
      </c>
      <c r="U137" s="106" t="str">
        <f t="shared" si="77"/>
        <v/>
      </c>
      <c r="V137" s="106" t="str">
        <f t="shared" si="77"/>
        <v/>
      </c>
      <c r="X137" s="106" t="str">
        <f t="shared" ref="X137:AA144" si="78">IF($F137=X$4,$R137,"")</f>
        <v/>
      </c>
      <c r="Y137" s="106" t="str">
        <f t="shared" si="78"/>
        <v/>
      </c>
      <c r="Z137" s="106" t="str">
        <f t="shared" si="78"/>
        <v/>
      </c>
      <c r="AA137" s="106" t="str">
        <f t="shared" si="78"/>
        <v/>
      </c>
    </row>
    <row r="138" spans="1:27" outlineLevel="1" x14ac:dyDescent="0.2">
      <c r="C138" s="37" t="s">
        <v>353</v>
      </c>
      <c r="D138" s="285" t="str">
        <f>VLOOKUP($C138,'Typologie détaillée'!$E$4:$H$214,3,0)</f>
        <v>Ne pas utiliser</v>
      </c>
      <c r="E138" s="286">
        <f>VLOOKUP($C138,'Typologie détaillée'!$E$4:$H$214,4,0)</f>
        <v>0</v>
      </c>
      <c r="F138" s="90"/>
      <c r="G138" s="90"/>
      <c r="H138" s="301"/>
      <c r="I138" s="90"/>
      <c r="J138" s="90"/>
      <c r="K138" s="90"/>
      <c r="P138" s="129">
        <f t="shared" si="76"/>
        <v>0</v>
      </c>
      <c r="Q138" s="129">
        <f t="shared" si="76"/>
        <v>0</v>
      </c>
      <c r="R138" s="106">
        <f t="shared" si="76"/>
        <v>0</v>
      </c>
      <c r="T138" s="106" t="str">
        <f t="shared" si="77"/>
        <v/>
      </c>
      <c r="U138" s="106" t="str">
        <f t="shared" si="77"/>
        <v/>
      </c>
      <c r="V138" s="106" t="str">
        <f t="shared" si="77"/>
        <v/>
      </c>
      <c r="X138" s="106" t="str">
        <f t="shared" si="78"/>
        <v/>
      </c>
      <c r="Y138" s="106" t="str">
        <f t="shared" si="78"/>
        <v/>
      </c>
      <c r="Z138" s="106" t="str">
        <f t="shared" si="78"/>
        <v/>
      </c>
      <c r="AA138" s="106" t="str">
        <f t="shared" si="78"/>
        <v/>
      </c>
    </row>
    <row r="139" spans="1:27" outlineLevel="1" x14ac:dyDescent="0.2">
      <c r="C139" s="37" t="s">
        <v>353</v>
      </c>
      <c r="D139" s="285" t="str">
        <f>VLOOKUP($C139,'Typologie détaillée'!$E$4:$H$214,3,0)</f>
        <v>Ne pas utiliser</v>
      </c>
      <c r="E139" s="286">
        <f>VLOOKUP($C139,'Typologie détaillée'!$E$4:$H$214,4,0)</f>
        <v>0</v>
      </c>
      <c r="F139" s="90"/>
      <c r="G139" s="90"/>
      <c r="H139" s="301"/>
      <c r="I139" s="90"/>
      <c r="J139" s="90"/>
      <c r="K139" s="90"/>
      <c r="P139" s="129">
        <f t="shared" si="76"/>
        <v>0</v>
      </c>
      <c r="Q139" s="129">
        <f t="shared" si="76"/>
        <v>0</v>
      </c>
      <c r="R139" s="106">
        <f t="shared" si="76"/>
        <v>0</v>
      </c>
      <c r="T139" s="106" t="str">
        <f t="shared" si="77"/>
        <v/>
      </c>
      <c r="U139" s="106" t="str">
        <f t="shared" si="77"/>
        <v/>
      </c>
      <c r="V139" s="106" t="str">
        <f t="shared" si="77"/>
        <v/>
      </c>
      <c r="X139" s="106" t="str">
        <f t="shared" si="78"/>
        <v/>
      </c>
      <c r="Y139" s="106" t="str">
        <f t="shared" si="78"/>
        <v/>
      </c>
      <c r="Z139" s="106" t="str">
        <f t="shared" si="78"/>
        <v/>
      </c>
      <c r="AA139" s="106" t="str">
        <f t="shared" si="78"/>
        <v/>
      </c>
    </row>
    <row r="140" spans="1:27" outlineLevel="1" x14ac:dyDescent="0.2">
      <c r="C140" s="37" t="s">
        <v>353</v>
      </c>
      <c r="D140" s="285" t="str">
        <f>VLOOKUP($C140,'Typologie détaillée'!$E$4:$H$214,3,0)</f>
        <v>Ne pas utiliser</v>
      </c>
      <c r="E140" s="286">
        <f>VLOOKUP($C140,'Typologie détaillée'!$E$4:$H$214,4,0)</f>
        <v>0</v>
      </c>
      <c r="F140" s="90"/>
      <c r="G140" s="90"/>
      <c r="H140" s="301"/>
      <c r="I140" s="90"/>
      <c r="J140" s="90"/>
      <c r="K140" s="90"/>
      <c r="P140" s="129">
        <f t="shared" si="76"/>
        <v>0</v>
      </c>
      <c r="Q140" s="129">
        <f t="shared" si="76"/>
        <v>0</v>
      </c>
      <c r="R140" s="106">
        <f t="shared" si="76"/>
        <v>0</v>
      </c>
      <c r="T140" s="106" t="str">
        <f t="shared" si="77"/>
        <v/>
      </c>
      <c r="U140" s="106" t="str">
        <f t="shared" si="77"/>
        <v/>
      </c>
      <c r="V140" s="106" t="str">
        <f t="shared" si="77"/>
        <v/>
      </c>
      <c r="X140" s="106" t="str">
        <f t="shared" si="78"/>
        <v/>
      </c>
      <c r="Y140" s="106" t="str">
        <f t="shared" si="78"/>
        <v/>
      </c>
      <c r="Z140" s="106" t="str">
        <f t="shared" si="78"/>
        <v/>
      </c>
      <c r="AA140" s="106" t="str">
        <f t="shared" si="78"/>
        <v/>
      </c>
    </row>
    <row r="141" spans="1:27" outlineLevel="1" x14ac:dyDescent="0.2">
      <c r="C141" s="37" t="s">
        <v>353</v>
      </c>
      <c r="D141" s="285" t="str">
        <f>VLOOKUP($C141,'Typologie détaillée'!$E$4:$H$214,3,0)</f>
        <v>Ne pas utiliser</v>
      </c>
      <c r="E141" s="286">
        <f>VLOOKUP($C141,'Typologie détaillée'!$E$4:$H$214,4,0)</f>
        <v>0</v>
      </c>
      <c r="F141" s="90"/>
      <c r="G141" s="90"/>
      <c r="H141" s="301"/>
      <c r="I141" s="90"/>
      <c r="J141" s="90"/>
      <c r="K141" s="90"/>
      <c r="P141" s="129">
        <f t="shared" si="76"/>
        <v>0</v>
      </c>
      <c r="Q141" s="129">
        <f t="shared" si="76"/>
        <v>0</v>
      </c>
      <c r="R141" s="106">
        <f t="shared" si="76"/>
        <v>0</v>
      </c>
      <c r="T141" s="106" t="str">
        <f t="shared" si="77"/>
        <v/>
      </c>
      <c r="U141" s="106" t="str">
        <f t="shared" si="77"/>
        <v/>
      </c>
      <c r="V141" s="106" t="str">
        <f t="shared" si="77"/>
        <v/>
      </c>
      <c r="X141" s="106" t="str">
        <f t="shared" si="78"/>
        <v/>
      </c>
      <c r="Y141" s="106" t="str">
        <f t="shared" si="78"/>
        <v/>
      </c>
      <c r="Z141" s="106" t="str">
        <f t="shared" si="78"/>
        <v/>
      </c>
      <c r="AA141" s="106" t="str">
        <f t="shared" si="78"/>
        <v/>
      </c>
    </row>
    <row r="142" spans="1:27" outlineLevel="1" x14ac:dyDescent="0.2">
      <c r="C142" s="37" t="s">
        <v>353</v>
      </c>
      <c r="D142" s="285" t="str">
        <f>VLOOKUP($C142,'Typologie détaillée'!$E$4:$H$214,3,0)</f>
        <v>Ne pas utiliser</v>
      </c>
      <c r="E142" s="286">
        <f>VLOOKUP($C142,'Typologie détaillée'!$E$4:$H$214,4,0)</f>
        <v>0</v>
      </c>
      <c r="F142" s="90"/>
      <c r="G142" s="90"/>
      <c r="H142" s="301"/>
      <c r="I142" s="90"/>
      <c r="J142" s="90"/>
      <c r="K142" s="90"/>
      <c r="P142" s="129">
        <f t="shared" si="76"/>
        <v>0</v>
      </c>
      <c r="Q142" s="129">
        <f t="shared" si="76"/>
        <v>0</v>
      </c>
      <c r="R142" s="106">
        <f t="shared" si="76"/>
        <v>0</v>
      </c>
      <c r="T142" s="106" t="str">
        <f t="shared" si="77"/>
        <v/>
      </c>
      <c r="U142" s="106" t="str">
        <f t="shared" si="77"/>
        <v/>
      </c>
      <c r="V142" s="106" t="str">
        <f t="shared" si="77"/>
        <v/>
      </c>
      <c r="X142" s="106" t="str">
        <f t="shared" si="78"/>
        <v/>
      </c>
      <c r="Y142" s="106" t="str">
        <f t="shared" si="78"/>
        <v/>
      </c>
      <c r="Z142" s="106" t="str">
        <f t="shared" si="78"/>
        <v/>
      </c>
      <c r="AA142" s="106" t="str">
        <f t="shared" si="78"/>
        <v/>
      </c>
    </row>
    <row r="143" spans="1:27" outlineLevel="1" x14ac:dyDescent="0.2">
      <c r="C143" s="37" t="s">
        <v>353</v>
      </c>
      <c r="D143" s="285" t="str">
        <f>VLOOKUP($C143,'Typologie détaillée'!$E$4:$H$214,3,0)</f>
        <v>Ne pas utiliser</v>
      </c>
      <c r="E143" s="286">
        <f>VLOOKUP($C143,'Typologie détaillée'!$E$4:$H$214,4,0)</f>
        <v>0</v>
      </c>
      <c r="F143" s="90"/>
      <c r="G143" s="90"/>
      <c r="H143" s="301"/>
      <c r="I143" s="90"/>
      <c r="J143" s="90"/>
      <c r="K143" s="90"/>
      <c r="P143" s="129">
        <f t="shared" si="76"/>
        <v>0</v>
      </c>
      <c r="Q143" s="129">
        <f t="shared" si="76"/>
        <v>0</v>
      </c>
      <c r="R143" s="106">
        <f t="shared" si="76"/>
        <v>0</v>
      </c>
      <c r="T143" s="106" t="str">
        <f t="shared" si="77"/>
        <v/>
      </c>
      <c r="U143" s="106" t="str">
        <f t="shared" si="77"/>
        <v/>
      </c>
      <c r="V143" s="106" t="str">
        <f t="shared" si="77"/>
        <v/>
      </c>
      <c r="X143" s="106" t="str">
        <f t="shared" si="78"/>
        <v/>
      </c>
      <c r="Y143" s="106" t="str">
        <f t="shared" si="78"/>
        <v/>
      </c>
      <c r="Z143" s="106" t="str">
        <f t="shared" si="78"/>
        <v/>
      </c>
      <c r="AA143" s="106" t="str">
        <f t="shared" si="78"/>
        <v/>
      </c>
    </row>
    <row r="144" spans="1:27" outlineLevel="1" x14ac:dyDescent="0.2">
      <c r="C144" s="37" t="s">
        <v>353</v>
      </c>
      <c r="D144" s="285" t="str">
        <f>VLOOKUP($C144,'Typologie détaillée'!$E$4:$H$214,3,0)</f>
        <v>Ne pas utiliser</v>
      </c>
      <c r="E144" s="286">
        <f>VLOOKUP($C144,'Typologie détaillée'!$E$4:$H$214,4,0)</f>
        <v>0</v>
      </c>
      <c r="F144" s="90"/>
      <c r="G144" s="90"/>
      <c r="H144" s="301"/>
      <c r="I144" s="90"/>
      <c r="J144" s="90"/>
      <c r="K144" s="90"/>
      <c r="P144" s="129">
        <f t="shared" si="76"/>
        <v>0</v>
      </c>
      <c r="Q144" s="129">
        <f t="shared" si="76"/>
        <v>0</v>
      </c>
      <c r="R144" s="106">
        <f t="shared" si="76"/>
        <v>0</v>
      </c>
      <c r="T144" s="106" t="str">
        <f t="shared" si="77"/>
        <v/>
      </c>
      <c r="U144" s="106" t="str">
        <f t="shared" si="77"/>
        <v/>
      </c>
      <c r="V144" s="106" t="str">
        <f t="shared" si="77"/>
        <v/>
      </c>
      <c r="X144" s="106" t="str">
        <f t="shared" si="78"/>
        <v/>
      </c>
      <c r="Y144" s="106" t="str">
        <f t="shared" si="78"/>
        <v/>
      </c>
      <c r="Z144" s="106" t="str">
        <f t="shared" si="78"/>
        <v/>
      </c>
      <c r="AA144" s="106" t="str">
        <f t="shared" si="78"/>
        <v/>
      </c>
    </row>
    <row r="145" spans="1:27" s="138" customFormat="1" x14ac:dyDescent="0.2">
      <c r="A145" s="138" t="str">
        <f>A137</f>
        <v>• service 15</v>
      </c>
      <c r="B145" s="138">
        <f>B137</f>
        <v>0</v>
      </c>
      <c r="D145" s="138" t="s">
        <v>97</v>
      </c>
      <c r="E145" s="139"/>
      <c r="F145" s="139"/>
      <c r="G145" s="139"/>
      <c r="H145" s="299"/>
      <c r="I145" s="139"/>
      <c r="J145" s="139"/>
      <c r="K145" s="139"/>
      <c r="P145" s="139">
        <f>SUBTOTAL(9,P137:P144)</f>
        <v>0</v>
      </c>
      <c r="Q145" s="139">
        <f>SUBTOTAL(9,Q137:Q144)</f>
        <v>0</v>
      </c>
      <c r="R145" s="138">
        <f>SUBTOTAL(9,R137:R144)</f>
        <v>0</v>
      </c>
      <c r="T145" s="138">
        <f>SUBTOTAL(9,T137:T144)</f>
        <v>0</v>
      </c>
      <c r="U145" s="138">
        <f>SUBTOTAL(9,U137:U144)</f>
        <v>0</v>
      </c>
      <c r="V145" s="138">
        <f>SUBTOTAL(9,V137:V144)</f>
        <v>0</v>
      </c>
      <c r="X145" s="138">
        <f>SUBTOTAL(9,X137:X144)</f>
        <v>0</v>
      </c>
      <c r="Y145" s="138">
        <f>SUBTOTAL(9,Y137:Y144)</f>
        <v>0</v>
      </c>
      <c r="Z145" s="138">
        <f>SUBTOTAL(9,Z137:Z144)</f>
        <v>0</v>
      </c>
      <c r="AA145" s="138">
        <f>SUBTOTAL(9,AA137:AA144)</f>
        <v>0</v>
      </c>
    </row>
    <row r="146" spans="1:27" outlineLevel="1" x14ac:dyDescent="0.2">
      <c r="A146" t="str">
        <f>'Partie 3 • M.implantation'!C14</f>
        <v>• service 16</v>
      </c>
      <c r="C146" s="37" t="s">
        <v>355</v>
      </c>
      <c r="D146" s="285" t="str">
        <f>VLOOKUP($C146,'Typologie détaillée'!$E$4:$H$214,3,0)</f>
        <v>B. Cloisonné - Standard</v>
      </c>
      <c r="E146" s="286" t="str">
        <f>VLOOKUP($C146,'Typologie détaillée'!$E$4:$H$214,4,0)</f>
        <v>OA</v>
      </c>
      <c r="F146" s="125"/>
      <c r="G146" s="125"/>
      <c r="H146" s="302"/>
      <c r="I146" s="125"/>
      <c r="J146" s="125"/>
      <c r="K146" s="125"/>
      <c r="P146" s="129">
        <f>$G146*I146</f>
        <v>0</v>
      </c>
      <c r="Q146" s="129">
        <f>$G146*J146</f>
        <v>0</v>
      </c>
      <c r="R146" s="106">
        <f>$G146*K146</f>
        <v>0</v>
      </c>
      <c r="T146" s="106">
        <f>IF($E146=T$4,$R146,"")</f>
        <v>0</v>
      </c>
      <c r="U146" s="106" t="str">
        <f>IF($E146=U$4,$R146,"")</f>
        <v/>
      </c>
      <c r="V146" s="106" t="str">
        <f>IF($E146=V$4,$R146,"")</f>
        <v/>
      </c>
      <c r="X146" s="106" t="str">
        <f>IF($F146=X$4,$R146,"")</f>
        <v/>
      </c>
      <c r="Y146" s="106" t="str">
        <f>IF($F146=Y$4,$R146,"")</f>
        <v/>
      </c>
      <c r="Z146" s="106" t="str">
        <f>IF($F146=Z$4,$R146,"")</f>
        <v/>
      </c>
      <c r="AA146" s="106" t="str">
        <f>IF($F146=AA$4,$R146,"")</f>
        <v/>
      </c>
    </row>
    <row r="147" spans="1:27" s="138" customFormat="1" ht="15" x14ac:dyDescent="0.25">
      <c r="A147" s="138" t="str">
        <f>A146</f>
        <v>• service 16</v>
      </c>
      <c r="B147" s="138">
        <f>B146</f>
        <v>0</v>
      </c>
      <c r="D147" s="138" t="s">
        <v>97</v>
      </c>
      <c r="E147" s="139"/>
      <c r="F147" s="139"/>
      <c r="G147" s="139"/>
      <c r="H147" s="299"/>
      <c r="I147" s="139"/>
      <c r="J147" s="139"/>
      <c r="K147" s="139"/>
      <c r="P147" s="139">
        <f>SUBTOTAL(9,P146)</f>
        <v>0</v>
      </c>
      <c r="Q147" s="139">
        <f>SUBTOTAL(9,Q146)</f>
        <v>0</v>
      </c>
      <c r="R147" s="140">
        <f>SUBTOTAL(9,R146)</f>
        <v>0</v>
      </c>
      <c r="T147" s="138">
        <f>SUBTOTAL(9,T146)</f>
        <v>0</v>
      </c>
      <c r="U147" s="138">
        <f>SUBTOTAL(9,U146)</f>
        <v>0</v>
      </c>
      <c r="V147" s="138">
        <f>SUBTOTAL(9,V146)</f>
        <v>0</v>
      </c>
      <c r="X147" s="138">
        <f>SUBTOTAL(9,X146)</f>
        <v>0</v>
      </c>
      <c r="Y147" s="138">
        <f>SUBTOTAL(9,Y146)</f>
        <v>0</v>
      </c>
      <c r="Z147" s="138">
        <f>SUBTOTAL(9,Z146)</f>
        <v>0</v>
      </c>
      <c r="AA147" s="138">
        <f>SUBTOTAL(9,AA146)</f>
        <v>0</v>
      </c>
    </row>
    <row r="148" spans="1:27" outlineLevel="1" x14ac:dyDescent="0.2">
      <c r="A148" t="str">
        <f>'Partie 3 • M.implantation'!C15</f>
        <v>• service 17</v>
      </c>
      <c r="B148" s="126"/>
      <c r="C148" s="37" t="s">
        <v>353</v>
      </c>
      <c r="D148" s="285" t="str">
        <f>VLOOKUP($C148,'Typologie détaillée'!$E$4:$H$214,3,0)</f>
        <v>Ne pas utiliser</v>
      </c>
      <c r="E148" s="286">
        <f>VLOOKUP($C148,'Typologie détaillée'!$E$4:$H$214,4,0)</f>
        <v>0</v>
      </c>
      <c r="F148" s="125"/>
      <c r="G148" s="125"/>
      <c r="H148" s="302"/>
      <c r="I148" s="125"/>
      <c r="J148" s="125"/>
      <c r="K148" s="125"/>
      <c r="P148" s="129">
        <f t="shared" ref="P148:R151" si="79">$G148*I148</f>
        <v>0</v>
      </c>
      <c r="Q148" s="129">
        <f t="shared" si="79"/>
        <v>0</v>
      </c>
      <c r="R148" s="106">
        <f t="shared" si="79"/>
        <v>0</v>
      </c>
      <c r="T148" s="106" t="str">
        <f t="shared" ref="T148:V151" si="80">IF($E148=T$4,$R148,"")</f>
        <v/>
      </c>
      <c r="U148" s="106" t="str">
        <f t="shared" si="80"/>
        <v/>
      </c>
      <c r="V148" s="106" t="str">
        <f t="shared" si="80"/>
        <v/>
      </c>
      <c r="X148" s="106" t="str">
        <f t="shared" ref="X148:AA151" si="81">IF($F148=X$4,$R148,"")</f>
        <v/>
      </c>
      <c r="Y148" s="106" t="str">
        <f t="shared" si="81"/>
        <v/>
      </c>
      <c r="Z148" s="106" t="str">
        <f t="shared" si="81"/>
        <v/>
      </c>
      <c r="AA148" s="106" t="str">
        <f t="shared" si="81"/>
        <v/>
      </c>
    </row>
    <row r="149" spans="1:27" outlineLevel="1" x14ac:dyDescent="0.2">
      <c r="C149" s="37" t="s">
        <v>353</v>
      </c>
      <c r="D149" s="285" t="str">
        <f>VLOOKUP($C149,'Typologie détaillée'!$E$4:$H$214,3,0)</f>
        <v>Ne pas utiliser</v>
      </c>
      <c r="E149" s="286">
        <f>VLOOKUP($C149,'Typologie détaillée'!$E$4:$H$214,4,0)</f>
        <v>0</v>
      </c>
      <c r="F149" s="90"/>
      <c r="G149" s="90"/>
      <c r="H149" s="301"/>
      <c r="I149" s="90"/>
      <c r="J149" s="90"/>
      <c r="K149" s="90"/>
      <c r="P149" s="129">
        <f t="shared" si="79"/>
        <v>0</v>
      </c>
      <c r="Q149" s="129">
        <f t="shared" si="79"/>
        <v>0</v>
      </c>
      <c r="R149" s="106">
        <f t="shared" si="79"/>
        <v>0</v>
      </c>
      <c r="T149" s="106" t="str">
        <f t="shared" si="80"/>
        <v/>
      </c>
      <c r="U149" s="106" t="str">
        <f t="shared" si="80"/>
        <v/>
      </c>
      <c r="V149" s="106" t="str">
        <f t="shared" si="80"/>
        <v/>
      </c>
      <c r="X149" s="106" t="str">
        <f t="shared" si="81"/>
        <v/>
      </c>
      <c r="Y149" s="106" t="str">
        <f t="shared" si="81"/>
        <v/>
      </c>
      <c r="Z149" s="106" t="str">
        <f t="shared" si="81"/>
        <v/>
      </c>
      <c r="AA149" s="106" t="str">
        <f t="shared" si="81"/>
        <v/>
      </c>
    </row>
    <row r="150" spans="1:27" outlineLevel="1" x14ac:dyDescent="0.2">
      <c r="C150" s="37" t="s">
        <v>353</v>
      </c>
      <c r="D150" s="285" t="str">
        <f>VLOOKUP($C150,'Typologie détaillée'!$E$4:$H$214,3,0)</f>
        <v>Ne pas utiliser</v>
      </c>
      <c r="E150" s="286">
        <f>VLOOKUP($C150,'Typologie détaillée'!$E$4:$H$214,4,0)</f>
        <v>0</v>
      </c>
      <c r="F150" s="90"/>
      <c r="G150" s="90"/>
      <c r="H150" s="301"/>
      <c r="I150" s="90"/>
      <c r="J150" s="90"/>
      <c r="K150" s="90"/>
      <c r="P150" s="129">
        <f t="shared" si="79"/>
        <v>0</v>
      </c>
      <c r="Q150" s="129">
        <f t="shared" si="79"/>
        <v>0</v>
      </c>
      <c r="R150" s="106">
        <f t="shared" si="79"/>
        <v>0</v>
      </c>
      <c r="T150" s="106" t="str">
        <f t="shared" si="80"/>
        <v/>
      </c>
      <c r="U150" s="106" t="str">
        <f t="shared" si="80"/>
        <v/>
      </c>
      <c r="V150" s="106" t="str">
        <f t="shared" si="80"/>
        <v/>
      </c>
      <c r="X150" s="106" t="str">
        <f t="shared" si="81"/>
        <v/>
      </c>
      <c r="Y150" s="106" t="str">
        <f t="shared" si="81"/>
        <v/>
      </c>
      <c r="Z150" s="106" t="str">
        <f t="shared" si="81"/>
        <v/>
      </c>
      <c r="AA150" s="106" t="str">
        <f t="shared" si="81"/>
        <v/>
      </c>
    </row>
    <row r="151" spans="1:27" outlineLevel="1" x14ac:dyDescent="0.2">
      <c r="C151" s="37" t="s">
        <v>353</v>
      </c>
      <c r="D151" s="285" t="str">
        <f>VLOOKUP($C151,'Typologie détaillée'!$E$4:$H$214,3,0)</f>
        <v>Ne pas utiliser</v>
      </c>
      <c r="E151" s="286">
        <f>VLOOKUP($C151,'Typologie détaillée'!$E$4:$H$214,4,0)</f>
        <v>0</v>
      </c>
      <c r="F151" s="90"/>
      <c r="G151" s="90"/>
      <c r="H151" s="301"/>
      <c r="I151" s="90"/>
      <c r="J151" s="90"/>
      <c r="K151" s="90"/>
      <c r="P151" s="129">
        <f t="shared" si="79"/>
        <v>0</v>
      </c>
      <c r="Q151" s="129">
        <f t="shared" si="79"/>
        <v>0</v>
      </c>
      <c r="R151" s="106">
        <f t="shared" si="79"/>
        <v>0</v>
      </c>
      <c r="T151" s="106" t="str">
        <f t="shared" si="80"/>
        <v/>
      </c>
      <c r="U151" s="106" t="str">
        <f t="shared" si="80"/>
        <v/>
      </c>
      <c r="V151" s="106" t="str">
        <f t="shared" si="80"/>
        <v/>
      </c>
      <c r="X151" s="106" t="str">
        <f t="shared" si="81"/>
        <v/>
      </c>
      <c r="Y151" s="106" t="str">
        <f t="shared" si="81"/>
        <v/>
      </c>
      <c r="Z151" s="106" t="str">
        <f t="shared" si="81"/>
        <v/>
      </c>
      <c r="AA151" s="106" t="str">
        <f t="shared" si="81"/>
        <v/>
      </c>
    </row>
    <row r="152" spans="1:27" s="138" customFormat="1" x14ac:dyDescent="0.2">
      <c r="A152" s="138" t="str">
        <f>A148</f>
        <v>• service 17</v>
      </c>
      <c r="B152" s="138">
        <f>B148</f>
        <v>0</v>
      </c>
      <c r="D152" s="138" t="s">
        <v>97</v>
      </c>
      <c r="E152" s="139"/>
      <c r="F152" s="139"/>
      <c r="G152" s="139"/>
      <c r="H152" s="299"/>
      <c r="I152" s="139"/>
      <c r="J152" s="139"/>
      <c r="K152" s="139"/>
      <c r="P152" s="139">
        <f>SUBTOTAL(9,P148:P151)</f>
        <v>0</v>
      </c>
      <c r="Q152" s="139">
        <f>SUBTOTAL(9,Q148:Q151)</f>
        <v>0</v>
      </c>
      <c r="R152" s="138">
        <f>SUBTOTAL(9,R148:R151)</f>
        <v>0</v>
      </c>
      <c r="T152" s="138">
        <f>SUBTOTAL(9,T148:T151)</f>
        <v>0</v>
      </c>
      <c r="U152" s="138">
        <f>SUBTOTAL(9,U148:U151)</f>
        <v>0</v>
      </c>
      <c r="V152" s="138">
        <f>SUBTOTAL(9,V148:V151)</f>
        <v>0</v>
      </c>
      <c r="X152" s="138">
        <f>SUBTOTAL(9,X148:X151)</f>
        <v>0</v>
      </c>
      <c r="Y152" s="138">
        <f>SUBTOTAL(9,Y148:Y151)</f>
        <v>0</v>
      </c>
      <c r="Z152" s="138">
        <f>SUBTOTAL(9,Z148:Z151)</f>
        <v>0</v>
      </c>
      <c r="AA152" s="138">
        <f>SUBTOTAL(9,AA148:AA151)</f>
        <v>0</v>
      </c>
    </row>
    <row r="153" spans="1:27" outlineLevel="1" x14ac:dyDescent="0.2">
      <c r="A153" t="str">
        <f>'Partie 3 • M.implantation'!C16</f>
        <v>• service 18</v>
      </c>
      <c r="B153" s="126"/>
      <c r="C153" s="37" t="s">
        <v>353</v>
      </c>
      <c r="D153" s="285" t="str">
        <f>VLOOKUP($C153,'Typologie détaillée'!$E$4:$H$214,3,0)</f>
        <v>Ne pas utiliser</v>
      </c>
      <c r="E153" s="286">
        <f>VLOOKUP($C153,'Typologie détaillée'!$E$4:$H$214,4,0)</f>
        <v>0</v>
      </c>
      <c r="F153" s="125"/>
      <c r="G153" s="125"/>
      <c r="H153" s="302"/>
      <c r="I153" s="125"/>
      <c r="J153" s="125"/>
      <c r="K153" s="125"/>
      <c r="P153" s="129">
        <f t="shared" ref="P153:R157" si="82">$G153*I153</f>
        <v>0</v>
      </c>
      <c r="Q153" s="129">
        <f t="shared" si="82"/>
        <v>0</v>
      </c>
      <c r="R153" s="106">
        <f t="shared" si="82"/>
        <v>0</v>
      </c>
      <c r="T153" s="106" t="str">
        <f t="shared" ref="T153:V157" si="83">IF($E153=T$4,$R153,"")</f>
        <v/>
      </c>
      <c r="U153" s="106" t="str">
        <f t="shared" si="83"/>
        <v/>
      </c>
      <c r="V153" s="106" t="str">
        <f t="shared" si="83"/>
        <v/>
      </c>
      <c r="X153" s="106" t="str">
        <f t="shared" ref="X153:AA157" si="84">IF($F153=X$4,$R153,"")</f>
        <v/>
      </c>
      <c r="Y153" s="106" t="str">
        <f t="shared" si="84"/>
        <v/>
      </c>
      <c r="Z153" s="106" t="str">
        <f t="shared" si="84"/>
        <v/>
      </c>
      <c r="AA153" s="106" t="str">
        <f t="shared" si="84"/>
        <v/>
      </c>
    </row>
    <row r="154" spans="1:27" outlineLevel="1" x14ac:dyDescent="0.2">
      <c r="C154" s="37" t="s">
        <v>353</v>
      </c>
      <c r="D154" s="285" t="str">
        <f>VLOOKUP($C154,'Typologie détaillée'!$E$4:$H$214,3,0)</f>
        <v>Ne pas utiliser</v>
      </c>
      <c r="E154" s="286">
        <f>VLOOKUP($C154,'Typologie détaillée'!$E$4:$H$214,4,0)</f>
        <v>0</v>
      </c>
      <c r="F154" s="90"/>
      <c r="G154" s="90"/>
      <c r="H154" s="301"/>
      <c r="I154" s="90"/>
      <c r="J154" s="90"/>
      <c r="K154" s="90"/>
      <c r="P154" s="129">
        <f t="shared" si="82"/>
        <v>0</v>
      </c>
      <c r="Q154" s="129">
        <f t="shared" si="82"/>
        <v>0</v>
      </c>
      <c r="R154" s="106">
        <f t="shared" si="82"/>
        <v>0</v>
      </c>
      <c r="T154" s="106" t="str">
        <f t="shared" si="83"/>
        <v/>
      </c>
      <c r="U154" s="106" t="str">
        <f t="shared" si="83"/>
        <v/>
      </c>
      <c r="V154" s="106" t="str">
        <f t="shared" si="83"/>
        <v/>
      </c>
      <c r="X154" s="106" t="str">
        <f t="shared" si="84"/>
        <v/>
      </c>
      <c r="Y154" s="106" t="str">
        <f t="shared" si="84"/>
        <v/>
      </c>
      <c r="Z154" s="106" t="str">
        <f t="shared" si="84"/>
        <v/>
      </c>
      <c r="AA154" s="106" t="str">
        <f t="shared" si="84"/>
        <v/>
      </c>
    </row>
    <row r="155" spans="1:27" outlineLevel="1" x14ac:dyDescent="0.2">
      <c r="C155" s="37" t="s">
        <v>353</v>
      </c>
      <c r="D155" s="285" t="str">
        <f>VLOOKUP($C155,'Typologie détaillée'!$E$4:$H$214,3,0)</f>
        <v>Ne pas utiliser</v>
      </c>
      <c r="E155" s="286">
        <f>VLOOKUP($C155,'Typologie détaillée'!$E$4:$H$214,4,0)</f>
        <v>0</v>
      </c>
      <c r="F155" s="90"/>
      <c r="G155" s="90"/>
      <c r="H155" s="301"/>
      <c r="I155" s="90"/>
      <c r="J155" s="90"/>
      <c r="K155" s="90"/>
      <c r="P155" s="129">
        <f t="shared" si="82"/>
        <v>0</v>
      </c>
      <c r="Q155" s="129">
        <f t="shared" si="82"/>
        <v>0</v>
      </c>
      <c r="R155" s="106">
        <f t="shared" si="82"/>
        <v>0</v>
      </c>
      <c r="T155" s="106" t="str">
        <f t="shared" si="83"/>
        <v/>
      </c>
      <c r="U155" s="106" t="str">
        <f t="shared" si="83"/>
        <v/>
      </c>
      <c r="V155" s="106" t="str">
        <f t="shared" si="83"/>
        <v/>
      </c>
      <c r="X155" s="106" t="str">
        <f t="shared" si="84"/>
        <v/>
      </c>
      <c r="Y155" s="106" t="str">
        <f t="shared" si="84"/>
        <v/>
      </c>
      <c r="Z155" s="106" t="str">
        <f t="shared" si="84"/>
        <v/>
      </c>
      <c r="AA155" s="106" t="str">
        <f t="shared" si="84"/>
        <v/>
      </c>
    </row>
    <row r="156" spans="1:27" outlineLevel="1" x14ac:dyDescent="0.2">
      <c r="C156" s="37" t="s">
        <v>353</v>
      </c>
      <c r="D156" s="285" t="str">
        <f>VLOOKUP($C156,'Typologie détaillée'!$E$4:$H$214,3,0)</f>
        <v>Ne pas utiliser</v>
      </c>
      <c r="E156" s="286">
        <f>VLOOKUP($C156,'Typologie détaillée'!$E$4:$H$214,4,0)</f>
        <v>0</v>
      </c>
      <c r="F156" s="90"/>
      <c r="G156" s="90"/>
      <c r="H156" s="301"/>
      <c r="I156" s="90"/>
      <c r="J156" s="90"/>
      <c r="K156" s="90"/>
      <c r="P156" s="129">
        <f t="shared" si="82"/>
        <v>0</v>
      </c>
      <c r="Q156" s="129">
        <f t="shared" si="82"/>
        <v>0</v>
      </c>
      <c r="R156" s="106">
        <f t="shared" si="82"/>
        <v>0</v>
      </c>
      <c r="T156" s="106" t="str">
        <f t="shared" si="83"/>
        <v/>
      </c>
      <c r="U156" s="106" t="str">
        <f t="shared" si="83"/>
        <v/>
      </c>
      <c r="V156" s="106" t="str">
        <f t="shared" si="83"/>
        <v/>
      </c>
      <c r="X156" s="106" t="str">
        <f t="shared" si="84"/>
        <v/>
      </c>
      <c r="Y156" s="106" t="str">
        <f t="shared" si="84"/>
        <v/>
      </c>
      <c r="Z156" s="106" t="str">
        <f t="shared" si="84"/>
        <v/>
      </c>
      <c r="AA156" s="106" t="str">
        <f t="shared" si="84"/>
        <v/>
      </c>
    </row>
    <row r="157" spans="1:27" outlineLevel="1" x14ac:dyDescent="0.2">
      <c r="C157" s="37" t="s">
        <v>353</v>
      </c>
      <c r="D157" s="285" t="str">
        <f>VLOOKUP($C157,'Typologie détaillée'!$E$4:$H$214,3,0)</f>
        <v>Ne pas utiliser</v>
      </c>
      <c r="E157" s="286">
        <f>VLOOKUP($C157,'Typologie détaillée'!$E$4:$H$214,4,0)</f>
        <v>0</v>
      </c>
      <c r="F157" s="90"/>
      <c r="G157" s="90"/>
      <c r="H157" s="301"/>
      <c r="I157" s="90"/>
      <c r="J157" s="90"/>
      <c r="K157" s="90"/>
      <c r="P157" s="129">
        <f t="shared" si="82"/>
        <v>0</v>
      </c>
      <c r="Q157" s="129">
        <f t="shared" si="82"/>
        <v>0</v>
      </c>
      <c r="R157" s="106">
        <f t="shared" si="82"/>
        <v>0</v>
      </c>
      <c r="T157" s="106" t="str">
        <f t="shared" si="83"/>
        <v/>
      </c>
      <c r="U157" s="106" t="str">
        <f t="shared" si="83"/>
        <v/>
      </c>
      <c r="V157" s="106" t="str">
        <f t="shared" si="83"/>
        <v/>
      </c>
      <c r="X157" s="106" t="str">
        <f t="shared" si="84"/>
        <v/>
      </c>
      <c r="Y157" s="106" t="str">
        <f t="shared" si="84"/>
        <v/>
      </c>
      <c r="Z157" s="106" t="str">
        <f t="shared" si="84"/>
        <v/>
      </c>
      <c r="AA157" s="106" t="str">
        <f t="shared" si="84"/>
        <v/>
      </c>
    </row>
    <row r="158" spans="1:27" s="138" customFormat="1" x14ac:dyDescent="0.2">
      <c r="A158" s="138" t="str">
        <f>A153</f>
        <v>• service 18</v>
      </c>
      <c r="B158" s="138">
        <f>B153</f>
        <v>0</v>
      </c>
      <c r="D158" s="138" t="s">
        <v>97</v>
      </c>
      <c r="E158" s="139"/>
      <c r="F158" s="139"/>
      <c r="G158" s="139"/>
      <c r="H158" s="299"/>
      <c r="I158" s="139"/>
      <c r="J158" s="139"/>
      <c r="K158" s="139"/>
      <c r="P158" s="139">
        <f>SUBTOTAL(9,P153:P157)</f>
        <v>0</v>
      </c>
      <c r="Q158" s="139">
        <f>SUBTOTAL(9,Q153:Q157)</f>
        <v>0</v>
      </c>
      <c r="R158" s="138">
        <f>SUBTOTAL(9,R153:R157)</f>
        <v>0</v>
      </c>
      <c r="T158" s="138">
        <f>SUBTOTAL(9,T153:T157)</f>
        <v>0</v>
      </c>
      <c r="U158" s="138">
        <f>SUBTOTAL(9,U153:U157)</f>
        <v>0</v>
      </c>
      <c r="V158" s="138">
        <f>SUBTOTAL(9,V153:V157)</f>
        <v>0</v>
      </c>
      <c r="X158" s="138">
        <f>SUBTOTAL(9,X153:X157)</f>
        <v>0</v>
      </c>
      <c r="Y158" s="138">
        <f>SUBTOTAL(9,Y153:Y157)</f>
        <v>0</v>
      </c>
      <c r="Z158" s="138">
        <f>SUBTOTAL(9,Z153:Z157)</f>
        <v>0</v>
      </c>
      <c r="AA158" s="138">
        <f>SUBTOTAL(9,AA153:AA157)</f>
        <v>0</v>
      </c>
    </row>
    <row r="159" spans="1:27" outlineLevel="1" x14ac:dyDescent="0.2">
      <c r="A159" t="str">
        <f>'Partie 3 • M.implantation'!C17</f>
        <v>• service 19</v>
      </c>
      <c r="C159" s="37" t="s">
        <v>353</v>
      </c>
      <c r="D159" s="285" t="str">
        <f>VLOOKUP($C159,'Typologie détaillée'!$E$4:$H$214,3,0)</f>
        <v>Ne pas utiliser</v>
      </c>
      <c r="E159" s="286">
        <f>VLOOKUP($C159,'Typologie détaillée'!$E$4:$H$214,4,0)</f>
        <v>0</v>
      </c>
      <c r="F159" s="125"/>
      <c r="G159" s="125"/>
      <c r="H159" s="302"/>
      <c r="I159" s="125"/>
      <c r="J159" s="125"/>
      <c r="K159" s="125"/>
      <c r="P159" s="129">
        <f>$G159*I159</f>
        <v>0</v>
      </c>
      <c r="Q159" s="129">
        <f>$G159*J159</f>
        <v>0</v>
      </c>
      <c r="R159" s="106">
        <f>$G159*K159</f>
        <v>0</v>
      </c>
      <c r="T159" s="106" t="str">
        <f>IF($E159=T$4,$R159,"")</f>
        <v/>
      </c>
      <c r="U159" s="106" t="str">
        <f>IF($E159=U$4,$R159,"")</f>
        <v/>
      </c>
      <c r="V159" s="106" t="str">
        <f>IF($E159=V$4,$R159,"")</f>
        <v/>
      </c>
      <c r="X159" s="106" t="str">
        <f>IF($F159=X$4,$R159,"")</f>
        <v/>
      </c>
      <c r="Y159" s="106" t="str">
        <f>IF($F159=Y$4,$R159,"")</f>
        <v/>
      </c>
      <c r="Z159" s="106" t="str">
        <f>IF($F159=Z$4,$R159,"")</f>
        <v/>
      </c>
      <c r="AA159" s="106" t="str">
        <f>IF($F159=AA$4,$R159,"")</f>
        <v/>
      </c>
    </row>
    <row r="160" spans="1:27" s="138" customFormat="1" x14ac:dyDescent="0.2">
      <c r="A160" s="138" t="str">
        <f>A159</f>
        <v>• service 19</v>
      </c>
      <c r="B160" s="138">
        <f>B159</f>
        <v>0</v>
      </c>
      <c r="D160" s="138" t="s">
        <v>97</v>
      </c>
      <c r="E160" s="139"/>
      <c r="F160" s="139"/>
      <c r="G160" s="139"/>
      <c r="H160" s="299"/>
      <c r="I160" s="139"/>
      <c r="J160" s="139"/>
      <c r="K160" s="139"/>
      <c r="P160" s="139">
        <f>SUBTOTAL(9,P159:P159)</f>
        <v>0</v>
      </c>
      <c r="Q160" s="139">
        <f>SUBTOTAL(9,Q159:Q159)</f>
        <v>0</v>
      </c>
      <c r="R160" s="138">
        <f>SUBTOTAL(9,R159:R159)</f>
        <v>0</v>
      </c>
      <c r="T160" s="138">
        <f>SUBTOTAL(9,T159:T159)</f>
        <v>0</v>
      </c>
      <c r="U160" s="138">
        <f>SUBTOTAL(9,U159:U159)</f>
        <v>0</v>
      </c>
      <c r="V160" s="138">
        <f>SUBTOTAL(9,V159:V159)</f>
        <v>0</v>
      </c>
      <c r="X160" s="138">
        <f>SUBTOTAL(9,X159:X159)</f>
        <v>0</v>
      </c>
      <c r="Y160" s="138">
        <f>SUBTOTAL(9,Y159:Y159)</f>
        <v>0</v>
      </c>
      <c r="Z160" s="138">
        <f>SUBTOTAL(9,Z159:Z159)</f>
        <v>0</v>
      </c>
      <c r="AA160" s="138">
        <f>SUBTOTAL(9,AA159:AA159)</f>
        <v>0</v>
      </c>
    </row>
    <row r="161" spans="1:27" outlineLevel="1" x14ac:dyDescent="0.2">
      <c r="A161" t="str">
        <f>'Partie 3 • M.implantation'!C18</f>
        <v>• service 20</v>
      </c>
      <c r="C161" s="37" t="s">
        <v>353</v>
      </c>
      <c r="D161" s="285" t="str">
        <f>VLOOKUP($C161,'Typologie détaillée'!$E$4:$H$214,3,0)</f>
        <v>Ne pas utiliser</v>
      </c>
      <c r="E161" s="286">
        <f>VLOOKUP($C161,'Typologie détaillée'!$E$4:$H$214,4,0)</f>
        <v>0</v>
      </c>
      <c r="F161" s="125"/>
      <c r="G161" s="125"/>
      <c r="H161" s="302"/>
      <c r="I161" s="125"/>
      <c r="J161" s="125"/>
      <c r="K161" s="125"/>
      <c r="P161" s="129">
        <f t="shared" ref="P161:R162" si="85">$G161*I161</f>
        <v>0</v>
      </c>
      <c r="Q161" s="129">
        <f t="shared" si="85"/>
        <v>0</v>
      </c>
      <c r="R161" s="106">
        <f t="shared" si="85"/>
        <v>0</v>
      </c>
      <c r="T161" s="106" t="str">
        <f t="shared" ref="T161:V162" si="86">IF($E161=T$4,$R161,"")</f>
        <v/>
      </c>
      <c r="U161" s="106" t="str">
        <f t="shared" si="86"/>
        <v/>
      </c>
      <c r="V161" s="106" t="str">
        <f t="shared" si="86"/>
        <v/>
      </c>
      <c r="X161" s="106" t="str">
        <f t="shared" ref="X161:AA162" si="87">IF($F161=X$4,$R161,"")</f>
        <v/>
      </c>
      <c r="Y161" s="106" t="str">
        <f t="shared" si="87"/>
        <v/>
      </c>
      <c r="Z161" s="106" t="str">
        <f t="shared" si="87"/>
        <v/>
      </c>
      <c r="AA161" s="106" t="str">
        <f t="shared" si="87"/>
        <v/>
      </c>
    </row>
    <row r="162" spans="1:27" outlineLevel="1" x14ac:dyDescent="0.2">
      <c r="C162" s="37" t="s">
        <v>353</v>
      </c>
      <c r="D162" s="285" t="str">
        <f>VLOOKUP($C162,'Typologie détaillée'!$E$4:$H$214,3,0)</f>
        <v>Ne pas utiliser</v>
      </c>
      <c r="E162" s="286">
        <f>VLOOKUP($C162,'Typologie détaillée'!$E$4:$H$214,4,0)</f>
        <v>0</v>
      </c>
      <c r="F162" s="90"/>
      <c r="G162" s="90"/>
      <c r="H162" s="301"/>
      <c r="I162" s="90"/>
      <c r="J162" s="90"/>
      <c r="K162" s="90"/>
      <c r="P162" s="129">
        <f t="shared" si="85"/>
        <v>0</v>
      </c>
      <c r="Q162" s="129">
        <f t="shared" si="85"/>
        <v>0</v>
      </c>
      <c r="R162" s="106">
        <f t="shared" si="85"/>
        <v>0</v>
      </c>
      <c r="T162" s="106" t="str">
        <f t="shared" si="86"/>
        <v/>
      </c>
      <c r="U162" s="106" t="str">
        <f t="shared" si="86"/>
        <v/>
      </c>
      <c r="V162" s="106" t="str">
        <f t="shared" si="86"/>
        <v/>
      </c>
      <c r="X162" s="106" t="str">
        <f t="shared" si="87"/>
        <v/>
      </c>
      <c r="Y162" s="106" t="str">
        <f t="shared" si="87"/>
        <v/>
      </c>
      <c r="Z162" s="106" t="str">
        <f t="shared" si="87"/>
        <v/>
      </c>
      <c r="AA162" s="106" t="str">
        <f t="shared" si="87"/>
        <v/>
      </c>
    </row>
    <row r="163" spans="1:27" s="138" customFormat="1" x14ac:dyDescent="0.2">
      <c r="A163" s="138" t="str">
        <f>A161</f>
        <v>• service 20</v>
      </c>
      <c r="B163" s="138">
        <f>B161</f>
        <v>0</v>
      </c>
      <c r="D163" s="138" t="s">
        <v>97</v>
      </c>
      <c r="E163" s="139"/>
      <c r="F163" s="139"/>
      <c r="G163" s="139"/>
      <c r="H163" s="299"/>
      <c r="I163" s="139"/>
      <c r="J163" s="139"/>
      <c r="K163" s="139"/>
      <c r="P163" s="139">
        <f>SUBTOTAL(9,P161:P162)</f>
        <v>0</v>
      </c>
      <c r="Q163" s="139">
        <f>SUBTOTAL(9,Q161:Q162)</f>
        <v>0</v>
      </c>
      <c r="R163" s="138">
        <f>SUBTOTAL(9,R161:R162)</f>
        <v>0</v>
      </c>
      <c r="T163" s="138">
        <f>SUBTOTAL(9,T161:T162)</f>
        <v>0</v>
      </c>
      <c r="U163" s="138">
        <f>SUBTOTAL(9,U161:U162)</f>
        <v>0</v>
      </c>
      <c r="V163" s="138">
        <f>SUBTOTAL(9,V161:V162)</f>
        <v>0</v>
      </c>
      <c r="X163" s="138">
        <f>SUBTOTAL(9,X161:X162)</f>
        <v>0</v>
      </c>
      <c r="Y163" s="138">
        <f>SUBTOTAL(9,Y161:Y162)</f>
        <v>0</v>
      </c>
      <c r="Z163" s="138">
        <f>SUBTOTAL(9,Z161:Z162)</f>
        <v>0</v>
      </c>
      <c r="AA163" s="138">
        <f>SUBTOTAL(9,AA161:AA162)</f>
        <v>0</v>
      </c>
    </row>
    <row r="164" spans="1:27" outlineLevel="1" x14ac:dyDescent="0.2">
      <c r="A164" t="e">
        <f>'Partie 3 • M.implantation'!C19</f>
        <v>#REF!</v>
      </c>
      <c r="C164" s="37" t="s">
        <v>353</v>
      </c>
      <c r="D164" s="285" t="str">
        <f>VLOOKUP($C164,'Typologie détaillée'!$E$4:$H$214,3,0)</f>
        <v>Ne pas utiliser</v>
      </c>
      <c r="E164" s="286">
        <f>VLOOKUP($C164,'Typologie détaillée'!$E$4:$H$214,4,0)</f>
        <v>0</v>
      </c>
      <c r="F164" s="125"/>
      <c r="G164" s="125"/>
      <c r="H164" s="302"/>
      <c r="I164" s="125"/>
      <c r="J164" s="125"/>
      <c r="K164" s="125"/>
      <c r="P164" s="129">
        <f t="shared" ref="P164:R165" si="88">$G164*I164</f>
        <v>0</v>
      </c>
      <c r="Q164" s="129">
        <f t="shared" si="88"/>
        <v>0</v>
      </c>
      <c r="R164" s="106">
        <f t="shared" si="88"/>
        <v>0</v>
      </c>
      <c r="T164" s="106" t="str">
        <f t="shared" ref="T164:V165" si="89">IF($E164=T$4,$R164,"")</f>
        <v/>
      </c>
      <c r="U164" s="106" t="str">
        <f t="shared" si="89"/>
        <v/>
      </c>
      <c r="V164" s="106" t="str">
        <f t="shared" si="89"/>
        <v/>
      </c>
      <c r="X164" s="106" t="str">
        <f t="shared" ref="X164:AA165" si="90">IF($F164=X$4,$R164,"")</f>
        <v/>
      </c>
      <c r="Y164" s="106" t="str">
        <f t="shared" si="90"/>
        <v/>
      </c>
      <c r="Z164" s="106" t="str">
        <f t="shared" si="90"/>
        <v/>
      </c>
      <c r="AA164" s="106" t="str">
        <f t="shared" si="90"/>
        <v/>
      </c>
    </row>
    <row r="165" spans="1:27" outlineLevel="1" x14ac:dyDescent="0.2">
      <c r="C165" s="37" t="s">
        <v>353</v>
      </c>
      <c r="D165" s="285" t="str">
        <f>VLOOKUP($C165,'Typologie détaillée'!$E$4:$H$214,3,0)</f>
        <v>Ne pas utiliser</v>
      </c>
      <c r="E165" s="286">
        <f>VLOOKUP($C165,'Typologie détaillée'!$E$4:$H$214,4,0)</f>
        <v>0</v>
      </c>
      <c r="F165" s="90"/>
      <c r="G165" s="90"/>
      <c r="H165" s="301"/>
      <c r="I165" s="90"/>
      <c r="J165" s="90"/>
      <c r="K165" s="90"/>
      <c r="P165" s="129">
        <f t="shared" si="88"/>
        <v>0</v>
      </c>
      <c r="Q165" s="129">
        <f t="shared" si="88"/>
        <v>0</v>
      </c>
      <c r="R165" s="106">
        <f t="shared" si="88"/>
        <v>0</v>
      </c>
      <c r="T165" s="106" t="str">
        <f t="shared" si="89"/>
        <v/>
      </c>
      <c r="U165" s="106" t="str">
        <f t="shared" si="89"/>
        <v/>
      </c>
      <c r="V165" s="106" t="str">
        <f t="shared" si="89"/>
        <v/>
      </c>
      <c r="X165" s="106" t="str">
        <f t="shared" si="90"/>
        <v/>
      </c>
      <c r="Y165" s="106" t="str">
        <f t="shared" si="90"/>
        <v/>
      </c>
      <c r="Z165" s="106" t="str">
        <f t="shared" si="90"/>
        <v/>
      </c>
      <c r="AA165" s="106" t="str">
        <f t="shared" si="90"/>
        <v/>
      </c>
    </row>
    <row r="166" spans="1:27" s="138" customFormat="1" ht="15" x14ac:dyDescent="0.25">
      <c r="A166" s="138" t="e">
        <f>A164</f>
        <v>#REF!</v>
      </c>
      <c r="B166" s="138">
        <f>B164</f>
        <v>0</v>
      </c>
      <c r="D166" s="138" t="s">
        <v>97</v>
      </c>
      <c r="E166" s="139"/>
      <c r="F166" s="139"/>
      <c r="G166" s="139"/>
      <c r="H166" s="299"/>
      <c r="I166" s="139"/>
      <c r="J166" s="139"/>
      <c r="K166" s="139"/>
      <c r="P166" s="139">
        <f>SUBTOTAL(9,P164:P165)</f>
        <v>0</v>
      </c>
      <c r="Q166" s="139">
        <f>SUBTOTAL(9,Q164:Q165)</f>
        <v>0</v>
      </c>
      <c r="R166" s="141">
        <f>SUBTOTAL(9,R164:R165)</f>
        <v>0</v>
      </c>
      <c r="T166" s="138">
        <f>SUBTOTAL(9,T164:T165)</f>
        <v>0</v>
      </c>
      <c r="U166" s="138">
        <f>SUBTOTAL(9,U164:U165)</f>
        <v>0</v>
      </c>
      <c r="V166" s="138">
        <f>SUBTOTAL(9,V164:V165)</f>
        <v>0</v>
      </c>
      <c r="X166" s="138">
        <f>SUBTOTAL(9,X164:X165)</f>
        <v>0</v>
      </c>
      <c r="Y166" s="138">
        <f>SUBTOTAL(9,Y164:Y165)</f>
        <v>0</v>
      </c>
      <c r="Z166" s="138">
        <f>SUBTOTAL(9,Z164:Z165)</f>
        <v>0</v>
      </c>
      <c r="AA166" s="138">
        <f>SUBTOTAL(9,AA164:AA165)</f>
        <v>0</v>
      </c>
    </row>
    <row r="167" spans="1:27" outlineLevel="1" x14ac:dyDescent="0.2">
      <c r="A167" t="e">
        <f>'Partie 3 • M.implantation'!C20</f>
        <v>#REF!</v>
      </c>
      <c r="B167" s="126"/>
      <c r="C167" s="37" t="s">
        <v>353</v>
      </c>
      <c r="D167" s="285" t="str">
        <f>VLOOKUP($C167,'Typologie détaillée'!$E$4:$H$214,3,0)</f>
        <v>Ne pas utiliser</v>
      </c>
      <c r="E167" s="286">
        <f>VLOOKUP($C167,'Typologie détaillée'!$E$4:$H$214,4,0)</f>
        <v>0</v>
      </c>
      <c r="F167" s="125"/>
      <c r="G167" s="125"/>
      <c r="H167" s="302"/>
      <c r="I167" s="125"/>
      <c r="J167" s="125"/>
      <c r="K167" s="125"/>
      <c r="P167" s="129">
        <f t="shared" ref="P167:P183" si="91">$G167*I167</f>
        <v>0</v>
      </c>
      <c r="Q167" s="129">
        <f t="shared" ref="Q167:Q183" si="92">$G167*J167</f>
        <v>0</v>
      </c>
      <c r="R167" s="106">
        <f t="shared" ref="R167:R183" si="93">$G167*K167</f>
        <v>0</v>
      </c>
      <c r="T167" s="106" t="str">
        <f t="shared" ref="T167:V183" si="94">IF($E167=T$4,$R167,"")</f>
        <v/>
      </c>
      <c r="U167" s="106" t="str">
        <f t="shared" si="94"/>
        <v/>
      </c>
      <c r="V167" s="106" t="str">
        <f t="shared" si="94"/>
        <v/>
      </c>
      <c r="X167" s="106" t="str">
        <f t="shared" ref="X167:AA183" si="95">IF($F167=X$4,$R167,"")</f>
        <v/>
      </c>
      <c r="Y167" s="106" t="str">
        <f t="shared" si="95"/>
        <v/>
      </c>
      <c r="Z167" s="106" t="str">
        <f t="shared" si="95"/>
        <v/>
      </c>
      <c r="AA167" s="106" t="str">
        <f t="shared" si="95"/>
        <v/>
      </c>
    </row>
    <row r="168" spans="1:27" outlineLevel="1" x14ac:dyDescent="0.2">
      <c r="C168" s="37" t="s">
        <v>353</v>
      </c>
      <c r="D168" s="285" t="str">
        <f>VLOOKUP($C168,'Typologie détaillée'!$E$4:$H$214,3,0)</f>
        <v>Ne pas utiliser</v>
      </c>
      <c r="E168" s="286">
        <f>VLOOKUP($C168,'Typologie détaillée'!$E$4:$H$214,4,0)</f>
        <v>0</v>
      </c>
      <c r="F168" s="90"/>
      <c r="G168" s="90"/>
      <c r="H168" s="301"/>
      <c r="I168" s="90"/>
      <c r="J168" s="90"/>
      <c r="K168" s="90"/>
      <c r="P168" s="129">
        <f t="shared" si="91"/>
        <v>0</v>
      </c>
      <c r="Q168" s="129">
        <f t="shared" si="92"/>
        <v>0</v>
      </c>
      <c r="R168" s="106">
        <f t="shared" si="93"/>
        <v>0</v>
      </c>
      <c r="T168" s="106" t="str">
        <f t="shared" si="94"/>
        <v/>
      </c>
      <c r="U168" s="106" t="str">
        <f t="shared" si="94"/>
        <v/>
      </c>
      <c r="V168" s="106" t="str">
        <f t="shared" si="94"/>
        <v/>
      </c>
      <c r="X168" s="106" t="str">
        <f t="shared" si="95"/>
        <v/>
      </c>
      <c r="Y168" s="106" t="str">
        <f t="shared" si="95"/>
        <v/>
      </c>
      <c r="Z168" s="106" t="str">
        <f t="shared" si="95"/>
        <v/>
      </c>
      <c r="AA168" s="106" t="str">
        <f t="shared" si="95"/>
        <v/>
      </c>
    </row>
    <row r="169" spans="1:27" outlineLevel="1" x14ac:dyDescent="0.2">
      <c r="C169" s="37" t="s">
        <v>353</v>
      </c>
      <c r="D169" s="285" t="str">
        <f>VLOOKUP($C169,'Typologie détaillée'!$E$4:$H$214,3,0)</f>
        <v>Ne pas utiliser</v>
      </c>
      <c r="E169" s="286">
        <f>VLOOKUP($C169,'Typologie détaillée'!$E$4:$H$214,4,0)</f>
        <v>0</v>
      </c>
      <c r="F169" s="90"/>
      <c r="G169" s="90"/>
      <c r="H169" s="301"/>
      <c r="I169" s="90"/>
      <c r="J169" s="90"/>
      <c r="K169" s="90"/>
      <c r="P169" s="129">
        <f t="shared" si="91"/>
        <v>0</v>
      </c>
      <c r="Q169" s="129">
        <f t="shared" si="92"/>
        <v>0</v>
      </c>
      <c r="R169" s="106">
        <f t="shared" si="93"/>
        <v>0</v>
      </c>
      <c r="T169" s="106" t="str">
        <f t="shared" si="94"/>
        <v/>
      </c>
      <c r="U169" s="106" t="str">
        <f t="shared" si="94"/>
        <v/>
      </c>
      <c r="V169" s="106" t="str">
        <f t="shared" si="94"/>
        <v/>
      </c>
      <c r="X169" s="106" t="str">
        <f t="shared" si="95"/>
        <v/>
      </c>
      <c r="Y169" s="106" t="str">
        <f t="shared" si="95"/>
        <v/>
      </c>
      <c r="Z169" s="106" t="str">
        <f t="shared" si="95"/>
        <v/>
      </c>
      <c r="AA169" s="106" t="str">
        <f t="shared" si="95"/>
        <v/>
      </c>
    </row>
    <row r="170" spans="1:27" outlineLevel="1" x14ac:dyDescent="0.2">
      <c r="C170" s="37" t="s">
        <v>353</v>
      </c>
      <c r="D170" s="285" t="str">
        <f>VLOOKUP($C170,'Typologie détaillée'!$E$4:$H$214,3,0)</f>
        <v>Ne pas utiliser</v>
      </c>
      <c r="E170" s="286">
        <f>VLOOKUP($C170,'Typologie détaillée'!$E$4:$H$214,4,0)</f>
        <v>0</v>
      </c>
      <c r="F170" s="90"/>
      <c r="G170" s="90"/>
      <c r="H170" s="301"/>
      <c r="I170" s="90"/>
      <c r="J170" s="90"/>
      <c r="K170" s="90"/>
      <c r="P170" s="129">
        <f t="shared" si="91"/>
        <v>0</v>
      </c>
      <c r="Q170" s="129">
        <f t="shared" si="92"/>
        <v>0</v>
      </c>
      <c r="R170" s="106">
        <f t="shared" si="93"/>
        <v>0</v>
      </c>
      <c r="T170" s="106" t="str">
        <f t="shared" si="94"/>
        <v/>
      </c>
      <c r="U170" s="106" t="str">
        <f t="shared" si="94"/>
        <v/>
      </c>
      <c r="V170" s="106" t="str">
        <f t="shared" si="94"/>
        <v/>
      </c>
      <c r="X170" s="106" t="str">
        <f t="shared" si="95"/>
        <v/>
      </c>
      <c r="Y170" s="106" t="str">
        <f t="shared" si="95"/>
        <v/>
      </c>
      <c r="Z170" s="106" t="str">
        <f t="shared" si="95"/>
        <v/>
      </c>
      <c r="AA170" s="106" t="str">
        <f t="shared" si="95"/>
        <v/>
      </c>
    </row>
    <row r="171" spans="1:27" outlineLevel="1" x14ac:dyDescent="0.2">
      <c r="C171" s="37" t="s">
        <v>353</v>
      </c>
      <c r="D171" s="285" t="str">
        <f>VLOOKUP($C171,'Typologie détaillée'!$E$4:$H$214,3,0)</f>
        <v>Ne pas utiliser</v>
      </c>
      <c r="E171" s="286">
        <f>VLOOKUP($C171,'Typologie détaillée'!$E$4:$H$214,4,0)</f>
        <v>0</v>
      </c>
      <c r="F171" s="90"/>
      <c r="G171" s="90"/>
      <c r="H171" s="301"/>
      <c r="I171" s="90"/>
      <c r="J171" s="90"/>
      <c r="K171" s="90"/>
      <c r="P171" s="129">
        <f t="shared" si="91"/>
        <v>0</v>
      </c>
      <c r="Q171" s="129">
        <f t="shared" si="92"/>
        <v>0</v>
      </c>
      <c r="R171" s="106">
        <f t="shared" si="93"/>
        <v>0</v>
      </c>
      <c r="T171" s="106" t="str">
        <f t="shared" si="94"/>
        <v/>
      </c>
      <c r="U171" s="106" t="str">
        <f t="shared" si="94"/>
        <v/>
      </c>
      <c r="V171" s="106" t="str">
        <f t="shared" si="94"/>
        <v/>
      </c>
      <c r="X171" s="106" t="str">
        <f t="shared" si="95"/>
        <v/>
      </c>
      <c r="Y171" s="106" t="str">
        <f t="shared" si="95"/>
        <v/>
      </c>
      <c r="Z171" s="106" t="str">
        <f t="shared" si="95"/>
        <v/>
      </c>
      <c r="AA171" s="106" t="str">
        <f t="shared" si="95"/>
        <v/>
      </c>
    </row>
    <row r="172" spans="1:27" outlineLevel="1" x14ac:dyDescent="0.2">
      <c r="C172" s="37" t="s">
        <v>353</v>
      </c>
      <c r="D172" s="285" t="str">
        <f>VLOOKUP($C172,'Typologie détaillée'!$E$4:$H$214,3,0)</f>
        <v>Ne pas utiliser</v>
      </c>
      <c r="E172" s="286">
        <f>VLOOKUP($C172,'Typologie détaillée'!$E$4:$H$214,4,0)</f>
        <v>0</v>
      </c>
      <c r="F172" s="90"/>
      <c r="G172" s="90"/>
      <c r="H172" s="301"/>
      <c r="I172" s="90"/>
      <c r="J172" s="90"/>
      <c r="K172" s="90"/>
      <c r="P172" s="129">
        <f t="shared" si="91"/>
        <v>0</v>
      </c>
      <c r="Q172" s="129">
        <f t="shared" si="92"/>
        <v>0</v>
      </c>
      <c r="R172" s="106">
        <f t="shared" si="93"/>
        <v>0</v>
      </c>
      <c r="T172" s="106" t="str">
        <f t="shared" si="94"/>
        <v/>
      </c>
      <c r="U172" s="106" t="str">
        <f t="shared" si="94"/>
        <v/>
      </c>
      <c r="V172" s="106" t="str">
        <f t="shared" si="94"/>
        <v/>
      </c>
      <c r="X172" s="106" t="str">
        <f t="shared" si="95"/>
        <v/>
      </c>
      <c r="Y172" s="106" t="str">
        <f t="shared" si="95"/>
        <v/>
      </c>
      <c r="Z172" s="106" t="str">
        <f t="shared" si="95"/>
        <v/>
      </c>
      <c r="AA172" s="106" t="str">
        <f t="shared" si="95"/>
        <v/>
      </c>
    </row>
    <row r="173" spans="1:27" outlineLevel="1" x14ac:dyDescent="0.2">
      <c r="C173" s="37" t="s">
        <v>353</v>
      </c>
      <c r="D173" s="285" t="str">
        <f>VLOOKUP($C173,'Typologie détaillée'!$E$4:$H$214,3,0)</f>
        <v>Ne pas utiliser</v>
      </c>
      <c r="E173" s="286">
        <f>VLOOKUP($C173,'Typologie détaillée'!$E$4:$H$214,4,0)</f>
        <v>0</v>
      </c>
      <c r="F173" s="90"/>
      <c r="G173" s="90"/>
      <c r="H173" s="301"/>
      <c r="I173" s="90"/>
      <c r="J173" s="90"/>
      <c r="K173" s="90"/>
      <c r="P173" s="129">
        <f t="shared" si="91"/>
        <v>0</v>
      </c>
      <c r="Q173" s="129">
        <f t="shared" si="92"/>
        <v>0</v>
      </c>
      <c r="R173" s="106">
        <f t="shared" si="93"/>
        <v>0</v>
      </c>
      <c r="T173" s="106" t="str">
        <f t="shared" si="94"/>
        <v/>
      </c>
      <c r="U173" s="106" t="str">
        <f t="shared" si="94"/>
        <v/>
      </c>
      <c r="V173" s="106" t="str">
        <f t="shared" si="94"/>
        <v/>
      </c>
      <c r="X173" s="106" t="str">
        <f t="shared" si="95"/>
        <v/>
      </c>
      <c r="Y173" s="106" t="str">
        <f t="shared" si="95"/>
        <v/>
      </c>
      <c r="Z173" s="106" t="str">
        <f t="shared" si="95"/>
        <v/>
      </c>
      <c r="AA173" s="106" t="str">
        <f t="shared" si="95"/>
        <v/>
      </c>
    </row>
    <row r="174" spans="1:27" outlineLevel="1" x14ac:dyDescent="0.2">
      <c r="C174" s="37" t="s">
        <v>353</v>
      </c>
      <c r="D174" s="285" t="str">
        <f>VLOOKUP($C174,'Typologie détaillée'!$E$4:$H$214,3,0)</f>
        <v>Ne pas utiliser</v>
      </c>
      <c r="E174" s="286">
        <f>VLOOKUP($C174,'Typologie détaillée'!$E$4:$H$214,4,0)</f>
        <v>0</v>
      </c>
      <c r="F174" s="90"/>
      <c r="G174" s="90"/>
      <c r="H174" s="301"/>
      <c r="I174" s="90"/>
      <c r="J174" s="90"/>
      <c r="K174" s="90"/>
      <c r="P174" s="129">
        <f t="shared" si="91"/>
        <v>0</v>
      </c>
      <c r="Q174" s="129">
        <f t="shared" si="92"/>
        <v>0</v>
      </c>
      <c r="R174" s="106">
        <f t="shared" si="93"/>
        <v>0</v>
      </c>
      <c r="T174" s="106" t="str">
        <f t="shared" si="94"/>
        <v/>
      </c>
      <c r="U174" s="106" t="str">
        <f t="shared" si="94"/>
        <v/>
      </c>
      <c r="V174" s="106" t="str">
        <f t="shared" si="94"/>
        <v/>
      </c>
      <c r="X174" s="106" t="str">
        <f t="shared" si="95"/>
        <v/>
      </c>
      <c r="Y174" s="106" t="str">
        <f t="shared" si="95"/>
        <v/>
      </c>
      <c r="Z174" s="106" t="str">
        <f t="shared" si="95"/>
        <v/>
      </c>
      <c r="AA174" s="106" t="str">
        <f t="shared" si="95"/>
        <v/>
      </c>
    </row>
    <row r="175" spans="1:27" outlineLevel="1" x14ac:dyDescent="0.2">
      <c r="C175" s="37" t="s">
        <v>353</v>
      </c>
      <c r="D175" s="285" t="str">
        <f>VLOOKUP($C175,'Typologie détaillée'!$E$4:$H$214,3,0)</f>
        <v>Ne pas utiliser</v>
      </c>
      <c r="E175" s="286">
        <f>VLOOKUP($C175,'Typologie détaillée'!$E$4:$H$214,4,0)</f>
        <v>0</v>
      </c>
      <c r="F175" s="90"/>
      <c r="G175" s="90"/>
      <c r="H175" s="301"/>
      <c r="I175" s="90"/>
      <c r="J175" s="90"/>
      <c r="K175" s="90"/>
      <c r="P175" s="129">
        <f t="shared" si="91"/>
        <v>0</v>
      </c>
      <c r="Q175" s="129">
        <f t="shared" si="92"/>
        <v>0</v>
      </c>
      <c r="R175" s="106">
        <f t="shared" si="93"/>
        <v>0</v>
      </c>
      <c r="T175" s="106" t="str">
        <f t="shared" si="94"/>
        <v/>
      </c>
      <c r="U175" s="106" t="str">
        <f t="shared" si="94"/>
        <v/>
      </c>
      <c r="V175" s="106" t="str">
        <f t="shared" si="94"/>
        <v/>
      </c>
      <c r="X175" s="106" t="str">
        <f t="shared" si="95"/>
        <v/>
      </c>
      <c r="Y175" s="106" t="str">
        <f t="shared" si="95"/>
        <v/>
      </c>
      <c r="Z175" s="106" t="str">
        <f t="shared" si="95"/>
        <v/>
      </c>
      <c r="AA175" s="106" t="str">
        <f t="shared" si="95"/>
        <v/>
      </c>
    </row>
    <row r="176" spans="1:27" outlineLevel="1" x14ac:dyDescent="0.2">
      <c r="C176" s="37" t="s">
        <v>353</v>
      </c>
      <c r="D176" s="285" t="str">
        <f>VLOOKUP($C176,'Typologie détaillée'!$E$4:$H$214,3,0)</f>
        <v>Ne pas utiliser</v>
      </c>
      <c r="E176" s="286">
        <f>VLOOKUP($C176,'Typologie détaillée'!$E$4:$H$214,4,0)</f>
        <v>0</v>
      </c>
      <c r="F176" s="90"/>
      <c r="G176" s="90"/>
      <c r="H176" s="301"/>
      <c r="I176" s="90"/>
      <c r="J176" s="90"/>
      <c r="K176" s="90"/>
      <c r="P176" s="129">
        <f t="shared" si="91"/>
        <v>0</v>
      </c>
      <c r="Q176" s="129">
        <f t="shared" si="92"/>
        <v>0</v>
      </c>
      <c r="R176" s="106">
        <f t="shared" si="93"/>
        <v>0</v>
      </c>
      <c r="T176" s="106" t="str">
        <f t="shared" si="94"/>
        <v/>
      </c>
      <c r="U176" s="106" t="str">
        <f t="shared" si="94"/>
        <v/>
      </c>
      <c r="V176" s="106" t="str">
        <f t="shared" si="94"/>
        <v/>
      </c>
      <c r="X176" s="106" t="str">
        <f t="shared" si="95"/>
        <v/>
      </c>
      <c r="Y176" s="106" t="str">
        <f t="shared" si="95"/>
        <v/>
      </c>
      <c r="Z176" s="106" t="str">
        <f t="shared" si="95"/>
        <v/>
      </c>
      <c r="AA176" s="106" t="str">
        <f t="shared" si="95"/>
        <v/>
      </c>
    </row>
    <row r="177" spans="1:27" outlineLevel="1" x14ac:dyDescent="0.2">
      <c r="C177" s="37" t="s">
        <v>353</v>
      </c>
      <c r="D177" s="285" t="str">
        <f>VLOOKUP($C177,'Typologie détaillée'!$E$4:$H$214,3,0)</f>
        <v>Ne pas utiliser</v>
      </c>
      <c r="E177" s="286">
        <f>VLOOKUP($C177,'Typologie détaillée'!$E$4:$H$214,4,0)</f>
        <v>0</v>
      </c>
      <c r="F177" s="90"/>
      <c r="G177" s="90"/>
      <c r="H177" s="301"/>
      <c r="I177" s="90"/>
      <c r="J177" s="90"/>
      <c r="K177" s="90"/>
      <c r="P177" s="129">
        <f t="shared" si="91"/>
        <v>0</v>
      </c>
      <c r="Q177" s="129">
        <f t="shared" si="92"/>
        <v>0</v>
      </c>
      <c r="R177" s="106">
        <f t="shared" si="93"/>
        <v>0</v>
      </c>
      <c r="T177" s="106" t="str">
        <f t="shared" si="94"/>
        <v/>
      </c>
      <c r="U177" s="106" t="str">
        <f t="shared" si="94"/>
        <v/>
      </c>
      <c r="V177" s="106" t="str">
        <f t="shared" si="94"/>
        <v/>
      </c>
      <c r="X177" s="106" t="str">
        <f t="shared" si="95"/>
        <v/>
      </c>
      <c r="Y177" s="106" t="str">
        <f t="shared" si="95"/>
        <v/>
      </c>
      <c r="Z177" s="106" t="str">
        <f t="shared" si="95"/>
        <v/>
      </c>
      <c r="AA177" s="106" t="str">
        <f t="shared" si="95"/>
        <v/>
      </c>
    </row>
    <row r="178" spans="1:27" outlineLevel="1" x14ac:dyDescent="0.2">
      <c r="C178" s="37" t="s">
        <v>353</v>
      </c>
      <c r="D178" s="285" t="str">
        <f>VLOOKUP($C178,'Typologie détaillée'!$E$4:$H$214,3,0)</f>
        <v>Ne pas utiliser</v>
      </c>
      <c r="E178" s="286">
        <f>VLOOKUP($C178,'Typologie détaillée'!$E$4:$H$214,4,0)</f>
        <v>0</v>
      </c>
      <c r="F178" s="90"/>
      <c r="G178" s="90"/>
      <c r="H178" s="301"/>
      <c r="I178" s="90"/>
      <c r="J178" s="90"/>
      <c r="K178" s="90"/>
      <c r="P178" s="129">
        <f t="shared" si="91"/>
        <v>0</v>
      </c>
      <c r="Q178" s="129">
        <f t="shared" si="92"/>
        <v>0</v>
      </c>
      <c r="R178" s="106">
        <f t="shared" si="93"/>
        <v>0</v>
      </c>
      <c r="T178" s="106" t="str">
        <f t="shared" si="94"/>
        <v/>
      </c>
      <c r="U178" s="106" t="str">
        <f t="shared" si="94"/>
        <v/>
      </c>
      <c r="V178" s="106" t="str">
        <f t="shared" si="94"/>
        <v/>
      </c>
      <c r="X178" s="106" t="str">
        <f t="shared" si="95"/>
        <v/>
      </c>
      <c r="Y178" s="106" t="str">
        <f t="shared" si="95"/>
        <v/>
      </c>
      <c r="Z178" s="106" t="str">
        <f t="shared" si="95"/>
        <v/>
      </c>
      <c r="AA178" s="106" t="str">
        <f t="shared" si="95"/>
        <v/>
      </c>
    </row>
    <row r="179" spans="1:27" outlineLevel="1" x14ac:dyDescent="0.2">
      <c r="C179" s="37" t="s">
        <v>353</v>
      </c>
      <c r="D179" s="285" t="str">
        <f>VLOOKUP($C179,'Typologie détaillée'!$E$4:$H$214,3,0)</f>
        <v>Ne pas utiliser</v>
      </c>
      <c r="E179" s="286">
        <f>VLOOKUP($C179,'Typologie détaillée'!$E$4:$H$214,4,0)</f>
        <v>0</v>
      </c>
      <c r="F179" s="90"/>
      <c r="G179" s="90"/>
      <c r="H179" s="301"/>
      <c r="I179" s="90"/>
      <c r="J179" s="90"/>
      <c r="K179" s="90"/>
      <c r="P179" s="129">
        <f t="shared" si="91"/>
        <v>0</v>
      </c>
      <c r="Q179" s="129">
        <f t="shared" si="92"/>
        <v>0</v>
      </c>
      <c r="R179" s="106">
        <f t="shared" si="93"/>
        <v>0</v>
      </c>
      <c r="T179" s="106" t="str">
        <f t="shared" si="94"/>
        <v/>
      </c>
      <c r="U179" s="106" t="str">
        <f t="shared" si="94"/>
        <v/>
      </c>
      <c r="V179" s="106" t="str">
        <f t="shared" si="94"/>
        <v/>
      </c>
      <c r="X179" s="106" t="str">
        <f t="shared" si="95"/>
        <v/>
      </c>
      <c r="Y179" s="106" t="str">
        <f t="shared" si="95"/>
        <v/>
      </c>
      <c r="Z179" s="106" t="str">
        <f t="shared" si="95"/>
        <v/>
      </c>
      <c r="AA179" s="106" t="str">
        <f t="shared" si="95"/>
        <v/>
      </c>
    </row>
    <row r="180" spans="1:27" outlineLevel="1" x14ac:dyDescent="0.2">
      <c r="C180" s="37" t="s">
        <v>353</v>
      </c>
      <c r="D180" s="285" t="str">
        <f>VLOOKUP($C180,'Typologie détaillée'!$E$4:$H$214,3,0)</f>
        <v>Ne pas utiliser</v>
      </c>
      <c r="E180" s="286">
        <f>VLOOKUP($C180,'Typologie détaillée'!$E$4:$H$214,4,0)</f>
        <v>0</v>
      </c>
      <c r="F180" s="90"/>
      <c r="G180" s="90"/>
      <c r="H180" s="301"/>
      <c r="I180" s="90"/>
      <c r="J180" s="90"/>
      <c r="K180" s="90"/>
      <c r="P180" s="129">
        <f t="shared" si="91"/>
        <v>0</v>
      </c>
      <c r="Q180" s="129">
        <f t="shared" si="92"/>
        <v>0</v>
      </c>
      <c r="R180" s="106">
        <f t="shared" si="93"/>
        <v>0</v>
      </c>
      <c r="T180" s="106" t="str">
        <f t="shared" si="94"/>
        <v/>
      </c>
      <c r="U180" s="106" t="str">
        <f t="shared" si="94"/>
        <v/>
      </c>
      <c r="V180" s="106" t="str">
        <f t="shared" si="94"/>
        <v/>
      </c>
      <c r="X180" s="106" t="str">
        <f t="shared" si="95"/>
        <v/>
      </c>
      <c r="Y180" s="106" t="str">
        <f t="shared" si="95"/>
        <v/>
      </c>
      <c r="Z180" s="106" t="str">
        <f t="shared" si="95"/>
        <v/>
      </c>
      <c r="AA180" s="106" t="str">
        <f t="shared" si="95"/>
        <v/>
      </c>
    </row>
    <row r="181" spans="1:27" outlineLevel="1" x14ac:dyDescent="0.2">
      <c r="C181" s="37" t="s">
        <v>353</v>
      </c>
      <c r="D181" s="285" t="str">
        <f>VLOOKUP($C181,'Typologie détaillée'!$E$4:$H$214,3,0)</f>
        <v>Ne pas utiliser</v>
      </c>
      <c r="E181" s="286">
        <f>VLOOKUP($C181,'Typologie détaillée'!$E$4:$H$214,4,0)</f>
        <v>0</v>
      </c>
      <c r="F181" s="90"/>
      <c r="G181" s="90"/>
      <c r="H181" s="301"/>
      <c r="I181" s="90"/>
      <c r="J181" s="90"/>
      <c r="K181" s="90"/>
      <c r="P181" s="129">
        <f t="shared" si="91"/>
        <v>0</v>
      </c>
      <c r="Q181" s="129">
        <f t="shared" si="92"/>
        <v>0</v>
      </c>
      <c r="R181" s="106">
        <f t="shared" si="93"/>
        <v>0</v>
      </c>
      <c r="T181" s="106" t="str">
        <f t="shared" si="94"/>
        <v/>
      </c>
      <c r="U181" s="106" t="str">
        <f t="shared" si="94"/>
        <v/>
      </c>
      <c r="V181" s="106" t="str">
        <f t="shared" si="94"/>
        <v/>
      </c>
      <c r="X181" s="106" t="str">
        <f t="shared" si="95"/>
        <v/>
      </c>
      <c r="Y181" s="106" t="str">
        <f t="shared" si="95"/>
        <v/>
      </c>
      <c r="Z181" s="106" t="str">
        <f t="shared" si="95"/>
        <v/>
      </c>
      <c r="AA181" s="106" t="str">
        <f t="shared" si="95"/>
        <v/>
      </c>
    </row>
    <row r="182" spans="1:27" outlineLevel="1" x14ac:dyDescent="0.2">
      <c r="C182" s="37" t="s">
        <v>353</v>
      </c>
      <c r="D182" s="285" t="str">
        <f>VLOOKUP($C182,'Typologie détaillée'!$E$4:$H$214,3,0)</f>
        <v>Ne pas utiliser</v>
      </c>
      <c r="E182" s="286">
        <f>VLOOKUP($C182,'Typologie détaillée'!$E$4:$H$214,4,0)</f>
        <v>0</v>
      </c>
      <c r="F182" s="90"/>
      <c r="G182" s="90"/>
      <c r="H182" s="301"/>
      <c r="I182" s="90"/>
      <c r="J182" s="90"/>
      <c r="K182" s="90"/>
      <c r="P182" s="129">
        <f t="shared" si="91"/>
        <v>0</v>
      </c>
      <c r="Q182" s="129">
        <f t="shared" si="92"/>
        <v>0</v>
      </c>
      <c r="R182" s="106">
        <f t="shared" si="93"/>
        <v>0</v>
      </c>
      <c r="T182" s="106" t="str">
        <f t="shared" si="94"/>
        <v/>
      </c>
      <c r="U182" s="106" t="str">
        <f t="shared" si="94"/>
        <v/>
      </c>
      <c r="V182" s="106" t="str">
        <f t="shared" si="94"/>
        <v/>
      </c>
      <c r="X182" s="106" t="str">
        <f t="shared" si="95"/>
        <v/>
      </c>
      <c r="Y182" s="106" t="str">
        <f t="shared" si="95"/>
        <v/>
      </c>
      <c r="Z182" s="106" t="str">
        <f t="shared" si="95"/>
        <v/>
      </c>
      <c r="AA182" s="106" t="str">
        <f t="shared" si="95"/>
        <v/>
      </c>
    </row>
    <row r="183" spans="1:27" outlineLevel="1" x14ac:dyDescent="0.2">
      <c r="C183" s="37" t="s">
        <v>353</v>
      </c>
      <c r="D183" s="285" t="str">
        <f>VLOOKUP($C183,'Typologie détaillée'!$E$4:$H$214,3,0)</f>
        <v>Ne pas utiliser</v>
      </c>
      <c r="E183" s="286">
        <f>VLOOKUP($C183,'Typologie détaillée'!$E$4:$H$214,4,0)</f>
        <v>0</v>
      </c>
      <c r="F183" s="90"/>
      <c r="G183" s="90"/>
      <c r="H183" s="301"/>
      <c r="I183" s="90"/>
      <c r="J183" s="90"/>
      <c r="K183" s="90"/>
      <c r="P183" s="129">
        <f t="shared" si="91"/>
        <v>0</v>
      </c>
      <c r="Q183" s="129">
        <f t="shared" si="92"/>
        <v>0</v>
      </c>
      <c r="R183" s="106">
        <f t="shared" si="93"/>
        <v>0</v>
      </c>
      <c r="T183" s="106" t="str">
        <f t="shared" si="94"/>
        <v/>
      </c>
      <c r="U183" s="106" t="str">
        <f t="shared" si="94"/>
        <v/>
      </c>
      <c r="V183" s="106" t="str">
        <f t="shared" si="94"/>
        <v/>
      </c>
      <c r="X183" s="106" t="str">
        <f t="shared" si="95"/>
        <v/>
      </c>
      <c r="Y183" s="106" t="str">
        <f t="shared" si="95"/>
        <v/>
      </c>
      <c r="Z183" s="106" t="str">
        <f t="shared" si="95"/>
        <v/>
      </c>
      <c r="AA183" s="106" t="str">
        <f t="shared" si="95"/>
        <v/>
      </c>
    </row>
    <row r="184" spans="1:27" s="138" customFormat="1" x14ac:dyDescent="0.2">
      <c r="A184" s="138" t="e">
        <f>A167</f>
        <v>#REF!</v>
      </c>
      <c r="B184" s="138">
        <f>B167</f>
        <v>0</v>
      </c>
      <c r="D184" s="138" t="s">
        <v>97</v>
      </c>
      <c r="E184" s="139"/>
      <c r="F184" s="139"/>
      <c r="G184" s="139"/>
      <c r="H184" s="299"/>
      <c r="I184" s="139"/>
      <c r="J184" s="139"/>
      <c r="K184" s="139"/>
      <c r="P184" s="139">
        <f>SUBTOTAL(9,P167:P183)</f>
        <v>0</v>
      </c>
      <c r="Q184" s="139">
        <f>SUBTOTAL(9,Q167:Q183)</f>
        <v>0</v>
      </c>
      <c r="R184" s="138">
        <f>SUBTOTAL(9,R167:R183)</f>
        <v>0</v>
      </c>
      <c r="T184" s="138">
        <f>SUBTOTAL(9,T167:T183)</f>
        <v>0</v>
      </c>
      <c r="U184" s="138">
        <f>SUBTOTAL(9,U167:U183)</f>
        <v>0</v>
      </c>
      <c r="V184" s="138">
        <f>SUBTOTAL(9,V167:V183)</f>
        <v>0</v>
      </c>
      <c r="X184" s="138">
        <f>SUBTOTAL(9,X167:X183)</f>
        <v>0</v>
      </c>
      <c r="Y184" s="138">
        <f>SUBTOTAL(9,Y167:Y183)</f>
        <v>0</v>
      </c>
      <c r="Z184" s="138">
        <f>SUBTOTAL(9,Z167:Z183)</f>
        <v>0</v>
      </c>
      <c r="AA184" s="138">
        <f>SUBTOTAL(9,AA167:AA183)</f>
        <v>0</v>
      </c>
    </row>
    <row r="185" spans="1:27" outlineLevel="1" x14ac:dyDescent="0.2">
      <c r="A185" t="str">
        <f>'Partie 3 • M.implantation'!C21</f>
        <v>• service 108</v>
      </c>
      <c r="C185" s="37" t="s">
        <v>353</v>
      </c>
      <c r="D185" s="285" t="str">
        <f>VLOOKUP($C185,'Typologie détaillée'!$E$4:$H$214,3,0)</f>
        <v>Ne pas utiliser</v>
      </c>
      <c r="E185" s="286">
        <f>VLOOKUP($C185,'Typologie détaillée'!$E$4:$H$214,4,0)</f>
        <v>0</v>
      </c>
      <c r="F185" s="125"/>
      <c r="G185" s="127"/>
      <c r="H185" s="302"/>
      <c r="I185" s="125"/>
      <c r="J185" s="125"/>
      <c r="K185" s="125"/>
      <c r="P185" s="129">
        <f t="shared" ref="P185:R186" si="96">$G185*I185</f>
        <v>0</v>
      </c>
      <c r="Q185" s="129">
        <f t="shared" si="96"/>
        <v>0</v>
      </c>
      <c r="R185" s="106">
        <f t="shared" si="96"/>
        <v>0</v>
      </c>
      <c r="T185" s="106" t="str">
        <f t="shared" ref="T185:V186" si="97">IF($E185=T$4,$R185,"")</f>
        <v/>
      </c>
      <c r="U185" s="106" t="str">
        <f t="shared" si="97"/>
        <v/>
      </c>
      <c r="V185" s="106" t="str">
        <f t="shared" si="97"/>
        <v/>
      </c>
      <c r="X185" s="106" t="str">
        <f t="shared" ref="X185:AA186" si="98">IF($F185=X$4,$R185,"")</f>
        <v/>
      </c>
      <c r="Y185" s="106" t="str">
        <f t="shared" si="98"/>
        <v/>
      </c>
      <c r="Z185" s="106" t="str">
        <f t="shared" si="98"/>
        <v/>
      </c>
      <c r="AA185" s="106" t="str">
        <f t="shared" si="98"/>
        <v/>
      </c>
    </row>
    <row r="186" spans="1:27" outlineLevel="1" x14ac:dyDescent="0.2">
      <c r="C186" s="37" t="s">
        <v>353</v>
      </c>
      <c r="D186" s="285" t="str">
        <f>VLOOKUP($C186,'Typologie détaillée'!$E$4:$H$214,3,0)</f>
        <v>Ne pas utiliser</v>
      </c>
      <c r="E186" s="286">
        <f>VLOOKUP($C186,'Typologie détaillée'!$E$4:$H$214,4,0)</f>
        <v>0</v>
      </c>
      <c r="F186" s="90"/>
      <c r="G186" s="90"/>
      <c r="H186" s="300"/>
      <c r="I186" s="90"/>
      <c r="J186" s="90"/>
      <c r="K186" s="90"/>
      <c r="P186" s="129">
        <f t="shared" si="96"/>
        <v>0</v>
      </c>
      <c r="Q186" s="129">
        <f t="shared" si="96"/>
        <v>0</v>
      </c>
      <c r="R186" s="106">
        <f t="shared" si="96"/>
        <v>0</v>
      </c>
      <c r="T186" s="106" t="str">
        <f t="shared" si="97"/>
        <v/>
      </c>
      <c r="U186" s="106" t="str">
        <f t="shared" si="97"/>
        <v/>
      </c>
      <c r="V186" s="106" t="str">
        <f t="shared" si="97"/>
        <v/>
      </c>
      <c r="X186" s="106" t="str">
        <f t="shared" si="98"/>
        <v/>
      </c>
      <c r="Y186" s="106" t="str">
        <f t="shared" si="98"/>
        <v/>
      </c>
      <c r="Z186" s="106" t="str">
        <f t="shared" si="98"/>
        <v/>
      </c>
      <c r="AA186" s="106" t="str">
        <f t="shared" si="98"/>
        <v/>
      </c>
    </row>
    <row r="187" spans="1:27" s="138" customFormat="1" x14ac:dyDescent="0.2">
      <c r="A187" s="138" t="str">
        <f>A185</f>
        <v>• service 108</v>
      </c>
      <c r="B187" s="138">
        <f>B185</f>
        <v>0</v>
      </c>
      <c r="D187" s="138" t="s">
        <v>97</v>
      </c>
      <c r="E187" s="139"/>
      <c r="F187" s="139"/>
      <c r="G187" s="139"/>
      <c r="H187" s="299"/>
      <c r="I187" s="139"/>
      <c r="J187" s="139"/>
      <c r="K187" s="139"/>
      <c r="P187" s="139">
        <f>SUBTOTAL(9,P185:P186)</f>
        <v>0</v>
      </c>
      <c r="Q187" s="139">
        <f>SUBTOTAL(9,Q185:Q186)</f>
        <v>0</v>
      </c>
      <c r="R187" s="138">
        <f>SUBTOTAL(9,R185:R186)</f>
        <v>0</v>
      </c>
      <c r="T187" s="138">
        <f>SUBTOTAL(9,T185:T186)</f>
        <v>0</v>
      </c>
      <c r="U187" s="138">
        <f>SUBTOTAL(9,U185:U186)</f>
        <v>0</v>
      </c>
      <c r="V187" s="138">
        <f>SUBTOTAL(9,V185:V186)</f>
        <v>0</v>
      </c>
      <c r="X187" s="138">
        <f>SUBTOTAL(9,X185:X186)</f>
        <v>0</v>
      </c>
      <c r="Y187" s="138">
        <f>SUBTOTAL(9,Y185:Y186)</f>
        <v>0</v>
      </c>
      <c r="Z187" s="138">
        <f>SUBTOTAL(9,Z185:Z186)</f>
        <v>0</v>
      </c>
      <c r="AA187" s="138">
        <f>SUBTOTAL(9,AA185:AA186)</f>
        <v>0</v>
      </c>
    </row>
    <row r="188" spans="1:27" ht="13.5" thickBot="1" x14ac:dyDescent="0.25">
      <c r="E188" s="291"/>
      <c r="F188" s="291"/>
      <c r="G188" s="291"/>
      <c r="I188" s="291"/>
      <c r="J188" s="291"/>
      <c r="K188" s="291"/>
      <c r="P188" s="291"/>
      <c r="Q188" s="291"/>
    </row>
    <row r="189" spans="1:27" ht="12" customHeight="1" x14ac:dyDescent="0.2">
      <c r="E189" s="291"/>
      <c r="F189" s="291"/>
      <c r="G189" s="291"/>
      <c r="I189" s="473" t="s">
        <v>106</v>
      </c>
      <c r="J189" s="474"/>
      <c r="K189" s="475"/>
      <c r="P189" s="130">
        <f>SUBTOTAL(9,P78:P188)</f>
        <v>0</v>
      </c>
      <c r="Q189" s="130">
        <f>SUBTOTAL(9,Q78:Q188)</f>
        <v>0</v>
      </c>
      <c r="R189" s="132">
        <f>SUBTOTAL(9,R78:R188)</f>
        <v>0</v>
      </c>
      <c r="S189" s="291"/>
      <c r="T189" s="134">
        <f>SUBTOTAL(9,T78:T188)</f>
        <v>0</v>
      </c>
      <c r="U189" s="134">
        <f>SUBTOTAL(9,U78:U188)</f>
        <v>0</v>
      </c>
      <c r="V189" s="134">
        <f>SUBTOTAL(9,V78:V188)</f>
        <v>0</v>
      </c>
      <c r="W189" s="291"/>
      <c r="X189" s="134">
        <f>SUBTOTAL(9,X78:X188)</f>
        <v>0</v>
      </c>
      <c r="Y189" s="134">
        <f>SUBTOTAL(9,Y78:Y188)</f>
        <v>0</v>
      </c>
      <c r="Z189" s="134">
        <f>SUBTOTAL(9,Z78:Z188)</f>
        <v>0</v>
      </c>
      <c r="AA189" s="134">
        <f>SUBTOTAL(9,AA78:AA188)</f>
        <v>0</v>
      </c>
    </row>
    <row r="190" spans="1:27" ht="12.95" customHeight="1" thickBot="1" x14ac:dyDescent="0.25">
      <c r="E190" s="291"/>
      <c r="F190" s="291"/>
      <c r="G190" s="291"/>
      <c r="I190" s="476"/>
      <c r="J190" s="477"/>
      <c r="K190" s="478"/>
      <c r="P190" s="131" t="str">
        <f>P$4</f>
        <v>P.D.T.</v>
      </c>
      <c r="Q190" s="131" t="str">
        <f>Q$4</f>
        <v>PERS.</v>
      </c>
      <c r="R190" s="133" t="str">
        <f>R$4</f>
        <v>SURFACE</v>
      </c>
      <c r="S190" s="291"/>
      <c r="T190" s="131" t="str">
        <f>T$4</f>
        <v>OA</v>
      </c>
      <c r="U190" s="131" t="str">
        <f>U$4</f>
        <v>LSA</v>
      </c>
      <c r="V190" s="131" t="str">
        <f>V$4</f>
        <v>CSA</v>
      </c>
      <c r="W190" s="291"/>
      <c r="X190" s="135" t="str">
        <f>X$4</f>
        <v xml:space="preserve">1er </v>
      </c>
      <c r="Y190" s="135" t="str">
        <f>Y$4</f>
        <v>1-2nd</v>
      </c>
      <c r="Z190" s="135" t="str">
        <f>Z$4</f>
        <v>Av. HS</v>
      </c>
      <c r="AA190" s="135" t="str">
        <f>AA$4</f>
        <v>Av. SS</v>
      </c>
    </row>
    <row r="193" spans="5:27" ht="13.5" thickBot="1" x14ac:dyDescent="0.25">
      <c r="E193" s="291"/>
      <c r="F193" s="291"/>
      <c r="G193" s="291"/>
      <c r="I193" s="291"/>
      <c r="J193" s="291"/>
      <c r="K193" s="291"/>
      <c r="P193" s="291"/>
      <c r="Q193" s="291"/>
    </row>
    <row r="194" spans="5:27" ht="12" customHeight="1" x14ac:dyDescent="0.2">
      <c r="E194" s="291"/>
      <c r="F194" s="291"/>
      <c r="G194" s="291"/>
      <c r="I194" s="473" t="s">
        <v>107</v>
      </c>
      <c r="J194" s="474"/>
      <c r="K194" s="475"/>
      <c r="P194"/>
      <c r="Q194"/>
      <c r="R194" s="136">
        <f>SUBTOTAL(9,R78:R193)</f>
        <v>0</v>
      </c>
      <c r="S194" s="291"/>
      <c r="T194" s="134">
        <f>SUBTOTAL(9,T5:T193)</f>
        <v>0</v>
      </c>
      <c r="U194" s="134">
        <f>SUBTOTAL(9,U5:U193)</f>
        <v>0</v>
      </c>
      <c r="V194" s="134">
        <f>SUBTOTAL(9,V5:V193)</f>
        <v>14737.510000000002</v>
      </c>
      <c r="W194" s="291"/>
      <c r="X194" s="134">
        <f>SUBTOTAL(9,X5:X193)</f>
        <v>56</v>
      </c>
      <c r="Y194" s="134">
        <f>SUBTOTAL(9,Y5:Y193)</f>
        <v>906</v>
      </c>
      <c r="Z194" s="134">
        <f>SUBTOTAL(9,Z5:Z193)</f>
        <v>15456.589999999998</v>
      </c>
      <c r="AA194" s="134">
        <f>SUBTOTAL(9,AA5:AA193)</f>
        <v>5218.9199999999992</v>
      </c>
    </row>
    <row r="195" spans="5:27" ht="12.95" customHeight="1" thickBot="1" x14ac:dyDescent="0.25">
      <c r="E195" s="291"/>
      <c r="F195" s="291"/>
      <c r="G195" s="291"/>
      <c r="I195" s="476"/>
      <c r="J195" s="477"/>
      <c r="K195" s="478"/>
      <c r="P195"/>
      <c r="Q195"/>
      <c r="R195" s="137" t="str">
        <f>R$4</f>
        <v>SURFACE</v>
      </c>
      <c r="S195" s="291"/>
      <c r="T195" s="131" t="str">
        <f>T$4</f>
        <v>OA</v>
      </c>
      <c r="U195" s="131" t="str">
        <f>U$4</f>
        <v>LSA</v>
      </c>
      <c r="V195" s="131" t="str">
        <f>V$4</f>
        <v>CSA</v>
      </c>
      <c r="W195" s="291"/>
      <c r="X195" s="135" t="str">
        <f>X$4</f>
        <v xml:space="preserve">1er </v>
      </c>
      <c r="Y195" s="135" t="str">
        <f>Y$4</f>
        <v>1-2nd</v>
      </c>
      <c r="Z195" s="135" t="str">
        <f>Z$4</f>
        <v>Av. HS</v>
      </c>
      <c r="AA195" s="135" t="str">
        <f>AA$4</f>
        <v>Av. SS</v>
      </c>
    </row>
    <row r="197" spans="5:27" x14ac:dyDescent="0.2">
      <c r="E197" s="291"/>
      <c r="F197" s="291"/>
      <c r="G197" s="291"/>
      <c r="I197" s="291"/>
      <c r="J197" s="291"/>
      <c r="K197" s="291"/>
      <c r="P197" s="291"/>
      <c r="Q197" s="291"/>
      <c r="X197" s="134">
        <f>X194+Y194/2</f>
        <v>509</v>
      </c>
      <c r="Y197" s="134">
        <f>Y194/2</f>
        <v>453</v>
      </c>
      <c r="Z197" s="134">
        <f>Z194</f>
        <v>15456.589999999998</v>
      </c>
      <c r="AA197" s="134">
        <f>AA194</f>
        <v>5218.9199999999992</v>
      </c>
    </row>
    <row r="198" spans="5:27" x14ac:dyDescent="0.2">
      <c r="E198" s="291"/>
      <c r="F198" s="291"/>
      <c r="G198" s="291"/>
      <c r="I198" s="291"/>
      <c r="J198" s="291"/>
      <c r="K198" s="291"/>
      <c r="P198" s="291"/>
      <c r="Q198" s="291"/>
      <c r="X198" s="135" t="str">
        <f>X$4</f>
        <v xml:space="preserve">1er </v>
      </c>
      <c r="Y198" s="135" t="s">
        <v>111</v>
      </c>
      <c r="Z198" s="135" t="str">
        <f>Z$4</f>
        <v>Av. HS</v>
      </c>
      <c r="AA198" s="135" t="str">
        <f>AA$4</f>
        <v>Av. SS</v>
      </c>
    </row>
    <row r="199" spans="5:27" ht="13.5" thickBot="1" x14ac:dyDescent="0.25">
      <c r="E199" s="291"/>
      <c r="F199" s="291"/>
      <c r="G199" s="291"/>
      <c r="I199" s="291"/>
      <c r="J199" s="291"/>
      <c r="K199" s="291"/>
      <c r="P199" s="291"/>
      <c r="Q199" s="291"/>
    </row>
    <row r="200" spans="5:27" ht="14.1" customHeight="1" x14ac:dyDescent="0.25">
      <c r="E200" s="291"/>
      <c r="F200" s="291"/>
      <c r="G200" s="291"/>
      <c r="I200" s="473" t="s">
        <v>108</v>
      </c>
      <c r="J200" s="474"/>
      <c r="K200" s="475"/>
      <c r="P200" s="291"/>
      <c r="Q200" s="291"/>
      <c r="R200" s="144" t="e">
        <f>R194/R194</f>
        <v>#DIV/0!</v>
      </c>
      <c r="S200" s="291"/>
      <c r="T200" s="143" t="e">
        <f>T194/$R$194</f>
        <v>#DIV/0!</v>
      </c>
      <c r="U200" s="143" t="e">
        <f>U194/$R$194</f>
        <v>#DIV/0!</v>
      </c>
      <c r="V200" s="143" t="e">
        <f>V194/$R$194</f>
        <v>#DIV/0!</v>
      </c>
      <c r="W200" s="291"/>
      <c r="X200" s="480">
        <f>SUM(X194:Z194)</f>
        <v>16418.589999999997</v>
      </c>
      <c r="Y200" s="481"/>
      <c r="Z200" s="482"/>
      <c r="AA200" s="134">
        <f>AA194</f>
        <v>5218.9199999999992</v>
      </c>
    </row>
    <row r="201" spans="5:27" ht="12.95" customHeight="1" thickBot="1" x14ac:dyDescent="0.25">
      <c r="E201" s="291"/>
      <c r="F201" s="291"/>
      <c r="G201" s="291"/>
      <c r="I201" s="476"/>
      <c r="J201" s="477"/>
      <c r="K201" s="478"/>
      <c r="P201" s="291"/>
      <c r="Q201" s="291"/>
      <c r="R201" s="137" t="str">
        <f>R$4</f>
        <v>SURFACE</v>
      </c>
      <c r="S201" s="291"/>
      <c r="T201" s="131" t="str">
        <f>T$4</f>
        <v>OA</v>
      </c>
      <c r="U201" s="131" t="str">
        <f>U$4</f>
        <v>LSA</v>
      </c>
      <c r="V201" s="131" t="str">
        <f>V$4</f>
        <v>CSA</v>
      </c>
      <c r="W201" s="291"/>
      <c r="X201" s="483" t="s">
        <v>109</v>
      </c>
      <c r="Y201" s="484"/>
      <c r="Z201" s="485"/>
      <c r="AA201" s="135" t="s">
        <v>110</v>
      </c>
    </row>
    <row r="202" spans="5:27" x14ac:dyDescent="0.2">
      <c r="E202" s="291"/>
      <c r="F202" s="291"/>
      <c r="G202" s="291"/>
      <c r="I202" s="291"/>
      <c r="J202" s="291"/>
      <c r="K202" s="291"/>
      <c r="P202" s="291"/>
      <c r="Q202" s="291"/>
    </row>
    <row r="203" spans="5:27" x14ac:dyDescent="0.2">
      <c r="E203" s="291"/>
      <c r="F203" s="291"/>
      <c r="G203" s="291"/>
      <c r="I203" s="291"/>
      <c r="J203" s="291"/>
      <c r="K203" s="291"/>
      <c r="P203" s="291"/>
      <c r="Q203" s="291"/>
    </row>
    <row r="204" spans="5:27" x14ac:dyDescent="0.2">
      <c r="E204" s="291"/>
      <c r="F204" s="291"/>
      <c r="G204" s="291"/>
      <c r="I204" s="291"/>
      <c r="J204" s="291"/>
      <c r="K204" s="291"/>
      <c r="P204" s="291"/>
      <c r="Q204" s="291"/>
    </row>
  </sheetData>
  <autoFilter ref="A3:K187">
    <filterColumn colId="0" showButton="0"/>
    <filterColumn colId="8" showButton="0"/>
    <filterColumn colId="9" showButton="0"/>
  </autoFilter>
  <customSheetViews>
    <customSheetView guid="{E5A66847-4128-474A-BF72-991F91DA1EB4}" fitToPage="1" showAutoFilter="1">
      <pane ySplit="4.0769230769230766" topLeftCell="A5" activePane="bottomLeft" state="frozenSplit"/>
      <selection pane="bottomLeft" sqref="A1:AA1"/>
      <pageMargins left="0.7" right="0.7" top="0.75" bottom="0.75" header="0.3" footer="0.3"/>
      <pageSetup paperSize="9" scale="26" orientation="portrait" horizontalDpi="4294967292" verticalDpi="4294967292"/>
      <headerFooter>
        <oddHeader>&amp;R&amp;8&amp;F</oddHeader>
        <oddFooter>&amp;L&amp;8Programmation&amp;C&amp;"Arial,Gras"&amp;8Régie des Bâtiments&amp;R&amp;8 &amp;A • &amp;P</oddFooter>
      </headerFooter>
      <autoFilter ref="A3:K141">
        <filterColumn colId="0" showButton="0"/>
        <filterColumn colId="8" showButton="0"/>
        <filterColumn colId="9" showButton="0"/>
      </autoFilter>
    </customSheetView>
  </customSheetViews>
  <mergeCells count="10">
    <mergeCell ref="I200:K201"/>
    <mergeCell ref="I3:K3"/>
    <mergeCell ref="L3:N3"/>
    <mergeCell ref="A1:AA1"/>
    <mergeCell ref="I73:K74"/>
    <mergeCell ref="I189:K190"/>
    <mergeCell ref="I194:K195"/>
    <mergeCell ref="X200:Z200"/>
    <mergeCell ref="X201:Z201"/>
    <mergeCell ref="K71:N71"/>
  </mergeCells>
  <phoneticPr fontId="0" type="noConversion"/>
  <conditionalFormatting sqref="Q187 Q184 Q163 Q160 Q158 Q152 Q147 Q145 Q128 Q95 T128:V128">
    <cfRule type="cellIs" dxfId="18" priority="10" stopIfTrue="1" operator="lessThan">
      <formula>$Q$80</formula>
    </cfRule>
  </conditionalFormatting>
  <conditionalFormatting sqref="R187 R184 R163 R160 R158 R152 R117 R145 R136 R128 R99 R79 R90 R95 R107 R147">
    <cfRule type="cellIs" dxfId="17" priority="9" stopIfTrue="1" operator="greaterThan">
      <formula>$R$80</formula>
    </cfRule>
  </conditionalFormatting>
  <conditionalFormatting sqref="R87">
    <cfRule type="cellIs" dxfId="16" priority="8" stopIfTrue="1" operator="greaterThan">
      <formula>$R$80</formula>
    </cfRule>
  </conditionalFormatting>
  <conditionalFormatting sqref="X128:AA128">
    <cfRule type="cellIs" dxfId="15" priority="6" stopIfTrue="1" operator="lessThan">
      <formula>$Q$80</formula>
    </cfRule>
  </conditionalFormatting>
  <conditionalFormatting sqref="X95:Z95">
    <cfRule type="cellIs" dxfId="14" priority="7" stopIfTrue="1" operator="lessThan">
      <formula>$Q$80</formula>
    </cfRule>
  </conditionalFormatting>
  <conditionalFormatting sqref="R60">
    <cfRule type="cellIs" dxfId="13" priority="4" stopIfTrue="1" operator="greaterThan">
      <formula>$R$80</formula>
    </cfRule>
  </conditionalFormatting>
  <conditionalFormatting sqref="R65">
    <cfRule type="cellIs" dxfId="12" priority="3" stopIfTrue="1" operator="greaterThan">
      <formula>$R$80</formula>
    </cfRule>
  </conditionalFormatting>
  <conditionalFormatting sqref="R71">
    <cfRule type="cellIs" dxfId="11" priority="1" stopIfTrue="1" operator="greaterThan">
      <formula>$R$80</formula>
    </cfRule>
  </conditionalFormatting>
  <dataValidations count="3">
    <dataValidation type="list" allowBlank="1" showInputMessage="1" showErrorMessage="1" sqref="D164:E165 D108:E116 D96:E98 D88:E89 D78:E78 D167:E183 D118:E127 D194 D159:E159 D153:E157 D148:E151 D129:E135 D137:E144 D100:E106 D161:E162 D146:E146 D91:E94 D80:E86 D185:E186 L66:M70 L61:M64 D61:E64 D66:E70 D7:E59 L7:M59">
      <formula1>Typologie</formula1>
    </dataValidation>
    <dataValidation type="list" showInputMessage="1" showErrorMessage="1" sqref="F185:F186 F80:F86 F108:F116 F96:F98 F88:F89 F137:F144 F78 F164:F165 F161:F162 F159 F146 F148:F151 F91:F94 F129:F135 F118:F127 F167:F183 F153:F157 F100:F106 F66:F70 F61:F64 F7:F59">
      <formula1>Eclairement</formula1>
    </dataValidation>
    <dataValidation type="list" showInputMessage="1" showErrorMessage="1" sqref="C78 C88:C89 C80:C86 C96:C98 C91:C94 C100:C106 C108:C116 C118:C127 C129:C135 C146 C137:C144 C148:C151 C159 C153:C157 C164:C165 C161:C162 C185:C186 C167:C183 C66:C70 C61:C64 C7:C59">
      <formula1>Local_type_code_det</formula1>
    </dataValidation>
  </dataValidations>
  <pageMargins left="0.70866141732283472" right="0.70866141732283472" top="0.74803149606299213" bottom="0.74803149606299213" header="0.31496062992125984" footer="0.31496062992125984"/>
  <pageSetup paperSize="8" scale="59" fitToHeight="0" orientation="landscape" r:id="rId1"/>
  <headerFooter>
    <oddHeader>&amp;R&amp;8&amp;F</oddHeader>
    <oddFooter>&amp;L&amp;8Programmation&amp;C&amp;"Arial,Gras"&amp;8Régie des Bâtiments&amp;R&amp;8 &amp;A •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G242"/>
  <sheetViews>
    <sheetView topLeftCell="A77" zoomScaleNormal="100" workbookViewId="0">
      <selection activeCell="A88" sqref="A88:XFD111"/>
    </sheetView>
  </sheetViews>
  <sheetFormatPr defaultColWidth="11.42578125" defaultRowHeight="12.75" outlineLevelRow="1" outlineLevelCol="1" x14ac:dyDescent="0.2"/>
  <cols>
    <col min="1" max="1" width="13.7109375" customWidth="1"/>
    <col min="2" max="2" width="40.42578125" customWidth="1"/>
    <col min="3" max="3" width="10.42578125" customWidth="1"/>
    <col min="4" max="4" width="13.5703125" customWidth="1"/>
    <col min="5" max="5" width="8.42578125" style="445" customWidth="1"/>
    <col min="6" max="6" width="9.28515625" style="445" customWidth="1"/>
    <col min="7" max="7" width="11.140625" style="445" customWidth="1"/>
    <col min="8" max="8" width="24.5703125" style="297" customWidth="1"/>
    <col min="9" max="10" width="8" style="445" customWidth="1"/>
    <col min="11" max="11" width="8.7109375" style="445" customWidth="1"/>
    <col min="12" max="14" width="7.85546875" customWidth="1" outlineLevel="1"/>
    <col min="15" max="15" width="2.7109375" customWidth="1"/>
    <col min="16" max="17" width="9" style="445" customWidth="1"/>
    <col min="18" max="18" width="9.85546875" bestFit="1" customWidth="1"/>
    <col min="19" max="19" width="2.7109375" customWidth="1"/>
    <col min="20" max="22" width="9" customWidth="1"/>
    <col min="23" max="23" width="2.7109375" customWidth="1"/>
  </cols>
  <sheetData>
    <row r="1" spans="1:39" s="293" customFormat="1" ht="19.5" x14ac:dyDescent="0.3">
      <c r="A1" s="466" t="str">
        <f>UPPER("établissement du Programme des Besoins • Partie 4 • Micro-implantation - Validation")</f>
        <v>ÉTABLISSEMENT DU PROGRAMME DES BESOINS • PARTIE 4 • MICRO-IMPLANTATION - VALIDATION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</row>
    <row r="3" spans="1:39" s="445" customFormat="1" ht="12" customHeight="1" x14ac:dyDescent="0.2">
      <c r="A3" s="292" t="s">
        <v>96</v>
      </c>
      <c r="B3" s="292"/>
      <c r="C3" s="292" t="s">
        <v>606</v>
      </c>
      <c r="D3" s="292" t="s">
        <v>91</v>
      </c>
      <c r="E3" s="292" t="str">
        <f>UPPER("CAT.")</f>
        <v>CAT.</v>
      </c>
      <c r="F3" s="292" t="str">
        <f>UPPER("écl.")</f>
        <v>ÉCL.</v>
      </c>
      <c r="G3" s="445" t="s">
        <v>20</v>
      </c>
      <c r="H3" s="295" t="str">
        <f>UPPER("Nom détaillé ou fonction particulière")</f>
        <v>NOM DÉTAILLÉ OU FONCTION PARTICULIÈRE</v>
      </c>
      <c r="I3" s="479" t="s">
        <v>93</v>
      </c>
      <c r="J3" s="479"/>
      <c r="K3" s="479"/>
      <c r="L3" s="479" t="s">
        <v>658</v>
      </c>
      <c r="M3" s="479"/>
      <c r="N3" s="479"/>
      <c r="P3" s="445" t="s">
        <v>28</v>
      </c>
      <c r="T3" s="445" t="str">
        <f>UPPER("Synthèse - "&amp;'Données et explications'!B16)</f>
        <v>SYNTHÈSE - CATÉGORIE</v>
      </c>
      <c r="X3" s="445" t="str">
        <f>UPPER("Synthèse - "&amp;'Données et explications'!B9)</f>
        <v>SYNTHÈSE - ECLAIREMENT</v>
      </c>
    </row>
    <row r="4" spans="1:39" s="122" customFormat="1" ht="13.5" thickBot="1" x14ac:dyDescent="0.25">
      <c r="A4" s="121"/>
      <c r="E4" s="121"/>
      <c r="F4" s="121"/>
      <c r="G4" s="121"/>
      <c r="H4" s="296"/>
      <c r="I4" s="121" t="s">
        <v>95</v>
      </c>
      <c r="J4" s="121" t="s">
        <v>46</v>
      </c>
      <c r="K4" s="121" t="s">
        <v>92</v>
      </c>
      <c r="L4" s="122" t="s">
        <v>641</v>
      </c>
      <c r="M4" s="122" t="s">
        <v>656</v>
      </c>
      <c r="N4" s="122" t="s">
        <v>640</v>
      </c>
      <c r="P4" s="121" t="str">
        <f>I4</f>
        <v>P.D.T.</v>
      </c>
      <c r="Q4" s="121" t="str">
        <f>J4</f>
        <v>PERS.</v>
      </c>
      <c r="R4" s="121" t="str">
        <f>K4</f>
        <v>SURFACE</v>
      </c>
      <c r="T4" s="121" t="str">
        <f>'Données et explications'!C16</f>
        <v>OA</v>
      </c>
      <c r="U4" s="121" t="str">
        <f>'Données et explications'!C17</f>
        <v>LSA</v>
      </c>
      <c r="V4" s="121" t="str">
        <f>'Données et explications'!C18</f>
        <v>CSA</v>
      </c>
      <c r="X4" s="121" t="str">
        <f>'Données et explications'!C9</f>
        <v xml:space="preserve">1er </v>
      </c>
      <c r="Y4" s="121" t="str">
        <f>'Données et explications'!C10</f>
        <v>1-2nd</v>
      </c>
      <c r="Z4" s="121" t="str">
        <f>'Données et explications'!C11</f>
        <v>Av. HS</v>
      </c>
      <c r="AA4" s="121" t="str">
        <f>'Données et explications'!C12</f>
        <v>Av. SS</v>
      </c>
    </row>
    <row r="5" spans="1:39" s="67" customFormat="1" x14ac:dyDescent="0.2">
      <c r="A5" s="66" t="s">
        <v>654</v>
      </c>
      <c r="J5" s="68"/>
      <c r="K5" s="68"/>
    </row>
    <row r="6" spans="1:39" s="77" customFormat="1" x14ac:dyDescent="0.2">
      <c r="A6" s="307"/>
      <c r="E6" s="307"/>
      <c r="F6" s="307"/>
      <c r="G6" s="307"/>
      <c r="H6" s="308"/>
      <c r="I6" s="307"/>
      <c r="J6" s="307"/>
      <c r="K6" s="307"/>
      <c r="P6" s="307"/>
      <c r="Q6" s="307"/>
      <c r="R6" s="307"/>
      <c r="T6" s="307"/>
      <c r="U6" s="307"/>
      <c r="V6" s="307"/>
      <c r="X6" s="307"/>
      <c r="Y6" s="307"/>
      <c r="Z6" s="307"/>
      <c r="AA6" s="307"/>
    </row>
    <row r="7" spans="1:39" ht="15" outlineLevel="1" x14ac:dyDescent="0.25">
      <c r="A7" s="126" t="s">
        <v>90</v>
      </c>
      <c r="B7" s="126" t="s">
        <v>663</v>
      </c>
      <c r="C7" s="37" t="s">
        <v>604</v>
      </c>
      <c r="D7" s="285" t="str">
        <f>VLOOKUP($C7,'Typologie détaillée'!$E$4:$H$214,3,0)</f>
        <v>Locaux chauffeurs</v>
      </c>
      <c r="E7" s="286" t="str">
        <f>VLOOKUP($C7,'Typologie détaillée'!$E$4:$H$214,4,0)</f>
        <v>CSA</v>
      </c>
      <c r="F7" s="142" t="s">
        <v>21</v>
      </c>
      <c r="G7" s="90">
        <v>1</v>
      </c>
      <c r="H7" s="301" t="s">
        <v>778</v>
      </c>
      <c r="I7" s="90"/>
      <c r="J7" s="90"/>
      <c r="K7" s="309">
        <f>IF(OR(L7="MiN.",L7="SPEC."),N7,M7*N7)</f>
        <v>24</v>
      </c>
      <c r="L7" s="286" t="str">
        <f>VLOOKUP($C7,'Typologie détaillée'!$E$4:$L$214,6,0)</f>
        <v>PERS</v>
      </c>
      <c r="M7" s="286">
        <f>VLOOKUP($C7,'Typologie détaillée'!$E$4:$L$214,7,0)</f>
        <v>6</v>
      </c>
      <c r="N7" s="310">
        <v>4</v>
      </c>
      <c r="P7" s="129">
        <f t="shared" ref="P7:R27" si="0">$G7*I7</f>
        <v>0</v>
      </c>
      <c r="Q7" s="129">
        <v>4</v>
      </c>
      <c r="R7" s="106">
        <f t="shared" si="0"/>
        <v>24</v>
      </c>
      <c r="T7" s="106" t="str">
        <f t="shared" ref="T7:V77" si="1">IF($E7=T$4,$R7,"")</f>
        <v/>
      </c>
      <c r="U7" s="106" t="str">
        <f t="shared" si="1"/>
        <v/>
      </c>
      <c r="V7" s="106">
        <f t="shared" si="1"/>
        <v>24</v>
      </c>
      <c r="X7" s="106">
        <f t="shared" ref="X7:AA77" si="2">IF($F7=X$4,$R7,"")</f>
        <v>24</v>
      </c>
      <c r="Y7" s="106" t="str">
        <f t="shared" si="2"/>
        <v/>
      </c>
      <c r="Z7" s="106" t="str">
        <f t="shared" si="2"/>
        <v/>
      </c>
      <c r="AA7" s="106" t="str">
        <f t="shared" si="2"/>
        <v/>
      </c>
    </row>
    <row r="8" spans="1:39" s="427" customFormat="1" ht="15" outlineLevel="1" x14ac:dyDescent="0.25">
      <c r="A8" s="450"/>
      <c r="B8" s="450"/>
      <c r="C8" s="37" t="s">
        <v>494</v>
      </c>
      <c r="D8" s="451" t="str">
        <f>VLOOKUP($C8,'Typologie détaillée'!$E$4:$H$214,3,0)</f>
        <v>Locaux "dispaching"</v>
      </c>
      <c r="E8" s="452" t="str">
        <f>VLOOKUP($C8,'Typologie détaillée'!$E$4:$H$214,4,0)</f>
        <v>CSA</v>
      </c>
      <c r="F8" s="142" t="s">
        <v>23</v>
      </c>
      <c r="G8" s="90">
        <v>1</v>
      </c>
      <c r="H8" s="301" t="s">
        <v>781</v>
      </c>
      <c r="I8" s="90"/>
      <c r="J8" s="90"/>
      <c r="K8" s="309">
        <f t="shared" ref="K8" si="3">IF(OR(L8="MiN.",L8="SPEC."),N8,M8*N8)</f>
        <v>87</v>
      </c>
      <c r="L8" s="452" t="str">
        <f>VLOOKUP($C8,'Typologie détaillée'!$E$4:$L$214,6,0)</f>
        <v>MIN.</v>
      </c>
      <c r="M8" s="452">
        <f>VLOOKUP($C8,'Typologie détaillée'!$E$4:$L$214,7,0)</f>
        <v>20</v>
      </c>
      <c r="N8" s="310">
        <v>87</v>
      </c>
      <c r="O8" s="126"/>
      <c r="P8" s="453">
        <f t="shared" si="0"/>
        <v>0</v>
      </c>
      <c r="Q8" s="453">
        <f t="shared" si="0"/>
        <v>0</v>
      </c>
      <c r="R8" s="454">
        <f t="shared" si="0"/>
        <v>87</v>
      </c>
      <c r="S8" s="126"/>
      <c r="T8" s="454" t="str">
        <f t="shared" si="1"/>
        <v/>
      </c>
      <c r="U8" s="454" t="str">
        <f t="shared" si="1"/>
        <v/>
      </c>
      <c r="V8" s="454">
        <f t="shared" si="1"/>
        <v>87</v>
      </c>
      <c r="W8" s="126"/>
      <c r="X8" s="454" t="str">
        <f t="shared" si="2"/>
        <v/>
      </c>
      <c r="Y8" s="454">
        <f t="shared" si="2"/>
        <v>87</v>
      </c>
      <c r="Z8" s="454" t="str">
        <f t="shared" si="2"/>
        <v/>
      </c>
      <c r="AA8" s="454" t="str">
        <f t="shared" si="2"/>
        <v/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</row>
    <row r="9" spans="1:39" s="427" customFormat="1" ht="15" outlineLevel="1" x14ac:dyDescent="0.25">
      <c r="A9" s="450"/>
      <c r="B9" s="450"/>
      <c r="C9" s="37" t="s">
        <v>494</v>
      </c>
      <c r="D9" s="451" t="str">
        <f>VLOOKUP($C9,'Typologie détaillée'!$E$4:$H$214,3,0)</f>
        <v>Locaux "dispaching"</v>
      </c>
      <c r="E9" s="452" t="str">
        <f>VLOOKUP($C9,'Typologie détaillée'!$E$4:$H$214,4,0)</f>
        <v>CSA</v>
      </c>
      <c r="F9" s="142" t="s">
        <v>23</v>
      </c>
      <c r="G9" s="90">
        <v>1</v>
      </c>
      <c r="H9" s="301" t="s">
        <v>782</v>
      </c>
      <c r="I9" s="90"/>
      <c r="J9" s="90"/>
      <c r="K9" s="309">
        <f>IF(OR(L9="MiN.",L9="SPEC."),N9,M9*N9)</f>
        <v>118</v>
      </c>
      <c r="L9" s="452" t="str">
        <f>VLOOKUP($C9,'Typologie détaillée'!$E$4:$L$214,6,0)</f>
        <v>MIN.</v>
      </c>
      <c r="M9" s="452">
        <f>VLOOKUP($C9,'Typologie détaillée'!$E$4:$L$214,7,0)</f>
        <v>20</v>
      </c>
      <c r="N9" s="310">
        <v>118</v>
      </c>
      <c r="O9" s="126"/>
      <c r="P9" s="453">
        <f t="shared" si="0"/>
        <v>0</v>
      </c>
      <c r="Q9" s="453">
        <f t="shared" si="0"/>
        <v>0</v>
      </c>
      <c r="R9" s="454">
        <f t="shared" si="0"/>
        <v>118</v>
      </c>
      <c r="S9" s="126"/>
      <c r="T9" s="454" t="str">
        <f t="shared" si="1"/>
        <v/>
      </c>
      <c r="U9" s="454" t="str">
        <f t="shared" si="1"/>
        <v/>
      </c>
      <c r="V9" s="454">
        <f t="shared" si="1"/>
        <v>118</v>
      </c>
      <c r="W9" s="126"/>
      <c r="X9" s="454" t="str">
        <f t="shared" si="2"/>
        <v/>
      </c>
      <c r="Y9" s="454">
        <f t="shared" si="2"/>
        <v>118</v>
      </c>
      <c r="Z9" s="454" t="str">
        <f t="shared" si="2"/>
        <v/>
      </c>
      <c r="AA9" s="454" t="str">
        <f t="shared" si="2"/>
        <v/>
      </c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spans="1:39" ht="15" outlineLevel="1" x14ac:dyDescent="0.25">
      <c r="C10" s="37" t="s">
        <v>576</v>
      </c>
      <c r="D10" s="285" t="str">
        <f>VLOOKUP($C10,'Typologie détaillée'!$E$4:$H$214,3,0)</f>
        <v>Grandes salles de réunion communes</v>
      </c>
      <c r="E10" s="286" t="str">
        <f>VLOOKUP($C10,'Typologie détaillée'!$E$4:$H$214,4,0)</f>
        <v>CSA</v>
      </c>
      <c r="F10" s="142" t="s">
        <v>24</v>
      </c>
      <c r="G10" s="90">
        <v>1</v>
      </c>
      <c r="H10" s="455" t="s">
        <v>1221</v>
      </c>
      <c r="I10" s="90"/>
      <c r="J10" s="90"/>
      <c r="K10" s="309">
        <f>IF(OR(L10="MiN.",L10="SPEC."),N10,M10*N10)</f>
        <v>200</v>
      </c>
      <c r="L10" s="452" t="str">
        <f>VLOOKUP($C10,'Typologie détaillée'!$E$4:$L$214,6,0)</f>
        <v>PERS.</v>
      </c>
      <c r="M10" s="452">
        <f>VLOOKUP($C10,'Typologie détaillée'!$E$4:$L$214,7,0)</f>
        <v>2</v>
      </c>
      <c r="N10" s="310">
        <v>100</v>
      </c>
      <c r="P10" s="129">
        <f t="shared" si="0"/>
        <v>0</v>
      </c>
      <c r="Q10" s="129">
        <f t="shared" si="0"/>
        <v>0</v>
      </c>
      <c r="R10" s="106">
        <f t="shared" si="0"/>
        <v>200</v>
      </c>
      <c r="T10" s="106" t="str">
        <f t="shared" si="1"/>
        <v/>
      </c>
      <c r="U10" s="106" t="str">
        <f t="shared" si="1"/>
        <v/>
      </c>
      <c r="V10" s="106">
        <f t="shared" si="1"/>
        <v>200</v>
      </c>
      <c r="X10" s="106" t="str">
        <f t="shared" si="2"/>
        <v/>
      </c>
      <c r="Y10" s="106" t="str">
        <f t="shared" si="2"/>
        <v/>
      </c>
      <c r="Z10" s="106">
        <f t="shared" si="2"/>
        <v>200</v>
      </c>
      <c r="AA10" s="106" t="str">
        <f t="shared" si="2"/>
        <v/>
      </c>
    </row>
    <row r="11" spans="1:39" ht="15" outlineLevel="1" x14ac:dyDescent="0.25">
      <c r="C11" s="37" t="s">
        <v>576</v>
      </c>
      <c r="D11" s="285" t="str">
        <f>VLOOKUP($C11,'Typologie détaillée'!$E$4:$H$214,3,0)</f>
        <v>Grandes salles de réunion communes</v>
      </c>
      <c r="E11" s="286" t="str">
        <f>VLOOKUP($C11,'Typologie détaillée'!$E$4:$H$214,4,0)</f>
        <v>CSA</v>
      </c>
      <c r="F11" s="142" t="s">
        <v>24</v>
      </c>
      <c r="G11" s="90">
        <v>1</v>
      </c>
      <c r="H11" s="301" t="s">
        <v>1222</v>
      </c>
      <c r="I11" s="90">
        <v>0</v>
      </c>
      <c r="J11" s="90"/>
      <c r="K11" s="309">
        <f>IF(OR(L11="MiN.",L11="SPEC."),N11,M11*N11)</f>
        <v>34</v>
      </c>
      <c r="L11" s="452" t="str">
        <f>VLOOKUP($C11,'Typologie détaillée'!$E$4:$L$214,6,0)</f>
        <v>PERS.</v>
      </c>
      <c r="M11" s="452">
        <f>VLOOKUP($C11,'Typologie détaillée'!$E$4:$L$214,7,0)</f>
        <v>2</v>
      </c>
      <c r="N11" s="310">
        <v>17</v>
      </c>
      <c r="P11" s="129">
        <f t="shared" si="0"/>
        <v>0</v>
      </c>
      <c r="Q11" s="129">
        <f t="shared" si="0"/>
        <v>0</v>
      </c>
      <c r="R11" s="106">
        <f t="shared" si="0"/>
        <v>34</v>
      </c>
      <c r="T11" s="106" t="str">
        <f t="shared" si="1"/>
        <v/>
      </c>
      <c r="U11" s="106" t="str">
        <f t="shared" si="1"/>
        <v/>
      </c>
      <c r="V11" s="106">
        <f t="shared" si="1"/>
        <v>34</v>
      </c>
      <c r="X11" s="106" t="str">
        <f t="shared" si="2"/>
        <v/>
      </c>
      <c r="Y11" s="106" t="str">
        <f t="shared" si="2"/>
        <v/>
      </c>
      <c r="Z11" s="106">
        <f t="shared" si="2"/>
        <v>34</v>
      </c>
      <c r="AA11" s="106" t="str">
        <f t="shared" si="2"/>
        <v/>
      </c>
    </row>
    <row r="12" spans="1:39" ht="15" outlineLevel="1" x14ac:dyDescent="0.25">
      <c r="C12" s="37" t="s">
        <v>576</v>
      </c>
      <c r="D12" s="285" t="str">
        <f>VLOOKUP($C12,'Typologie détaillée'!$E$4:$H$214,3,0)</f>
        <v>Grandes salles de réunion communes</v>
      </c>
      <c r="E12" s="286" t="str">
        <f>VLOOKUP($C12,'Typologie détaillée'!$E$4:$H$214,4,0)</f>
        <v>CSA</v>
      </c>
      <c r="F12" s="142" t="s">
        <v>24</v>
      </c>
      <c r="G12" s="90">
        <v>1</v>
      </c>
      <c r="H12" s="301" t="s">
        <v>1223</v>
      </c>
      <c r="I12" s="90">
        <v>0</v>
      </c>
      <c r="J12" s="90"/>
      <c r="K12" s="309">
        <f t="shared" ref="K12:K74" si="4">IF(OR(L12="MiN.",L12="SPEC."),N12,M12*N12)</f>
        <v>28</v>
      </c>
      <c r="L12" s="452" t="str">
        <f>VLOOKUP($C12,'Typologie détaillée'!$E$4:$L$214,6,0)</f>
        <v>PERS.</v>
      </c>
      <c r="M12" s="452">
        <f>VLOOKUP($C12,'Typologie détaillée'!$E$4:$L$214,7,0)</f>
        <v>2</v>
      </c>
      <c r="N12" s="310">
        <v>14</v>
      </c>
      <c r="P12" s="129">
        <f t="shared" si="0"/>
        <v>0</v>
      </c>
      <c r="Q12" s="129">
        <f t="shared" si="0"/>
        <v>0</v>
      </c>
      <c r="R12" s="106">
        <f t="shared" si="0"/>
        <v>28</v>
      </c>
      <c r="T12" s="106" t="str">
        <f t="shared" si="1"/>
        <v/>
      </c>
      <c r="U12" s="106" t="str">
        <f t="shared" si="1"/>
        <v/>
      </c>
      <c r="V12" s="106">
        <f t="shared" si="1"/>
        <v>28</v>
      </c>
      <c r="X12" s="106" t="str">
        <f t="shared" si="2"/>
        <v/>
      </c>
      <c r="Y12" s="106" t="str">
        <f t="shared" si="2"/>
        <v/>
      </c>
      <c r="Z12" s="106">
        <f t="shared" si="2"/>
        <v>28</v>
      </c>
      <c r="AA12" s="106" t="str">
        <f t="shared" si="2"/>
        <v/>
      </c>
    </row>
    <row r="13" spans="1:39" ht="15" outlineLevel="1" x14ac:dyDescent="0.25">
      <c r="C13" s="37" t="s">
        <v>576</v>
      </c>
      <c r="D13" s="285" t="str">
        <f>VLOOKUP($C13,'Typologie détaillée'!$E$4:$H$214,3,0)</f>
        <v>Grandes salles de réunion communes</v>
      </c>
      <c r="E13" s="286" t="str">
        <f>VLOOKUP($C13,'Typologie détaillée'!$E$4:$H$214,4,0)</f>
        <v>CSA</v>
      </c>
      <c r="F13" s="142" t="s">
        <v>24</v>
      </c>
      <c r="G13" s="90">
        <v>1</v>
      </c>
      <c r="H13" s="455" t="s">
        <v>1224</v>
      </c>
      <c r="I13" s="90">
        <v>0</v>
      </c>
      <c r="J13" s="90"/>
      <c r="K13" s="309">
        <f t="shared" si="4"/>
        <v>0</v>
      </c>
      <c r="L13" s="452" t="str">
        <f>VLOOKUP($C13,'Typologie détaillée'!$E$4:$L$214,6,0)</f>
        <v>PERS.</v>
      </c>
      <c r="M13" s="452">
        <f>VLOOKUP($C13,'Typologie détaillée'!$E$4:$L$214,7,0)</f>
        <v>2</v>
      </c>
      <c r="N13" s="310">
        <v>0</v>
      </c>
      <c r="P13" s="129">
        <f t="shared" si="0"/>
        <v>0</v>
      </c>
      <c r="Q13" s="129">
        <f t="shared" si="0"/>
        <v>0</v>
      </c>
      <c r="R13" s="106">
        <f t="shared" si="0"/>
        <v>0</v>
      </c>
      <c r="T13" s="106" t="str">
        <f t="shared" si="1"/>
        <v/>
      </c>
      <c r="U13" s="106" t="str">
        <f t="shared" si="1"/>
        <v/>
      </c>
      <c r="V13" s="106">
        <f t="shared" si="1"/>
        <v>0</v>
      </c>
      <c r="X13" s="106" t="str">
        <f t="shared" si="2"/>
        <v/>
      </c>
      <c r="Y13" s="106" t="str">
        <f t="shared" si="2"/>
        <v/>
      </c>
      <c r="Z13" s="106">
        <f t="shared" si="2"/>
        <v>0</v>
      </c>
      <c r="AA13" s="106" t="str">
        <f t="shared" si="2"/>
        <v/>
      </c>
    </row>
    <row r="14" spans="1:39" ht="15" outlineLevel="1" x14ac:dyDescent="0.25">
      <c r="C14" s="37" t="s">
        <v>576</v>
      </c>
      <c r="D14" s="285" t="str">
        <f>VLOOKUP($C14,'Typologie détaillée'!$E$4:$H$214,3,0)</f>
        <v>Grandes salles de réunion communes</v>
      </c>
      <c r="E14" s="286" t="str">
        <f>VLOOKUP($C14,'Typologie détaillée'!$E$4:$H$214,4,0)</f>
        <v>CSA</v>
      </c>
      <c r="F14" s="142" t="s">
        <v>24</v>
      </c>
      <c r="G14" s="90">
        <v>1</v>
      </c>
      <c r="H14" s="301" t="s">
        <v>1225</v>
      </c>
      <c r="I14" s="90">
        <v>0</v>
      </c>
      <c r="J14" s="90"/>
      <c r="K14" s="309">
        <f t="shared" si="4"/>
        <v>24</v>
      </c>
      <c r="L14" s="452" t="str">
        <f>VLOOKUP($C14,'Typologie détaillée'!$E$4:$L$214,6,0)</f>
        <v>PERS.</v>
      </c>
      <c r="M14" s="452">
        <f>VLOOKUP($C14,'Typologie détaillée'!$E$4:$L$214,7,0)</f>
        <v>2</v>
      </c>
      <c r="N14" s="310">
        <v>12</v>
      </c>
      <c r="P14" s="129">
        <f t="shared" si="0"/>
        <v>0</v>
      </c>
      <c r="Q14" s="129">
        <f t="shared" si="0"/>
        <v>0</v>
      </c>
      <c r="R14" s="106">
        <f t="shared" si="0"/>
        <v>24</v>
      </c>
      <c r="T14" s="106" t="str">
        <f t="shared" si="1"/>
        <v/>
      </c>
      <c r="U14" s="106" t="str">
        <f t="shared" si="1"/>
        <v/>
      </c>
      <c r="V14" s="106">
        <f t="shared" si="1"/>
        <v>24</v>
      </c>
      <c r="X14" s="106" t="str">
        <f t="shared" si="2"/>
        <v/>
      </c>
      <c r="Y14" s="106" t="str">
        <f t="shared" si="2"/>
        <v/>
      </c>
      <c r="Z14" s="106">
        <f t="shared" si="2"/>
        <v>24</v>
      </c>
      <c r="AA14" s="106" t="str">
        <f t="shared" si="2"/>
        <v/>
      </c>
    </row>
    <row r="15" spans="1:39" ht="15" outlineLevel="1" x14ac:dyDescent="0.25">
      <c r="C15" s="37" t="s">
        <v>576</v>
      </c>
      <c r="D15" s="285" t="str">
        <f>VLOOKUP($C15,'Typologie détaillée'!$E$4:$H$214,3,0)</f>
        <v>Grandes salles de réunion communes</v>
      </c>
      <c r="E15" s="286" t="str">
        <f>VLOOKUP($C15,'Typologie détaillée'!$E$4:$H$214,4,0)</f>
        <v>CSA</v>
      </c>
      <c r="F15" s="142" t="s">
        <v>24</v>
      </c>
      <c r="G15" s="90">
        <v>1</v>
      </c>
      <c r="H15" s="301" t="s">
        <v>1226</v>
      </c>
      <c r="I15" s="90">
        <v>0</v>
      </c>
      <c r="J15" s="90"/>
      <c r="K15" s="309">
        <f t="shared" si="4"/>
        <v>24</v>
      </c>
      <c r="L15" s="452" t="str">
        <f>VLOOKUP($C15,'Typologie détaillée'!$E$4:$L$214,6,0)</f>
        <v>PERS.</v>
      </c>
      <c r="M15" s="452">
        <f>VLOOKUP($C15,'Typologie détaillée'!$E$4:$L$214,7,0)</f>
        <v>2</v>
      </c>
      <c r="N15" s="310">
        <v>12</v>
      </c>
      <c r="P15" s="129">
        <f t="shared" si="0"/>
        <v>0</v>
      </c>
      <c r="Q15" s="129">
        <f t="shared" si="0"/>
        <v>0</v>
      </c>
      <c r="R15" s="106">
        <f t="shared" si="0"/>
        <v>24</v>
      </c>
      <c r="T15" s="106" t="str">
        <f t="shared" si="1"/>
        <v/>
      </c>
      <c r="U15" s="106" t="str">
        <f t="shared" si="1"/>
        <v/>
      </c>
      <c r="V15" s="106">
        <f t="shared" si="1"/>
        <v>24</v>
      </c>
      <c r="X15" s="106" t="str">
        <f t="shared" si="2"/>
        <v/>
      </c>
      <c r="Y15" s="106" t="str">
        <f t="shared" si="2"/>
        <v/>
      </c>
      <c r="Z15" s="106">
        <f t="shared" si="2"/>
        <v>24</v>
      </c>
      <c r="AA15" s="106" t="str">
        <f t="shared" si="2"/>
        <v/>
      </c>
    </row>
    <row r="16" spans="1:39" ht="15" outlineLevel="1" x14ac:dyDescent="0.25">
      <c r="C16" s="37" t="s">
        <v>576</v>
      </c>
      <c r="D16" s="285" t="str">
        <f>VLOOKUP($C16,'Typologie détaillée'!$E$4:$H$214,3,0)</f>
        <v>Grandes salles de réunion communes</v>
      </c>
      <c r="E16" s="286" t="str">
        <f>VLOOKUP($C16,'Typologie détaillée'!$E$4:$H$214,4,0)</f>
        <v>CSA</v>
      </c>
      <c r="F16" s="142" t="s">
        <v>24</v>
      </c>
      <c r="G16" s="90">
        <v>1</v>
      </c>
      <c r="H16" s="455" t="s">
        <v>1227</v>
      </c>
      <c r="I16" s="90">
        <v>0</v>
      </c>
      <c r="J16" s="90"/>
      <c r="K16" s="309">
        <f t="shared" si="4"/>
        <v>0</v>
      </c>
      <c r="L16" s="452" t="str">
        <f>VLOOKUP($C16,'Typologie détaillée'!$E$4:$L$214,6,0)</f>
        <v>PERS.</v>
      </c>
      <c r="M16" s="452">
        <f>VLOOKUP($C16,'Typologie détaillée'!$E$4:$L$214,7,0)</f>
        <v>2</v>
      </c>
      <c r="N16" s="310">
        <v>0</v>
      </c>
      <c r="P16" s="129">
        <f t="shared" si="0"/>
        <v>0</v>
      </c>
      <c r="Q16" s="129">
        <f t="shared" si="0"/>
        <v>0</v>
      </c>
      <c r="R16" s="106">
        <f t="shared" si="0"/>
        <v>0</v>
      </c>
      <c r="T16" s="106" t="str">
        <f t="shared" si="1"/>
        <v/>
      </c>
      <c r="U16" s="106" t="str">
        <f t="shared" si="1"/>
        <v/>
      </c>
      <c r="V16" s="106">
        <f t="shared" si="1"/>
        <v>0</v>
      </c>
      <c r="X16" s="106" t="str">
        <f t="shared" si="2"/>
        <v/>
      </c>
      <c r="Y16" s="106" t="str">
        <f t="shared" si="2"/>
        <v/>
      </c>
      <c r="Z16" s="106">
        <f t="shared" si="2"/>
        <v>0</v>
      </c>
      <c r="AA16" s="106" t="str">
        <f t="shared" si="2"/>
        <v/>
      </c>
    </row>
    <row r="17" spans="3:27" ht="15" outlineLevel="1" x14ac:dyDescent="0.25">
      <c r="C17" s="37" t="s">
        <v>576</v>
      </c>
      <c r="D17" s="285" t="str">
        <f>VLOOKUP($C17,'Typologie détaillée'!$E$4:$H$214,3,0)</f>
        <v>Grandes salles de réunion communes</v>
      </c>
      <c r="E17" s="286" t="str">
        <f>VLOOKUP($C17,'Typologie détaillée'!$E$4:$H$214,4,0)</f>
        <v>CSA</v>
      </c>
      <c r="F17" s="142" t="s">
        <v>24</v>
      </c>
      <c r="G17" s="90">
        <v>1</v>
      </c>
      <c r="H17" s="455" t="s">
        <v>1228</v>
      </c>
      <c r="I17" s="90">
        <v>0</v>
      </c>
      <c r="J17" s="90"/>
      <c r="K17" s="309">
        <f t="shared" si="4"/>
        <v>16</v>
      </c>
      <c r="L17" s="452" t="str">
        <f>VLOOKUP($C17,'Typologie détaillée'!$E$4:$L$214,6,0)</f>
        <v>PERS.</v>
      </c>
      <c r="M17" s="452">
        <f>VLOOKUP($C17,'Typologie détaillée'!$E$4:$L$214,7,0)</f>
        <v>2</v>
      </c>
      <c r="N17" s="310">
        <v>8</v>
      </c>
      <c r="P17" s="129">
        <f t="shared" si="0"/>
        <v>0</v>
      </c>
      <c r="Q17" s="129">
        <f t="shared" si="0"/>
        <v>0</v>
      </c>
      <c r="R17" s="106">
        <f t="shared" si="0"/>
        <v>16</v>
      </c>
      <c r="T17" s="106" t="str">
        <f t="shared" si="1"/>
        <v/>
      </c>
      <c r="U17" s="106" t="str">
        <f t="shared" si="1"/>
        <v/>
      </c>
      <c r="V17" s="106">
        <f t="shared" si="1"/>
        <v>16</v>
      </c>
      <c r="X17" s="106" t="str">
        <f t="shared" si="2"/>
        <v/>
      </c>
      <c r="Y17" s="106" t="str">
        <f t="shared" si="2"/>
        <v/>
      </c>
      <c r="Z17" s="106">
        <f t="shared" si="2"/>
        <v>16</v>
      </c>
      <c r="AA17" s="106" t="str">
        <f t="shared" si="2"/>
        <v/>
      </c>
    </row>
    <row r="18" spans="3:27" ht="15" outlineLevel="1" x14ac:dyDescent="0.25">
      <c r="C18" s="37" t="s">
        <v>576</v>
      </c>
      <c r="D18" s="285" t="str">
        <f>VLOOKUP($C18,'Typologie détaillée'!$E$4:$H$214,3,0)</f>
        <v>Grandes salles de réunion communes</v>
      </c>
      <c r="E18" s="286" t="str">
        <f>VLOOKUP($C18,'Typologie détaillée'!$E$4:$H$214,4,0)</f>
        <v>CSA</v>
      </c>
      <c r="F18" s="142" t="s">
        <v>24</v>
      </c>
      <c r="G18" s="90">
        <v>1</v>
      </c>
      <c r="H18" s="301" t="s">
        <v>1229</v>
      </c>
      <c r="I18" s="90">
        <v>0</v>
      </c>
      <c r="J18" s="90"/>
      <c r="K18" s="309">
        <f t="shared" si="4"/>
        <v>24</v>
      </c>
      <c r="L18" s="452" t="str">
        <f>VLOOKUP($C18,'Typologie détaillée'!$E$4:$L$214,6,0)</f>
        <v>PERS.</v>
      </c>
      <c r="M18" s="452">
        <f>VLOOKUP($C18,'Typologie détaillée'!$E$4:$L$214,7,0)</f>
        <v>2</v>
      </c>
      <c r="N18" s="310">
        <v>12</v>
      </c>
      <c r="P18" s="129">
        <f t="shared" si="0"/>
        <v>0</v>
      </c>
      <c r="Q18" s="129">
        <f t="shared" si="0"/>
        <v>0</v>
      </c>
      <c r="R18" s="106">
        <f t="shared" si="0"/>
        <v>24</v>
      </c>
      <c r="T18" s="106" t="str">
        <f t="shared" si="1"/>
        <v/>
      </c>
      <c r="U18" s="106" t="str">
        <f t="shared" si="1"/>
        <v/>
      </c>
      <c r="V18" s="106">
        <f t="shared" si="1"/>
        <v>24</v>
      </c>
      <c r="X18" s="106" t="str">
        <f t="shared" si="2"/>
        <v/>
      </c>
      <c r="Y18" s="106" t="str">
        <f t="shared" si="2"/>
        <v/>
      </c>
      <c r="Z18" s="106">
        <f t="shared" si="2"/>
        <v>24</v>
      </c>
      <c r="AA18" s="106" t="str">
        <f t="shared" si="2"/>
        <v/>
      </c>
    </row>
    <row r="19" spans="3:27" ht="15" outlineLevel="1" x14ac:dyDescent="0.25">
      <c r="C19" s="37" t="s">
        <v>576</v>
      </c>
      <c r="D19" s="285" t="str">
        <f>VLOOKUP($C19,'Typologie détaillée'!$E$4:$H$214,3,0)</f>
        <v>Grandes salles de réunion communes</v>
      </c>
      <c r="E19" s="286" t="str">
        <f>VLOOKUP($C19,'Typologie détaillée'!$E$4:$H$214,4,0)</f>
        <v>CSA</v>
      </c>
      <c r="F19" s="142" t="s">
        <v>24</v>
      </c>
      <c r="G19" s="90">
        <v>1</v>
      </c>
      <c r="H19" s="455" t="s">
        <v>1230</v>
      </c>
      <c r="I19" s="90">
        <v>0</v>
      </c>
      <c r="J19" s="90"/>
      <c r="K19" s="309">
        <f t="shared" si="4"/>
        <v>0</v>
      </c>
      <c r="L19" s="452" t="str">
        <f>VLOOKUP($C19,'Typologie détaillée'!$E$4:$L$214,6,0)</f>
        <v>PERS.</v>
      </c>
      <c r="M19" s="452">
        <f>VLOOKUP($C19,'Typologie détaillée'!$E$4:$L$214,7,0)</f>
        <v>2</v>
      </c>
      <c r="N19" s="310">
        <v>0</v>
      </c>
      <c r="P19" s="129">
        <f t="shared" si="0"/>
        <v>0</v>
      </c>
      <c r="Q19" s="129">
        <f t="shared" si="0"/>
        <v>0</v>
      </c>
      <c r="R19" s="106">
        <f t="shared" si="0"/>
        <v>0</v>
      </c>
      <c r="T19" s="106" t="str">
        <f t="shared" si="1"/>
        <v/>
      </c>
      <c r="U19" s="106" t="str">
        <f t="shared" si="1"/>
        <v/>
      </c>
      <c r="V19" s="106">
        <f t="shared" si="1"/>
        <v>0</v>
      </c>
      <c r="X19" s="106" t="str">
        <f t="shared" si="2"/>
        <v/>
      </c>
      <c r="Y19" s="106" t="str">
        <f t="shared" si="2"/>
        <v/>
      </c>
      <c r="Z19" s="106">
        <f t="shared" si="2"/>
        <v>0</v>
      </c>
      <c r="AA19" s="106" t="str">
        <f t="shared" si="2"/>
        <v/>
      </c>
    </row>
    <row r="20" spans="3:27" ht="15" outlineLevel="1" x14ac:dyDescent="0.25">
      <c r="C20" s="37" t="s">
        <v>576</v>
      </c>
      <c r="D20" s="285" t="str">
        <f>VLOOKUP($C20,'Typologie détaillée'!$E$4:$H$214,3,0)</f>
        <v>Grandes salles de réunion communes</v>
      </c>
      <c r="E20" s="286" t="str">
        <f>VLOOKUP($C20,'Typologie détaillée'!$E$4:$H$214,4,0)</f>
        <v>CSA</v>
      </c>
      <c r="F20" s="142" t="s">
        <v>24</v>
      </c>
      <c r="G20" s="90">
        <v>1</v>
      </c>
      <c r="H20" s="301" t="s">
        <v>1231</v>
      </c>
      <c r="I20" s="90">
        <v>0</v>
      </c>
      <c r="J20" s="90"/>
      <c r="K20" s="309">
        <f t="shared" si="4"/>
        <v>40</v>
      </c>
      <c r="L20" s="452" t="str">
        <f>VLOOKUP($C20,'Typologie détaillée'!$E$4:$L$214,6,0)</f>
        <v>PERS.</v>
      </c>
      <c r="M20" s="452">
        <f>VLOOKUP($C20,'Typologie détaillée'!$E$4:$L$214,7,0)</f>
        <v>2</v>
      </c>
      <c r="N20" s="310">
        <v>20</v>
      </c>
      <c r="P20" s="129">
        <f t="shared" si="0"/>
        <v>0</v>
      </c>
      <c r="Q20" s="129">
        <f t="shared" si="0"/>
        <v>0</v>
      </c>
      <c r="R20" s="106">
        <f t="shared" si="0"/>
        <v>40</v>
      </c>
      <c r="T20" s="106" t="str">
        <f t="shared" si="1"/>
        <v/>
      </c>
      <c r="U20" s="106" t="str">
        <f t="shared" si="1"/>
        <v/>
      </c>
      <c r="V20" s="106">
        <f t="shared" si="1"/>
        <v>40</v>
      </c>
      <c r="X20" s="106" t="str">
        <f t="shared" si="2"/>
        <v/>
      </c>
      <c r="Y20" s="106" t="str">
        <f t="shared" si="2"/>
        <v/>
      </c>
      <c r="Z20" s="106">
        <f t="shared" si="2"/>
        <v>40</v>
      </c>
      <c r="AA20" s="106" t="str">
        <f t="shared" si="2"/>
        <v/>
      </c>
    </row>
    <row r="21" spans="3:27" ht="15" outlineLevel="1" x14ac:dyDescent="0.25">
      <c r="C21" s="37" t="s">
        <v>576</v>
      </c>
      <c r="D21" s="285" t="str">
        <f>VLOOKUP($C21,'Typologie détaillée'!$E$4:$H$214,3,0)</f>
        <v>Grandes salles de réunion communes</v>
      </c>
      <c r="E21" s="286" t="str">
        <f>VLOOKUP($C21,'Typologie détaillée'!$E$4:$H$214,4,0)</f>
        <v>CSA</v>
      </c>
      <c r="F21" s="142" t="s">
        <v>24</v>
      </c>
      <c r="G21" s="90">
        <v>1</v>
      </c>
      <c r="H21" s="301" t="s">
        <v>1232</v>
      </c>
      <c r="I21" s="90">
        <v>0</v>
      </c>
      <c r="J21" s="90"/>
      <c r="K21" s="309">
        <f t="shared" si="4"/>
        <v>28</v>
      </c>
      <c r="L21" s="452" t="str">
        <f>VLOOKUP($C21,'Typologie détaillée'!$E$4:$L$214,6,0)</f>
        <v>PERS.</v>
      </c>
      <c r="M21" s="452">
        <f>VLOOKUP($C21,'Typologie détaillée'!$E$4:$L$214,7,0)</f>
        <v>2</v>
      </c>
      <c r="N21" s="310">
        <v>14</v>
      </c>
      <c r="P21" s="129">
        <f t="shared" si="0"/>
        <v>0</v>
      </c>
      <c r="Q21" s="129">
        <f t="shared" si="0"/>
        <v>0</v>
      </c>
      <c r="R21" s="106">
        <f t="shared" si="0"/>
        <v>28</v>
      </c>
      <c r="T21" s="106" t="str">
        <f t="shared" si="1"/>
        <v/>
      </c>
      <c r="U21" s="106" t="str">
        <f t="shared" si="1"/>
        <v/>
      </c>
      <c r="V21" s="106">
        <f t="shared" si="1"/>
        <v>28</v>
      </c>
      <c r="X21" s="106" t="str">
        <f t="shared" si="2"/>
        <v/>
      </c>
      <c r="Y21" s="106" t="str">
        <f t="shared" si="2"/>
        <v/>
      </c>
      <c r="Z21" s="106">
        <f t="shared" si="2"/>
        <v>28</v>
      </c>
      <c r="AA21" s="106" t="str">
        <f t="shared" si="2"/>
        <v/>
      </c>
    </row>
    <row r="22" spans="3:27" ht="15" outlineLevel="1" x14ac:dyDescent="0.25">
      <c r="C22" s="37" t="s">
        <v>576</v>
      </c>
      <c r="D22" s="285" t="str">
        <f>VLOOKUP($C22,'Typologie détaillée'!$E$4:$H$214,3,0)</f>
        <v>Grandes salles de réunion communes</v>
      </c>
      <c r="E22" s="286" t="str">
        <f>VLOOKUP($C22,'Typologie détaillée'!$E$4:$H$214,4,0)</f>
        <v>CSA</v>
      </c>
      <c r="F22" s="142" t="s">
        <v>24</v>
      </c>
      <c r="G22" s="90">
        <v>1</v>
      </c>
      <c r="H22" s="301" t="s">
        <v>1233</v>
      </c>
      <c r="I22" s="90">
        <v>0</v>
      </c>
      <c r="J22" s="90"/>
      <c r="K22" s="309">
        <f t="shared" si="4"/>
        <v>36</v>
      </c>
      <c r="L22" s="452" t="str">
        <f>VLOOKUP($C22,'Typologie détaillée'!$E$4:$L$214,6,0)</f>
        <v>PERS.</v>
      </c>
      <c r="M22" s="452">
        <f>VLOOKUP($C22,'Typologie détaillée'!$E$4:$L$214,7,0)</f>
        <v>2</v>
      </c>
      <c r="N22" s="310">
        <v>18</v>
      </c>
      <c r="P22" s="129">
        <f t="shared" si="0"/>
        <v>0</v>
      </c>
      <c r="Q22" s="129">
        <f t="shared" si="0"/>
        <v>0</v>
      </c>
      <c r="R22" s="106">
        <f t="shared" si="0"/>
        <v>36</v>
      </c>
      <c r="T22" s="106" t="str">
        <f t="shared" si="1"/>
        <v/>
      </c>
      <c r="U22" s="106" t="str">
        <f t="shared" si="1"/>
        <v/>
      </c>
      <c r="V22" s="106">
        <f t="shared" si="1"/>
        <v>36</v>
      </c>
      <c r="X22" s="106" t="str">
        <f t="shared" si="2"/>
        <v/>
      </c>
      <c r="Y22" s="106" t="str">
        <f t="shared" si="2"/>
        <v/>
      </c>
      <c r="Z22" s="106">
        <f t="shared" si="2"/>
        <v>36</v>
      </c>
      <c r="AA22" s="106" t="str">
        <f t="shared" si="2"/>
        <v/>
      </c>
    </row>
    <row r="23" spans="3:27" ht="15" outlineLevel="1" x14ac:dyDescent="0.25">
      <c r="C23" s="37" t="s">
        <v>576</v>
      </c>
      <c r="D23" s="285" t="str">
        <f>VLOOKUP($C23,'Typologie détaillée'!$E$4:$H$214,3,0)</f>
        <v>Grandes salles de réunion communes</v>
      </c>
      <c r="E23" s="286" t="str">
        <f>VLOOKUP($C23,'Typologie détaillée'!$E$4:$H$214,4,0)</f>
        <v>CSA</v>
      </c>
      <c r="F23" s="142" t="s">
        <v>24</v>
      </c>
      <c r="G23" s="90">
        <v>1</v>
      </c>
      <c r="H23" s="301" t="s">
        <v>1234</v>
      </c>
      <c r="I23" s="90">
        <v>0</v>
      </c>
      <c r="J23" s="90"/>
      <c r="K23" s="309">
        <f t="shared" si="4"/>
        <v>24</v>
      </c>
      <c r="L23" s="452" t="str">
        <f>VLOOKUP($C23,'Typologie détaillée'!$E$4:$L$214,6,0)</f>
        <v>PERS.</v>
      </c>
      <c r="M23" s="452">
        <f>VLOOKUP($C23,'Typologie détaillée'!$E$4:$L$214,7,0)</f>
        <v>2</v>
      </c>
      <c r="N23" s="310">
        <v>12</v>
      </c>
      <c r="P23" s="129">
        <f t="shared" si="0"/>
        <v>0</v>
      </c>
      <c r="Q23" s="129">
        <f t="shared" si="0"/>
        <v>0</v>
      </c>
      <c r="R23" s="106">
        <f t="shared" si="0"/>
        <v>24</v>
      </c>
      <c r="T23" s="106" t="str">
        <f t="shared" si="1"/>
        <v/>
      </c>
      <c r="U23" s="106" t="str">
        <f t="shared" si="1"/>
        <v/>
      </c>
      <c r="V23" s="106">
        <f t="shared" si="1"/>
        <v>24</v>
      </c>
      <c r="X23" s="106" t="str">
        <f t="shared" si="2"/>
        <v/>
      </c>
      <c r="Y23" s="106" t="str">
        <f t="shared" si="2"/>
        <v/>
      </c>
      <c r="Z23" s="106">
        <f t="shared" si="2"/>
        <v>24</v>
      </c>
      <c r="AA23" s="106" t="str">
        <f t="shared" si="2"/>
        <v/>
      </c>
    </row>
    <row r="24" spans="3:27" ht="15" outlineLevel="1" x14ac:dyDescent="0.25">
      <c r="C24" s="37" t="s">
        <v>576</v>
      </c>
      <c r="D24" s="285" t="str">
        <f>VLOOKUP($C24,'Typologie détaillée'!$E$4:$H$214,3,0)</f>
        <v>Grandes salles de réunion communes</v>
      </c>
      <c r="E24" s="286" t="str">
        <f>VLOOKUP($C24,'Typologie détaillée'!$E$4:$H$214,4,0)</f>
        <v>CSA</v>
      </c>
      <c r="F24" s="142" t="s">
        <v>24</v>
      </c>
      <c r="G24" s="90">
        <v>1</v>
      </c>
      <c r="H24" s="301" t="s">
        <v>1235</v>
      </c>
      <c r="I24" s="90">
        <v>0</v>
      </c>
      <c r="J24" s="90"/>
      <c r="K24" s="309">
        <f t="shared" si="4"/>
        <v>28</v>
      </c>
      <c r="L24" s="452" t="str">
        <f>VLOOKUP($C24,'Typologie détaillée'!$E$4:$L$214,6,0)</f>
        <v>PERS.</v>
      </c>
      <c r="M24" s="452">
        <f>VLOOKUP($C24,'Typologie détaillée'!$E$4:$L$214,7,0)</f>
        <v>2</v>
      </c>
      <c r="N24" s="310">
        <v>14</v>
      </c>
      <c r="P24" s="129">
        <f t="shared" si="0"/>
        <v>0</v>
      </c>
      <c r="Q24" s="129">
        <f t="shared" si="0"/>
        <v>0</v>
      </c>
      <c r="R24" s="106">
        <f t="shared" si="0"/>
        <v>28</v>
      </c>
      <c r="T24" s="106" t="str">
        <f t="shared" si="1"/>
        <v/>
      </c>
      <c r="U24" s="106" t="str">
        <f t="shared" si="1"/>
        <v/>
      </c>
      <c r="V24" s="106">
        <f t="shared" si="1"/>
        <v>28</v>
      </c>
      <c r="X24" s="106" t="str">
        <f t="shared" si="2"/>
        <v/>
      </c>
      <c r="Y24" s="106" t="str">
        <f t="shared" si="2"/>
        <v/>
      </c>
      <c r="Z24" s="106">
        <f t="shared" si="2"/>
        <v>28</v>
      </c>
      <c r="AA24" s="106" t="str">
        <f t="shared" si="2"/>
        <v/>
      </c>
    </row>
    <row r="25" spans="3:27" ht="15" outlineLevel="1" x14ac:dyDescent="0.25">
      <c r="C25" s="37" t="s">
        <v>576</v>
      </c>
      <c r="D25" s="285" t="str">
        <f>VLOOKUP($C25,'Typologie détaillée'!$E$4:$H$214,3,0)</f>
        <v>Grandes salles de réunion communes</v>
      </c>
      <c r="E25" s="286" t="str">
        <f>VLOOKUP($C25,'Typologie détaillée'!$E$4:$H$214,4,0)</f>
        <v>CSA</v>
      </c>
      <c r="F25" s="142" t="s">
        <v>24</v>
      </c>
      <c r="G25" s="90">
        <v>1</v>
      </c>
      <c r="H25" s="301" t="s">
        <v>1236</v>
      </c>
      <c r="I25" s="90">
        <v>0</v>
      </c>
      <c r="J25" s="90"/>
      <c r="K25" s="309">
        <f t="shared" si="4"/>
        <v>32</v>
      </c>
      <c r="L25" s="452" t="str">
        <f>VLOOKUP($C25,'Typologie détaillée'!$E$4:$L$214,6,0)</f>
        <v>PERS.</v>
      </c>
      <c r="M25" s="452">
        <f>VLOOKUP($C25,'Typologie détaillée'!$E$4:$L$214,7,0)</f>
        <v>2</v>
      </c>
      <c r="N25" s="310">
        <v>16</v>
      </c>
      <c r="P25" s="129">
        <f t="shared" ref="P25:P28" si="5">$G25*I25</f>
        <v>0</v>
      </c>
      <c r="Q25" s="129">
        <f t="shared" ref="Q25:Q28" si="6">$G25*J25</f>
        <v>0</v>
      </c>
      <c r="R25" s="106">
        <f t="shared" si="0"/>
        <v>32</v>
      </c>
      <c r="T25" s="106" t="str">
        <f t="shared" si="1"/>
        <v/>
      </c>
      <c r="U25" s="106" t="str">
        <f t="shared" si="1"/>
        <v/>
      </c>
      <c r="V25" s="106">
        <f t="shared" si="1"/>
        <v>32</v>
      </c>
      <c r="X25" s="106" t="str">
        <f t="shared" si="2"/>
        <v/>
      </c>
      <c r="Y25" s="106" t="str">
        <f t="shared" si="2"/>
        <v/>
      </c>
      <c r="Z25" s="106">
        <f t="shared" si="2"/>
        <v>32</v>
      </c>
      <c r="AA25" s="106" t="str">
        <f t="shared" si="2"/>
        <v/>
      </c>
    </row>
    <row r="26" spans="3:27" ht="15" outlineLevel="1" x14ac:dyDescent="0.25">
      <c r="C26" s="37" t="s">
        <v>576</v>
      </c>
      <c r="D26" s="285" t="str">
        <f>VLOOKUP($C26,'Typologie détaillée'!$E$4:$H$214,3,0)</f>
        <v>Grandes salles de réunion communes</v>
      </c>
      <c r="E26" s="286" t="str">
        <f>VLOOKUP($C26,'Typologie détaillée'!$E$4:$H$214,4,0)</f>
        <v>CSA</v>
      </c>
      <c r="F26" s="142" t="s">
        <v>24</v>
      </c>
      <c r="G26" s="90">
        <v>1</v>
      </c>
      <c r="H26" s="301" t="s">
        <v>1237</v>
      </c>
      <c r="I26" s="90">
        <v>0</v>
      </c>
      <c r="J26" s="90"/>
      <c r="K26" s="309">
        <f t="shared" si="4"/>
        <v>40</v>
      </c>
      <c r="L26" s="452" t="str">
        <f>VLOOKUP($C26,'Typologie détaillée'!$E$4:$L$214,6,0)</f>
        <v>PERS.</v>
      </c>
      <c r="M26" s="452">
        <f>VLOOKUP($C26,'Typologie détaillée'!$E$4:$L$214,7,0)</f>
        <v>2</v>
      </c>
      <c r="N26" s="310">
        <v>20</v>
      </c>
      <c r="P26" s="129">
        <f t="shared" si="5"/>
        <v>0</v>
      </c>
      <c r="Q26" s="129">
        <f t="shared" si="6"/>
        <v>0</v>
      </c>
      <c r="R26" s="106">
        <f t="shared" si="0"/>
        <v>40</v>
      </c>
      <c r="T26" s="106" t="str">
        <f t="shared" si="1"/>
        <v/>
      </c>
      <c r="U26" s="106" t="str">
        <f t="shared" si="1"/>
        <v/>
      </c>
      <c r="V26" s="106">
        <f t="shared" si="1"/>
        <v>40</v>
      </c>
      <c r="X26" s="106" t="str">
        <f t="shared" si="2"/>
        <v/>
      </c>
      <c r="Y26" s="106" t="str">
        <f t="shared" si="2"/>
        <v/>
      </c>
      <c r="Z26" s="106">
        <f t="shared" si="2"/>
        <v>40</v>
      </c>
      <c r="AA26" s="106" t="str">
        <f t="shared" si="2"/>
        <v/>
      </c>
    </row>
    <row r="27" spans="3:27" ht="15" outlineLevel="1" x14ac:dyDescent="0.25">
      <c r="C27" s="37" t="s">
        <v>576</v>
      </c>
      <c r="D27" s="285" t="str">
        <f>VLOOKUP($C27,'Typologie détaillée'!$E$4:$H$214,3,0)</f>
        <v>Grandes salles de réunion communes</v>
      </c>
      <c r="E27" s="286" t="str">
        <f>VLOOKUP($C27,'Typologie détaillée'!$E$4:$H$214,4,0)</f>
        <v>CSA</v>
      </c>
      <c r="F27" s="142" t="s">
        <v>24</v>
      </c>
      <c r="G27" s="90">
        <v>1</v>
      </c>
      <c r="H27" s="301" t="s">
        <v>1238</v>
      </c>
      <c r="I27" s="90">
        <v>0</v>
      </c>
      <c r="J27" s="90"/>
      <c r="K27" s="309">
        <f t="shared" si="4"/>
        <v>24</v>
      </c>
      <c r="L27" s="452" t="str">
        <f>VLOOKUP($C27,'Typologie détaillée'!$E$4:$L$214,6,0)</f>
        <v>PERS.</v>
      </c>
      <c r="M27" s="452">
        <f>VLOOKUP($C27,'Typologie détaillée'!$E$4:$L$214,7,0)</f>
        <v>2</v>
      </c>
      <c r="N27" s="310">
        <v>12</v>
      </c>
      <c r="P27" s="129">
        <f t="shared" si="5"/>
        <v>0</v>
      </c>
      <c r="Q27" s="129">
        <f t="shared" si="6"/>
        <v>0</v>
      </c>
      <c r="R27" s="106">
        <f t="shared" si="0"/>
        <v>24</v>
      </c>
      <c r="T27" s="106" t="str">
        <f t="shared" si="1"/>
        <v/>
      </c>
      <c r="U27" s="106" t="str">
        <f t="shared" si="1"/>
        <v/>
      </c>
      <c r="V27" s="106">
        <f t="shared" si="1"/>
        <v>24</v>
      </c>
      <c r="X27" s="106" t="str">
        <f t="shared" si="2"/>
        <v/>
      </c>
      <c r="Y27" s="106" t="str">
        <f t="shared" si="2"/>
        <v/>
      </c>
      <c r="Z27" s="106">
        <f t="shared" si="2"/>
        <v>24</v>
      </c>
      <c r="AA27" s="106" t="str">
        <f t="shared" si="2"/>
        <v/>
      </c>
    </row>
    <row r="28" spans="3:27" ht="15" outlineLevel="1" x14ac:dyDescent="0.25">
      <c r="C28" s="37" t="s">
        <v>576</v>
      </c>
      <c r="D28" s="285" t="str">
        <f>VLOOKUP($C28,'Typologie détaillée'!$E$4:$H$214,3,0)</f>
        <v>Grandes salles de réunion communes</v>
      </c>
      <c r="E28" s="286" t="str">
        <f>VLOOKUP($C28,'Typologie détaillée'!$E$4:$H$214,4,0)</f>
        <v>CSA</v>
      </c>
      <c r="F28" s="142" t="s">
        <v>24</v>
      </c>
      <c r="G28" s="90">
        <v>1</v>
      </c>
      <c r="H28" s="301" t="s">
        <v>1239</v>
      </c>
      <c r="I28" s="90">
        <v>0</v>
      </c>
      <c r="J28" s="90"/>
      <c r="K28" s="309">
        <f t="shared" si="4"/>
        <v>24</v>
      </c>
      <c r="L28" s="452" t="str">
        <f>VLOOKUP($C28,'Typologie détaillée'!$E$4:$L$214,6,0)</f>
        <v>PERS.</v>
      </c>
      <c r="M28" s="452">
        <f>VLOOKUP($C28,'Typologie détaillée'!$E$4:$L$214,7,0)</f>
        <v>2</v>
      </c>
      <c r="N28" s="310">
        <v>12</v>
      </c>
      <c r="P28" s="129">
        <f t="shared" si="5"/>
        <v>0</v>
      </c>
      <c r="Q28" s="129">
        <f t="shared" si="6"/>
        <v>0</v>
      </c>
      <c r="R28" s="106">
        <f t="shared" ref="R28:R76" si="7">$G28*K28</f>
        <v>24</v>
      </c>
      <c r="T28" s="106" t="str">
        <f t="shared" si="1"/>
        <v/>
      </c>
      <c r="U28" s="106" t="str">
        <f t="shared" si="1"/>
        <v/>
      </c>
      <c r="V28" s="106">
        <f t="shared" si="1"/>
        <v>24</v>
      </c>
      <c r="X28" s="106" t="str">
        <f t="shared" si="2"/>
        <v/>
      </c>
      <c r="Y28" s="106" t="str">
        <f t="shared" si="2"/>
        <v/>
      </c>
      <c r="Z28" s="106">
        <f t="shared" si="2"/>
        <v>24</v>
      </c>
      <c r="AA28" s="106" t="str">
        <f t="shared" si="2"/>
        <v/>
      </c>
    </row>
    <row r="29" spans="3:27" ht="15" outlineLevel="1" x14ac:dyDescent="0.25">
      <c r="C29" s="37" t="s">
        <v>576</v>
      </c>
      <c r="D29" s="285" t="str">
        <f>VLOOKUP($C29,'Typologie détaillée'!$E$4:$H$214,3,0)</f>
        <v>Grandes salles de réunion communes</v>
      </c>
      <c r="E29" s="286" t="str">
        <f>VLOOKUP($C29,'Typologie détaillée'!$E$4:$H$214,4,0)</f>
        <v>CSA</v>
      </c>
      <c r="F29" s="142" t="s">
        <v>24</v>
      </c>
      <c r="G29" s="90">
        <v>1</v>
      </c>
      <c r="H29" s="301" t="s">
        <v>1248</v>
      </c>
      <c r="I29" s="90">
        <v>0</v>
      </c>
      <c r="J29" s="90"/>
      <c r="K29" s="309">
        <f t="shared" si="4"/>
        <v>48</v>
      </c>
      <c r="L29" s="452" t="str">
        <f>VLOOKUP($C29,'Typologie détaillée'!$E$4:$L$214,6,0)</f>
        <v>PERS.</v>
      </c>
      <c r="M29" s="452">
        <f>VLOOKUP($C29,'Typologie détaillée'!$E$4:$L$214,7,0)</f>
        <v>2</v>
      </c>
      <c r="N29" s="310">
        <v>24</v>
      </c>
      <c r="P29" s="129">
        <f t="shared" ref="P29:P69" si="8">$G29*I29</f>
        <v>0</v>
      </c>
      <c r="Q29" s="129">
        <f t="shared" ref="Q29:Q69" si="9">$G29*J29</f>
        <v>0</v>
      </c>
      <c r="R29" s="106">
        <f t="shared" si="7"/>
        <v>48</v>
      </c>
      <c r="T29" s="106" t="str">
        <f t="shared" si="1"/>
        <v/>
      </c>
      <c r="U29" s="106" t="str">
        <f t="shared" si="1"/>
        <v/>
      </c>
      <c r="V29" s="106">
        <f t="shared" si="1"/>
        <v>48</v>
      </c>
      <c r="X29" s="106" t="str">
        <f t="shared" si="2"/>
        <v/>
      </c>
      <c r="Y29" s="106" t="str">
        <f t="shared" si="2"/>
        <v/>
      </c>
      <c r="Z29" s="106">
        <f t="shared" si="2"/>
        <v>48</v>
      </c>
      <c r="AA29" s="106" t="str">
        <f t="shared" si="2"/>
        <v/>
      </c>
    </row>
    <row r="30" spans="3:27" ht="15" outlineLevel="1" x14ac:dyDescent="0.25">
      <c r="C30" s="37" t="s">
        <v>576</v>
      </c>
      <c r="D30" s="285" t="str">
        <f>VLOOKUP($C30,'Typologie détaillée'!$E$4:$H$214,3,0)</f>
        <v>Grandes salles de réunion communes</v>
      </c>
      <c r="E30" s="286" t="str">
        <f>VLOOKUP($C30,'Typologie détaillée'!$E$4:$H$214,4,0)</f>
        <v>CSA</v>
      </c>
      <c r="F30" s="142" t="s">
        <v>24</v>
      </c>
      <c r="G30" s="90">
        <v>1</v>
      </c>
      <c r="H30" s="301" t="s">
        <v>1240</v>
      </c>
      <c r="I30" s="90">
        <v>0</v>
      </c>
      <c r="J30" s="90"/>
      <c r="K30" s="309">
        <f t="shared" si="4"/>
        <v>24</v>
      </c>
      <c r="L30" s="452" t="str">
        <f>VLOOKUP($C30,'Typologie détaillée'!$E$4:$L$214,6,0)</f>
        <v>PERS.</v>
      </c>
      <c r="M30" s="452">
        <f>VLOOKUP($C30,'Typologie détaillée'!$E$4:$L$214,7,0)</f>
        <v>2</v>
      </c>
      <c r="N30" s="310">
        <v>12</v>
      </c>
      <c r="P30" s="129">
        <f t="shared" si="8"/>
        <v>0</v>
      </c>
      <c r="Q30" s="129">
        <f t="shared" si="9"/>
        <v>0</v>
      </c>
      <c r="R30" s="106">
        <f t="shared" si="7"/>
        <v>24</v>
      </c>
      <c r="T30" s="106" t="str">
        <f t="shared" si="1"/>
        <v/>
      </c>
      <c r="U30" s="106" t="str">
        <f t="shared" si="1"/>
        <v/>
      </c>
      <c r="V30" s="106">
        <f t="shared" si="1"/>
        <v>24</v>
      </c>
      <c r="X30" s="106" t="str">
        <f t="shared" si="2"/>
        <v/>
      </c>
      <c r="Y30" s="106" t="str">
        <f t="shared" si="2"/>
        <v/>
      </c>
      <c r="Z30" s="106">
        <f t="shared" si="2"/>
        <v>24</v>
      </c>
      <c r="AA30" s="106" t="str">
        <f t="shared" si="2"/>
        <v/>
      </c>
    </row>
    <row r="31" spans="3:27" ht="15" outlineLevel="1" x14ac:dyDescent="0.25">
      <c r="C31" s="37" t="s">
        <v>576</v>
      </c>
      <c r="D31" s="285" t="str">
        <f>VLOOKUP($C31,'Typologie détaillée'!$E$4:$H$214,3,0)</f>
        <v>Grandes salles de réunion communes</v>
      </c>
      <c r="E31" s="286" t="str">
        <f>VLOOKUP($C31,'Typologie détaillée'!$E$4:$H$214,4,0)</f>
        <v>CSA</v>
      </c>
      <c r="F31" s="142" t="s">
        <v>24</v>
      </c>
      <c r="G31" s="90">
        <v>1</v>
      </c>
      <c r="H31" s="455" t="s">
        <v>1241</v>
      </c>
      <c r="I31" s="90">
        <v>0</v>
      </c>
      <c r="J31" s="90"/>
      <c r="K31" s="309">
        <f t="shared" si="4"/>
        <v>0</v>
      </c>
      <c r="L31" s="452" t="str">
        <f>VLOOKUP($C31,'Typologie détaillée'!$E$4:$L$214,6,0)</f>
        <v>PERS.</v>
      </c>
      <c r="M31" s="452">
        <f>VLOOKUP($C31,'Typologie détaillée'!$E$4:$L$214,7,0)</f>
        <v>2</v>
      </c>
      <c r="N31" s="310">
        <v>0</v>
      </c>
      <c r="P31" s="129">
        <f t="shared" si="8"/>
        <v>0</v>
      </c>
      <c r="Q31" s="129">
        <f t="shared" si="9"/>
        <v>0</v>
      </c>
      <c r="R31" s="106">
        <f t="shared" si="7"/>
        <v>0</v>
      </c>
      <c r="T31" s="106" t="str">
        <f t="shared" si="1"/>
        <v/>
      </c>
      <c r="U31" s="106" t="str">
        <f t="shared" si="1"/>
        <v/>
      </c>
      <c r="V31" s="106">
        <f t="shared" si="1"/>
        <v>0</v>
      </c>
      <c r="X31" s="106" t="str">
        <f t="shared" si="2"/>
        <v/>
      </c>
      <c r="Y31" s="106" t="str">
        <f t="shared" si="2"/>
        <v/>
      </c>
      <c r="Z31" s="106">
        <f t="shared" si="2"/>
        <v>0</v>
      </c>
      <c r="AA31" s="106" t="str">
        <f t="shared" si="2"/>
        <v/>
      </c>
    </row>
    <row r="32" spans="3:27" ht="15" outlineLevel="1" x14ac:dyDescent="0.25">
      <c r="C32" s="37" t="s">
        <v>576</v>
      </c>
      <c r="D32" s="285" t="str">
        <f>VLOOKUP($C32,'Typologie détaillée'!$E$4:$H$214,3,0)</f>
        <v>Grandes salles de réunion communes</v>
      </c>
      <c r="E32" s="286" t="str">
        <f>VLOOKUP($C32,'Typologie détaillée'!$E$4:$H$214,4,0)</f>
        <v>CSA</v>
      </c>
      <c r="F32" s="142" t="s">
        <v>24</v>
      </c>
      <c r="G32" s="90">
        <v>1</v>
      </c>
      <c r="H32" s="455" t="s">
        <v>1242</v>
      </c>
      <c r="I32" s="90">
        <v>0</v>
      </c>
      <c r="J32" s="90"/>
      <c r="K32" s="309">
        <f t="shared" si="4"/>
        <v>0</v>
      </c>
      <c r="L32" s="452" t="str">
        <f>VLOOKUP($C32,'Typologie détaillée'!$E$4:$L$214,6,0)</f>
        <v>PERS.</v>
      </c>
      <c r="M32" s="452">
        <f>VLOOKUP($C32,'Typologie détaillée'!$E$4:$L$214,7,0)</f>
        <v>2</v>
      </c>
      <c r="N32" s="310">
        <v>0</v>
      </c>
      <c r="P32" s="129">
        <f t="shared" si="8"/>
        <v>0</v>
      </c>
      <c r="Q32" s="129">
        <f t="shared" si="9"/>
        <v>0</v>
      </c>
      <c r="R32" s="106">
        <f t="shared" si="7"/>
        <v>0</v>
      </c>
      <c r="T32" s="106" t="str">
        <f t="shared" si="1"/>
        <v/>
      </c>
      <c r="U32" s="106" t="str">
        <f t="shared" si="1"/>
        <v/>
      </c>
      <c r="V32" s="106">
        <f t="shared" si="1"/>
        <v>0</v>
      </c>
      <c r="X32" s="106" t="str">
        <f t="shared" si="2"/>
        <v/>
      </c>
      <c r="Y32" s="106" t="str">
        <f t="shared" si="2"/>
        <v/>
      </c>
      <c r="Z32" s="106">
        <f t="shared" si="2"/>
        <v>0</v>
      </c>
      <c r="AA32" s="106" t="str">
        <f t="shared" si="2"/>
        <v/>
      </c>
    </row>
    <row r="33" spans="3:27" ht="15" outlineLevel="1" x14ac:dyDescent="0.25">
      <c r="C33" s="37" t="s">
        <v>576</v>
      </c>
      <c r="D33" s="285" t="str">
        <f>VLOOKUP($C33,'Typologie détaillée'!$E$4:$H$214,3,0)</f>
        <v>Grandes salles de réunion communes</v>
      </c>
      <c r="E33" s="286" t="str">
        <f>VLOOKUP($C33,'Typologie détaillée'!$E$4:$H$214,4,0)</f>
        <v>CSA</v>
      </c>
      <c r="F33" s="142" t="s">
        <v>24</v>
      </c>
      <c r="G33" s="90">
        <v>1</v>
      </c>
      <c r="H33" s="301" t="s">
        <v>1243</v>
      </c>
      <c r="I33" s="90">
        <v>0</v>
      </c>
      <c r="J33" s="90"/>
      <c r="K33" s="309">
        <f t="shared" si="4"/>
        <v>40</v>
      </c>
      <c r="L33" s="452" t="str">
        <f>VLOOKUP($C33,'Typologie détaillée'!$E$4:$L$214,6,0)</f>
        <v>PERS.</v>
      </c>
      <c r="M33" s="452">
        <f>VLOOKUP($C33,'Typologie détaillée'!$E$4:$L$214,7,0)</f>
        <v>2</v>
      </c>
      <c r="N33" s="310">
        <v>20</v>
      </c>
      <c r="P33" s="129">
        <f t="shared" si="8"/>
        <v>0</v>
      </c>
      <c r="Q33" s="129">
        <f t="shared" si="9"/>
        <v>0</v>
      </c>
      <c r="R33" s="106">
        <f t="shared" si="7"/>
        <v>40</v>
      </c>
      <c r="T33" s="106" t="str">
        <f t="shared" si="1"/>
        <v/>
      </c>
      <c r="U33" s="106" t="str">
        <f t="shared" si="1"/>
        <v/>
      </c>
      <c r="V33" s="106">
        <f t="shared" si="1"/>
        <v>40</v>
      </c>
      <c r="X33" s="106" t="str">
        <f t="shared" si="2"/>
        <v/>
      </c>
      <c r="Y33" s="106" t="str">
        <f t="shared" si="2"/>
        <v/>
      </c>
      <c r="Z33" s="106">
        <f t="shared" si="2"/>
        <v>40</v>
      </c>
      <c r="AA33" s="106" t="str">
        <f t="shared" ref="X33:AA76" si="10">IF($F33=AA$4,$R33,"")</f>
        <v/>
      </c>
    </row>
    <row r="34" spans="3:27" ht="15" outlineLevel="1" x14ac:dyDescent="0.25">
      <c r="C34" s="37" t="s">
        <v>576</v>
      </c>
      <c r="D34" s="285" t="str">
        <f>VLOOKUP($C34,'Typologie détaillée'!$E$4:$H$214,3,0)</f>
        <v>Grandes salles de réunion communes</v>
      </c>
      <c r="E34" s="286" t="str">
        <f>VLOOKUP($C34,'Typologie détaillée'!$E$4:$H$214,4,0)</f>
        <v>CSA</v>
      </c>
      <c r="F34" s="142" t="s">
        <v>24</v>
      </c>
      <c r="G34" s="90">
        <v>1</v>
      </c>
      <c r="H34" s="301" t="s">
        <v>1244</v>
      </c>
      <c r="I34" s="90">
        <v>0</v>
      </c>
      <c r="J34" s="90"/>
      <c r="K34" s="309">
        <f t="shared" si="4"/>
        <v>24</v>
      </c>
      <c r="L34" s="452" t="str">
        <f>VLOOKUP($C34,'Typologie détaillée'!$E$4:$L$214,6,0)</f>
        <v>PERS.</v>
      </c>
      <c r="M34" s="452">
        <f>VLOOKUP($C34,'Typologie détaillée'!$E$4:$L$214,7,0)</f>
        <v>2</v>
      </c>
      <c r="N34" s="310">
        <v>12</v>
      </c>
      <c r="P34" s="129">
        <f t="shared" si="8"/>
        <v>0</v>
      </c>
      <c r="Q34" s="129">
        <f t="shared" si="9"/>
        <v>0</v>
      </c>
      <c r="R34" s="106">
        <f t="shared" si="7"/>
        <v>24</v>
      </c>
      <c r="T34" s="106" t="str">
        <f t="shared" si="1"/>
        <v/>
      </c>
      <c r="U34" s="106" t="str">
        <f t="shared" si="1"/>
        <v/>
      </c>
      <c r="V34" s="106">
        <f t="shared" si="1"/>
        <v>24</v>
      </c>
      <c r="X34" s="106" t="str">
        <f t="shared" si="10"/>
        <v/>
      </c>
      <c r="Y34" s="106" t="str">
        <f t="shared" si="10"/>
        <v/>
      </c>
      <c r="Z34" s="106">
        <f t="shared" si="10"/>
        <v>24</v>
      </c>
      <c r="AA34" s="106" t="str">
        <f t="shared" si="10"/>
        <v/>
      </c>
    </row>
    <row r="35" spans="3:27" ht="15" outlineLevel="1" x14ac:dyDescent="0.25">
      <c r="C35" s="37" t="s">
        <v>576</v>
      </c>
      <c r="D35" s="285" t="str">
        <f>VLOOKUP($C35,'Typologie détaillée'!$E$4:$H$214,3,0)</f>
        <v>Grandes salles de réunion communes</v>
      </c>
      <c r="E35" s="286" t="str">
        <f>VLOOKUP($C35,'Typologie détaillée'!$E$4:$H$214,4,0)</f>
        <v>CSA</v>
      </c>
      <c r="F35" s="142" t="s">
        <v>24</v>
      </c>
      <c r="G35" s="90">
        <v>1</v>
      </c>
      <c r="H35" s="455" t="s">
        <v>1245</v>
      </c>
      <c r="I35" s="90">
        <v>0</v>
      </c>
      <c r="J35" s="90"/>
      <c r="K35" s="309">
        <f t="shared" si="4"/>
        <v>0</v>
      </c>
      <c r="L35" s="452" t="str">
        <f>VLOOKUP($C35,'Typologie détaillée'!$E$4:$L$214,6,0)</f>
        <v>PERS.</v>
      </c>
      <c r="M35" s="452">
        <f>VLOOKUP($C35,'Typologie détaillée'!$E$4:$L$214,7,0)</f>
        <v>2</v>
      </c>
      <c r="N35" s="310">
        <v>0</v>
      </c>
      <c r="P35" s="129">
        <f t="shared" si="8"/>
        <v>0</v>
      </c>
      <c r="Q35" s="129">
        <f t="shared" si="9"/>
        <v>0</v>
      </c>
      <c r="R35" s="106">
        <f t="shared" si="7"/>
        <v>0</v>
      </c>
      <c r="T35" s="106" t="str">
        <f t="shared" si="1"/>
        <v/>
      </c>
      <c r="U35" s="106" t="str">
        <f t="shared" si="1"/>
        <v/>
      </c>
      <c r="V35" s="106">
        <f t="shared" si="1"/>
        <v>0</v>
      </c>
      <c r="X35" s="106" t="str">
        <f t="shared" si="10"/>
        <v/>
      </c>
      <c r="Y35" s="106" t="str">
        <f t="shared" si="10"/>
        <v/>
      </c>
      <c r="Z35" s="106">
        <f t="shared" si="10"/>
        <v>0</v>
      </c>
      <c r="AA35" s="106" t="str">
        <f t="shared" si="10"/>
        <v/>
      </c>
    </row>
    <row r="36" spans="3:27" ht="15" outlineLevel="1" x14ac:dyDescent="0.25">
      <c r="C36" s="37" t="s">
        <v>576</v>
      </c>
      <c r="D36" s="285" t="str">
        <f>VLOOKUP($C36,'Typologie détaillée'!$E$4:$H$214,3,0)</f>
        <v>Grandes salles de réunion communes</v>
      </c>
      <c r="E36" s="286" t="str">
        <f>VLOOKUP($C36,'Typologie détaillée'!$E$4:$H$214,4,0)</f>
        <v>CSA</v>
      </c>
      <c r="F36" s="142" t="s">
        <v>24</v>
      </c>
      <c r="G36" s="90">
        <v>1</v>
      </c>
      <c r="H36" s="301" t="s">
        <v>1246</v>
      </c>
      <c r="I36" s="90">
        <v>0</v>
      </c>
      <c r="J36" s="90"/>
      <c r="K36" s="309">
        <f t="shared" si="4"/>
        <v>32</v>
      </c>
      <c r="L36" s="452" t="str">
        <f>VLOOKUP($C36,'Typologie détaillée'!$E$4:$L$214,6,0)</f>
        <v>PERS.</v>
      </c>
      <c r="M36" s="452">
        <f>VLOOKUP($C36,'Typologie détaillée'!$E$4:$L$214,7,0)</f>
        <v>2</v>
      </c>
      <c r="N36" s="310">
        <v>16</v>
      </c>
      <c r="P36" s="129">
        <f t="shared" si="8"/>
        <v>0</v>
      </c>
      <c r="Q36" s="129">
        <f t="shared" si="9"/>
        <v>0</v>
      </c>
      <c r="R36" s="106">
        <f t="shared" si="7"/>
        <v>32</v>
      </c>
      <c r="T36" s="106" t="str">
        <f t="shared" si="1"/>
        <v/>
      </c>
      <c r="U36" s="106" t="str">
        <f t="shared" si="1"/>
        <v/>
      </c>
      <c r="V36" s="106">
        <f t="shared" si="1"/>
        <v>32</v>
      </c>
      <c r="X36" s="106" t="str">
        <f t="shared" si="10"/>
        <v/>
      </c>
      <c r="Y36" s="106" t="str">
        <f t="shared" si="10"/>
        <v/>
      </c>
      <c r="Z36" s="106">
        <f t="shared" si="10"/>
        <v>32</v>
      </c>
      <c r="AA36" s="106" t="str">
        <f t="shared" si="10"/>
        <v/>
      </c>
    </row>
    <row r="37" spans="3:27" ht="15" outlineLevel="1" x14ac:dyDescent="0.25">
      <c r="C37" s="37" t="s">
        <v>576</v>
      </c>
      <c r="D37" s="285" t="str">
        <f>VLOOKUP($C37,'Typologie détaillée'!$E$4:$H$214,3,0)</f>
        <v>Grandes salles de réunion communes</v>
      </c>
      <c r="E37" s="286" t="str">
        <f>VLOOKUP($C37,'Typologie détaillée'!$E$4:$H$214,4,0)</f>
        <v>CSA</v>
      </c>
      <c r="F37" s="142" t="s">
        <v>24</v>
      </c>
      <c r="G37" s="90">
        <v>1</v>
      </c>
      <c r="H37" s="455" t="s">
        <v>1247</v>
      </c>
      <c r="I37" s="90">
        <v>0</v>
      </c>
      <c r="J37" s="90"/>
      <c r="K37" s="309">
        <f t="shared" si="4"/>
        <v>0</v>
      </c>
      <c r="L37" s="452" t="str">
        <f>VLOOKUP($C37,'Typologie détaillée'!$E$4:$L$214,6,0)</f>
        <v>PERS.</v>
      </c>
      <c r="M37" s="452">
        <f>VLOOKUP($C37,'Typologie détaillée'!$E$4:$L$214,7,0)</f>
        <v>2</v>
      </c>
      <c r="N37" s="310">
        <v>0</v>
      </c>
      <c r="P37" s="129">
        <f t="shared" si="8"/>
        <v>0</v>
      </c>
      <c r="Q37" s="129">
        <f t="shared" si="9"/>
        <v>0</v>
      </c>
      <c r="R37" s="106">
        <f t="shared" si="7"/>
        <v>0</v>
      </c>
      <c r="T37" s="106" t="str">
        <f t="shared" si="1"/>
        <v/>
      </c>
      <c r="U37" s="106" t="str">
        <f t="shared" si="1"/>
        <v/>
      </c>
      <c r="V37" s="106">
        <f t="shared" si="1"/>
        <v>0</v>
      </c>
      <c r="X37" s="106" t="str">
        <f t="shared" si="10"/>
        <v/>
      </c>
      <c r="Y37" s="106" t="str">
        <f t="shared" si="10"/>
        <v/>
      </c>
      <c r="Z37" s="106">
        <f t="shared" si="10"/>
        <v>0</v>
      </c>
      <c r="AA37" s="106" t="str">
        <f t="shared" si="10"/>
        <v/>
      </c>
    </row>
    <row r="38" spans="3:27" ht="15" outlineLevel="1" x14ac:dyDescent="0.25">
      <c r="C38" s="37" t="s">
        <v>576</v>
      </c>
      <c r="D38" s="285" t="str">
        <f>VLOOKUP($C38,'Typologie détaillée'!$E$4:$H$214,3,0)</f>
        <v>Grandes salles de réunion communes</v>
      </c>
      <c r="E38" s="286" t="str">
        <f>VLOOKUP($C38,'Typologie détaillée'!$E$4:$H$214,4,0)</f>
        <v>CSA</v>
      </c>
      <c r="F38" s="142" t="s">
        <v>24</v>
      </c>
      <c r="G38" s="90">
        <v>1</v>
      </c>
      <c r="H38" s="455" t="s">
        <v>1249</v>
      </c>
      <c r="I38" s="90">
        <v>0</v>
      </c>
      <c r="J38" s="90"/>
      <c r="K38" s="309">
        <f t="shared" si="4"/>
        <v>0</v>
      </c>
      <c r="L38" s="452" t="str">
        <f>VLOOKUP($C38,'Typologie détaillée'!$E$4:$L$214,6,0)</f>
        <v>PERS.</v>
      </c>
      <c r="M38" s="452">
        <f>VLOOKUP($C38,'Typologie détaillée'!$E$4:$L$214,7,0)</f>
        <v>2</v>
      </c>
      <c r="N38" s="310">
        <v>0</v>
      </c>
      <c r="P38" s="129">
        <f t="shared" si="8"/>
        <v>0</v>
      </c>
      <c r="Q38" s="129">
        <f t="shared" si="9"/>
        <v>0</v>
      </c>
      <c r="R38" s="106">
        <f t="shared" si="7"/>
        <v>0</v>
      </c>
      <c r="T38" s="106" t="str">
        <f t="shared" si="1"/>
        <v/>
      </c>
      <c r="U38" s="106" t="str">
        <f t="shared" si="1"/>
        <v/>
      </c>
      <c r="V38" s="106">
        <f t="shared" si="1"/>
        <v>0</v>
      </c>
      <c r="X38" s="106" t="str">
        <f t="shared" si="10"/>
        <v/>
      </c>
      <c r="Y38" s="106" t="str">
        <f t="shared" si="10"/>
        <v/>
      </c>
      <c r="Z38" s="106">
        <f t="shared" si="10"/>
        <v>0</v>
      </c>
      <c r="AA38" s="106" t="str">
        <f t="shared" si="10"/>
        <v/>
      </c>
    </row>
    <row r="39" spans="3:27" ht="15" outlineLevel="1" x14ac:dyDescent="0.25">
      <c r="C39" s="37" t="s">
        <v>576</v>
      </c>
      <c r="D39" s="285" t="str">
        <f>VLOOKUP($C39,'Typologie détaillée'!$E$4:$H$214,3,0)</f>
        <v>Grandes salles de réunion communes</v>
      </c>
      <c r="E39" s="286" t="str">
        <f>VLOOKUP($C39,'Typologie détaillée'!$E$4:$H$214,4,0)</f>
        <v>CSA</v>
      </c>
      <c r="F39" s="142" t="s">
        <v>24</v>
      </c>
      <c r="G39" s="90">
        <v>1</v>
      </c>
      <c r="H39" s="455" t="s">
        <v>1250</v>
      </c>
      <c r="I39" s="90">
        <v>0</v>
      </c>
      <c r="J39" s="90"/>
      <c r="K39" s="309">
        <f t="shared" si="4"/>
        <v>0</v>
      </c>
      <c r="L39" s="452" t="str">
        <f>VLOOKUP($C39,'Typologie détaillée'!$E$4:$L$214,6,0)</f>
        <v>PERS.</v>
      </c>
      <c r="M39" s="452">
        <f>VLOOKUP($C39,'Typologie détaillée'!$E$4:$L$214,7,0)</f>
        <v>2</v>
      </c>
      <c r="N39" s="310">
        <v>0</v>
      </c>
      <c r="P39" s="129">
        <f t="shared" si="8"/>
        <v>0</v>
      </c>
      <c r="Q39" s="129">
        <f t="shared" si="9"/>
        <v>0</v>
      </c>
      <c r="R39" s="106">
        <f t="shared" si="7"/>
        <v>0</v>
      </c>
      <c r="T39" s="106" t="str">
        <f t="shared" si="1"/>
        <v/>
      </c>
      <c r="U39" s="106" t="str">
        <f t="shared" si="1"/>
        <v/>
      </c>
      <c r="V39" s="106">
        <f t="shared" si="1"/>
        <v>0</v>
      </c>
      <c r="X39" s="106" t="str">
        <f t="shared" si="10"/>
        <v/>
      </c>
      <c r="Y39" s="106" t="str">
        <f t="shared" si="10"/>
        <v/>
      </c>
      <c r="Z39" s="106">
        <f t="shared" si="10"/>
        <v>0</v>
      </c>
      <c r="AA39" s="106" t="str">
        <f t="shared" si="10"/>
        <v/>
      </c>
    </row>
    <row r="40" spans="3:27" ht="15" outlineLevel="1" x14ac:dyDescent="0.25">
      <c r="C40" s="37" t="s">
        <v>576</v>
      </c>
      <c r="D40" s="285" t="str">
        <f>VLOOKUP($C40,'Typologie détaillée'!$E$4:$H$214,3,0)</f>
        <v>Grandes salles de réunion communes</v>
      </c>
      <c r="E40" s="286" t="str">
        <f>VLOOKUP($C40,'Typologie détaillée'!$E$4:$H$214,4,0)</f>
        <v>CSA</v>
      </c>
      <c r="F40" s="142" t="s">
        <v>24</v>
      </c>
      <c r="G40" s="90">
        <v>1</v>
      </c>
      <c r="H40" s="301" t="s">
        <v>1251</v>
      </c>
      <c r="I40" s="90">
        <v>0</v>
      </c>
      <c r="J40" s="90"/>
      <c r="K40" s="309">
        <f t="shared" si="4"/>
        <v>26</v>
      </c>
      <c r="L40" s="452" t="str">
        <f>VLOOKUP($C40,'Typologie détaillée'!$E$4:$L$214,6,0)</f>
        <v>PERS.</v>
      </c>
      <c r="M40" s="452">
        <f>VLOOKUP($C40,'Typologie détaillée'!$E$4:$L$214,7,0)</f>
        <v>2</v>
      </c>
      <c r="N40" s="310">
        <v>13</v>
      </c>
      <c r="P40" s="129">
        <f t="shared" si="8"/>
        <v>0</v>
      </c>
      <c r="Q40" s="129">
        <f t="shared" si="9"/>
        <v>0</v>
      </c>
      <c r="R40" s="106">
        <f t="shared" si="7"/>
        <v>26</v>
      </c>
      <c r="T40" s="106" t="str">
        <f t="shared" si="1"/>
        <v/>
      </c>
      <c r="U40" s="106" t="str">
        <f t="shared" si="1"/>
        <v/>
      </c>
      <c r="V40" s="106">
        <f t="shared" si="1"/>
        <v>26</v>
      </c>
      <c r="X40" s="106" t="str">
        <f t="shared" si="10"/>
        <v/>
      </c>
      <c r="Y40" s="106" t="str">
        <f t="shared" si="10"/>
        <v/>
      </c>
      <c r="Z40" s="106">
        <f t="shared" si="10"/>
        <v>26</v>
      </c>
      <c r="AA40" s="106" t="str">
        <f t="shared" si="10"/>
        <v/>
      </c>
    </row>
    <row r="41" spans="3:27" ht="15" outlineLevel="1" x14ac:dyDescent="0.25">
      <c r="C41" s="37" t="s">
        <v>576</v>
      </c>
      <c r="D41" s="285" t="str">
        <f>VLOOKUP($C41,'Typologie détaillée'!$E$4:$H$214,3,0)</f>
        <v>Grandes salles de réunion communes</v>
      </c>
      <c r="E41" s="286" t="str">
        <f>VLOOKUP($C41,'Typologie détaillée'!$E$4:$H$214,4,0)</f>
        <v>CSA</v>
      </c>
      <c r="F41" s="142" t="s">
        <v>24</v>
      </c>
      <c r="G41" s="90">
        <v>1</v>
      </c>
      <c r="H41" s="301" t="s">
        <v>1252</v>
      </c>
      <c r="I41" s="90">
        <v>0</v>
      </c>
      <c r="J41" s="90"/>
      <c r="K41" s="309">
        <f t="shared" si="4"/>
        <v>26</v>
      </c>
      <c r="L41" s="452" t="str">
        <f>VLOOKUP($C41,'Typologie détaillée'!$E$4:$L$214,6,0)</f>
        <v>PERS.</v>
      </c>
      <c r="M41" s="452">
        <f>VLOOKUP($C41,'Typologie détaillée'!$E$4:$L$214,7,0)</f>
        <v>2</v>
      </c>
      <c r="N41" s="310">
        <v>13</v>
      </c>
      <c r="P41" s="129">
        <f t="shared" si="8"/>
        <v>0</v>
      </c>
      <c r="Q41" s="129">
        <f t="shared" si="9"/>
        <v>0</v>
      </c>
      <c r="R41" s="106">
        <f t="shared" si="7"/>
        <v>26</v>
      </c>
      <c r="T41" s="106" t="str">
        <f t="shared" si="1"/>
        <v/>
      </c>
      <c r="U41" s="106" t="str">
        <f t="shared" si="1"/>
        <v/>
      </c>
      <c r="V41" s="106">
        <f t="shared" si="1"/>
        <v>26</v>
      </c>
      <c r="X41" s="106" t="str">
        <f t="shared" si="10"/>
        <v/>
      </c>
      <c r="Y41" s="106" t="str">
        <f t="shared" si="10"/>
        <v/>
      </c>
      <c r="Z41" s="106">
        <f t="shared" si="10"/>
        <v>26</v>
      </c>
      <c r="AA41" s="106" t="str">
        <f t="shared" si="10"/>
        <v/>
      </c>
    </row>
    <row r="42" spans="3:27" ht="15" outlineLevel="1" x14ac:dyDescent="0.25">
      <c r="C42" s="37" t="s">
        <v>576</v>
      </c>
      <c r="D42" s="285" t="str">
        <f>VLOOKUP($C42,'Typologie détaillée'!$E$4:$H$214,3,0)</f>
        <v>Grandes salles de réunion communes</v>
      </c>
      <c r="E42" s="286" t="str">
        <f>VLOOKUP($C42,'Typologie détaillée'!$E$4:$H$214,4,0)</f>
        <v>CSA</v>
      </c>
      <c r="F42" s="142" t="s">
        <v>24</v>
      </c>
      <c r="G42" s="90">
        <v>1</v>
      </c>
      <c r="H42" s="455" t="s">
        <v>1253</v>
      </c>
      <c r="I42" s="90">
        <v>0</v>
      </c>
      <c r="J42" s="90"/>
      <c r="K42" s="309">
        <f t="shared" si="4"/>
        <v>0</v>
      </c>
      <c r="L42" s="452" t="str">
        <f>VLOOKUP($C42,'Typologie détaillée'!$E$4:$L$214,6,0)</f>
        <v>PERS.</v>
      </c>
      <c r="M42" s="452">
        <f>VLOOKUP($C42,'Typologie détaillée'!$E$4:$L$214,7,0)</f>
        <v>2</v>
      </c>
      <c r="N42" s="310">
        <v>0</v>
      </c>
      <c r="P42" s="129">
        <f t="shared" si="8"/>
        <v>0</v>
      </c>
      <c r="Q42" s="129">
        <f t="shared" si="9"/>
        <v>0</v>
      </c>
      <c r="R42" s="106">
        <f t="shared" si="7"/>
        <v>0</v>
      </c>
      <c r="T42" s="106" t="str">
        <f t="shared" si="1"/>
        <v/>
      </c>
      <c r="U42" s="106" t="str">
        <f t="shared" si="1"/>
        <v/>
      </c>
      <c r="V42" s="106">
        <f t="shared" si="1"/>
        <v>0</v>
      </c>
      <c r="X42" s="106" t="str">
        <f t="shared" si="10"/>
        <v/>
      </c>
      <c r="Y42" s="106" t="str">
        <f t="shared" si="10"/>
        <v/>
      </c>
      <c r="Z42" s="106">
        <f t="shared" si="10"/>
        <v>0</v>
      </c>
      <c r="AA42" s="106" t="str">
        <f t="shared" si="10"/>
        <v/>
      </c>
    </row>
    <row r="43" spans="3:27" ht="15" outlineLevel="1" x14ac:dyDescent="0.25">
      <c r="C43" s="37" t="s">
        <v>576</v>
      </c>
      <c r="D43" s="285" t="str">
        <f>VLOOKUP($C43,'Typologie détaillée'!$E$4:$H$214,3,0)</f>
        <v>Grandes salles de réunion communes</v>
      </c>
      <c r="E43" s="286" t="str">
        <f>VLOOKUP($C43,'Typologie détaillée'!$E$4:$H$214,4,0)</f>
        <v>CSA</v>
      </c>
      <c r="F43" s="142" t="s">
        <v>24</v>
      </c>
      <c r="G43" s="90">
        <v>1</v>
      </c>
      <c r="H43" s="455" t="s">
        <v>1254</v>
      </c>
      <c r="I43" s="90">
        <v>0</v>
      </c>
      <c r="J43" s="90"/>
      <c r="K43" s="309">
        <f t="shared" si="4"/>
        <v>0</v>
      </c>
      <c r="L43" s="452" t="str">
        <f>VLOOKUP($C43,'Typologie détaillée'!$E$4:$L$214,6,0)</f>
        <v>PERS.</v>
      </c>
      <c r="M43" s="452">
        <f>VLOOKUP($C43,'Typologie détaillée'!$E$4:$L$214,7,0)</f>
        <v>2</v>
      </c>
      <c r="N43" s="310">
        <v>0</v>
      </c>
      <c r="P43" s="129">
        <f t="shared" si="8"/>
        <v>0</v>
      </c>
      <c r="Q43" s="129">
        <f t="shared" si="9"/>
        <v>0</v>
      </c>
      <c r="R43" s="106">
        <f t="shared" si="7"/>
        <v>0</v>
      </c>
      <c r="T43" s="106" t="str">
        <f t="shared" si="1"/>
        <v/>
      </c>
      <c r="U43" s="106" t="str">
        <f t="shared" si="1"/>
        <v/>
      </c>
      <c r="V43" s="106">
        <f t="shared" si="1"/>
        <v>0</v>
      </c>
      <c r="X43" s="106" t="str">
        <f t="shared" si="10"/>
        <v/>
      </c>
      <c r="Y43" s="106" t="str">
        <f t="shared" si="10"/>
        <v/>
      </c>
      <c r="Z43" s="106">
        <f t="shared" si="10"/>
        <v>0</v>
      </c>
      <c r="AA43" s="106" t="str">
        <f t="shared" si="10"/>
        <v/>
      </c>
    </row>
    <row r="44" spans="3:27" ht="15" outlineLevel="1" x14ac:dyDescent="0.25">
      <c r="C44" s="37" t="s">
        <v>576</v>
      </c>
      <c r="D44" s="285" t="str">
        <f>VLOOKUP($C44,'Typologie détaillée'!$E$4:$H$214,3,0)</f>
        <v>Grandes salles de réunion communes</v>
      </c>
      <c r="E44" s="286" t="str">
        <f>VLOOKUP($C44,'Typologie détaillée'!$E$4:$H$214,4,0)</f>
        <v>CSA</v>
      </c>
      <c r="F44" s="142" t="s">
        <v>24</v>
      </c>
      <c r="G44" s="90">
        <v>1</v>
      </c>
      <c r="H44" s="455" t="s">
        <v>1255</v>
      </c>
      <c r="I44" s="90">
        <v>0</v>
      </c>
      <c r="J44" s="90"/>
      <c r="K44" s="309">
        <f t="shared" si="4"/>
        <v>0</v>
      </c>
      <c r="L44" s="452" t="str">
        <f>VLOOKUP($C44,'Typologie détaillée'!$E$4:$L$214,6,0)</f>
        <v>PERS.</v>
      </c>
      <c r="M44" s="452">
        <f>VLOOKUP($C44,'Typologie détaillée'!$E$4:$L$214,7,0)</f>
        <v>2</v>
      </c>
      <c r="N44" s="310">
        <v>0</v>
      </c>
      <c r="P44" s="129">
        <f t="shared" si="8"/>
        <v>0</v>
      </c>
      <c r="Q44" s="129">
        <f t="shared" si="9"/>
        <v>0</v>
      </c>
      <c r="R44" s="106">
        <f t="shared" si="7"/>
        <v>0</v>
      </c>
      <c r="T44" s="106" t="str">
        <f t="shared" si="1"/>
        <v/>
      </c>
      <c r="U44" s="106" t="str">
        <f t="shared" si="1"/>
        <v/>
      </c>
      <c r="V44" s="106">
        <f t="shared" si="1"/>
        <v>0</v>
      </c>
      <c r="X44" s="106" t="str">
        <f t="shared" si="10"/>
        <v/>
      </c>
      <c r="Y44" s="106" t="str">
        <f t="shared" si="10"/>
        <v/>
      </c>
      <c r="Z44" s="106">
        <f t="shared" si="10"/>
        <v>0</v>
      </c>
      <c r="AA44" s="106" t="str">
        <f t="shared" si="10"/>
        <v/>
      </c>
    </row>
    <row r="45" spans="3:27" ht="15" outlineLevel="1" x14ac:dyDescent="0.25">
      <c r="C45" s="37" t="s">
        <v>576</v>
      </c>
      <c r="D45" s="285" t="str">
        <f>VLOOKUP($C45,'Typologie détaillée'!$E$4:$H$214,3,0)</f>
        <v>Grandes salles de réunion communes</v>
      </c>
      <c r="E45" s="286" t="str">
        <f>VLOOKUP($C45,'Typologie détaillée'!$E$4:$H$214,4,0)</f>
        <v>CSA</v>
      </c>
      <c r="F45" s="142" t="s">
        <v>24</v>
      </c>
      <c r="G45" s="90">
        <v>1</v>
      </c>
      <c r="H45" s="301" t="s">
        <v>1256</v>
      </c>
      <c r="I45" s="90">
        <v>0</v>
      </c>
      <c r="J45" s="90"/>
      <c r="K45" s="309">
        <f t="shared" si="4"/>
        <v>32</v>
      </c>
      <c r="L45" s="452" t="str">
        <f>VLOOKUP($C45,'Typologie détaillée'!$E$4:$L$214,6,0)</f>
        <v>PERS.</v>
      </c>
      <c r="M45" s="452">
        <f>VLOOKUP($C45,'Typologie détaillée'!$E$4:$L$214,7,0)</f>
        <v>2</v>
      </c>
      <c r="N45" s="310">
        <v>16</v>
      </c>
      <c r="P45" s="129">
        <f t="shared" si="8"/>
        <v>0</v>
      </c>
      <c r="Q45" s="129">
        <f t="shared" si="9"/>
        <v>0</v>
      </c>
      <c r="R45" s="106">
        <f t="shared" si="7"/>
        <v>32</v>
      </c>
      <c r="T45" s="106" t="str">
        <f t="shared" si="1"/>
        <v/>
      </c>
      <c r="U45" s="106" t="str">
        <f t="shared" si="1"/>
        <v/>
      </c>
      <c r="V45" s="106">
        <f t="shared" si="1"/>
        <v>32</v>
      </c>
      <c r="X45" s="106" t="str">
        <f t="shared" si="10"/>
        <v/>
      </c>
      <c r="Y45" s="106" t="str">
        <f t="shared" si="10"/>
        <v/>
      </c>
      <c r="Z45" s="106">
        <f t="shared" si="10"/>
        <v>32</v>
      </c>
      <c r="AA45" s="106" t="str">
        <f t="shared" si="10"/>
        <v/>
      </c>
    </row>
    <row r="46" spans="3:27" ht="15" outlineLevel="1" x14ac:dyDescent="0.25">
      <c r="C46" s="37" t="s">
        <v>576</v>
      </c>
      <c r="D46" s="285" t="str">
        <f>VLOOKUP($C46,'Typologie détaillée'!$E$4:$H$214,3,0)</f>
        <v>Grandes salles de réunion communes</v>
      </c>
      <c r="E46" s="286" t="str">
        <f>VLOOKUP($C46,'Typologie détaillée'!$E$4:$H$214,4,0)</f>
        <v>CSA</v>
      </c>
      <c r="F46" s="142" t="s">
        <v>24</v>
      </c>
      <c r="G46" s="90">
        <v>1</v>
      </c>
      <c r="H46" s="301" t="s">
        <v>1257</v>
      </c>
      <c r="I46" s="90">
        <v>0</v>
      </c>
      <c r="J46" s="90"/>
      <c r="K46" s="309">
        <f t="shared" si="4"/>
        <v>24</v>
      </c>
      <c r="L46" s="452" t="str">
        <f>VLOOKUP($C46,'Typologie détaillée'!$E$4:$L$214,6,0)</f>
        <v>PERS.</v>
      </c>
      <c r="M46" s="452">
        <f>VLOOKUP($C46,'Typologie détaillée'!$E$4:$L$214,7,0)</f>
        <v>2</v>
      </c>
      <c r="N46" s="310">
        <v>12</v>
      </c>
      <c r="P46" s="129">
        <f t="shared" si="8"/>
        <v>0</v>
      </c>
      <c r="Q46" s="129">
        <f t="shared" si="9"/>
        <v>0</v>
      </c>
      <c r="R46" s="106">
        <f t="shared" si="7"/>
        <v>24</v>
      </c>
      <c r="T46" s="106" t="str">
        <f t="shared" si="1"/>
        <v/>
      </c>
      <c r="U46" s="106" t="str">
        <f t="shared" si="1"/>
        <v/>
      </c>
      <c r="V46" s="106">
        <f t="shared" si="1"/>
        <v>24</v>
      </c>
      <c r="X46" s="106" t="str">
        <f t="shared" si="10"/>
        <v/>
      </c>
      <c r="Y46" s="106" t="str">
        <f t="shared" si="10"/>
        <v/>
      </c>
      <c r="Z46" s="106">
        <f t="shared" si="10"/>
        <v>24</v>
      </c>
      <c r="AA46" s="106" t="str">
        <f t="shared" si="10"/>
        <v/>
      </c>
    </row>
    <row r="47" spans="3:27" ht="15" outlineLevel="1" x14ac:dyDescent="0.25">
      <c r="C47" s="37" t="s">
        <v>576</v>
      </c>
      <c r="D47" s="285" t="str">
        <f>VLOOKUP($C47,'Typologie détaillée'!$E$4:$H$214,3,0)</f>
        <v>Grandes salles de réunion communes</v>
      </c>
      <c r="E47" s="286" t="str">
        <f>VLOOKUP($C47,'Typologie détaillée'!$E$4:$H$214,4,0)</f>
        <v>CSA</v>
      </c>
      <c r="F47" s="142" t="s">
        <v>24</v>
      </c>
      <c r="G47" s="90">
        <v>1</v>
      </c>
      <c r="H47" s="301" t="s">
        <v>1258</v>
      </c>
      <c r="I47" s="90">
        <v>0</v>
      </c>
      <c r="J47" s="90"/>
      <c r="K47" s="309">
        <f t="shared" ref="K47:K67" si="11">IF(OR(L47="MiN.",L47="SPEC."),N47,M47*N47)</f>
        <v>28</v>
      </c>
      <c r="L47" s="452" t="str">
        <f>VLOOKUP($C47,'Typologie détaillée'!$E$4:$L$214,6,0)</f>
        <v>PERS.</v>
      </c>
      <c r="M47" s="452">
        <f>VLOOKUP($C47,'Typologie détaillée'!$E$4:$L$214,7,0)</f>
        <v>2</v>
      </c>
      <c r="N47" s="310">
        <v>14</v>
      </c>
      <c r="P47" s="129">
        <f t="shared" si="8"/>
        <v>0</v>
      </c>
      <c r="Q47" s="129">
        <f t="shared" si="9"/>
        <v>0</v>
      </c>
      <c r="R47" s="106">
        <f t="shared" si="7"/>
        <v>28</v>
      </c>
      <c r="T47" s="106" t="str">
        <f t="shared" si="1"/>
        <v/>
      </c>
      <c r="U47" s="106" t="str">
        <f t="shared" si="1"/>
        <v/>
      </c>
      <c r="V47" s="106">
        <f t="shared" si="1"/>
        <v>28</v>
      </c>
      <c r="X47" s="106" t="str">
        <f t="shared" si="10"/>
        <v/>
      </c>
      <c r="Y47" s="106" t="str">
        <f t="shared" si="10"/>
        <v/>
      </c>
      <c r="Z47" s="106">
        <f t="shared" si="10"/>
        <v>28</v>
      </c>
      <c r="AA47" s="106" t="str">
        <f t="shared" si="10"/>
        <v/>
      </c>
    </row>
    <row r="48" spans="3:27" ht="15" outlineLevel="1" x14ac:dyDescent="0.25">
      <c r="C48" s="37" t="s">
        <v>576</v>
      </c>
      <c r="D48" s="285" t="str">
        <f>VLOOKUP($C48,'Typologie détaillée'!$E$4:$H$214,3,0)</f>
        <v>Grandes salles de réunion communes</v>
      </c>
      <c r="E48" s="286" t="str">
        <f>VLOOKUP($C48,'Typologie détaillée'!$E$4:$H$214,4,0)</f>
        <v>CSA</v>
      </c>
      <c r="F48" s="142" t="s">
        <v>24</v>
      </c>
      <c r="G48" s="90">
        <v>1</v>
      </c>
      <c r="H48" s="301" t="s">
        <v>1259</v>
      </c>
      <c r="I48" s="90">
        <v>0</v>
      </c>
      <c r="J48" s="90"/>
      <c r="K48" s="309">
        <f t="shared" si="11"/>
        <v>28</v>
      </c>
      <c r="L48" s="452" t="str">
        <f>VLOOKUP($C48,'Typologie détaillée'!$E$4:$L$214,6,0)</f>
        <v>PERS.</v>
      </c>
      <c r="M48" s="452">
        <f>VLOOKUP($C48,'Typologie détaillée'!$E$4:$L$214,7,0)</f>
        <v>2</v>
      </c>
      <c r="N48" s="310">
        <v>14</v>
      </c>
      <c r="P48" s="129">
        <f t="shared" si="8"/>
        <v>0</v>
      </c>
      <c r="Q48" s="129">
        <f t="shared" si="9"/>
        <v>0</v>
      </c>
      <c r="R48" s="106">
        <f t="shared" si="7"/>
        <v>28</v>
      </c>
      <c r="T48" s="106" t="str">
        <f t="shared" si="1"/>
        <v/>
      </c>
      <c r="U48" s="106" t="str">
        <f t="shared" si="1"/>
        <v/>
      </c>
      <c r="V48" s="106">
        <f t="shared" si="1"/>
        <v>28</v>
      </c>
      <c r="X48" s="106" t="str">
        <f t="shared" si="10"/>
        <v/>
      </c>
      <c r="Y48" s="106" t="str">
        <f t="shared" si="10"/>
        <v/>
      </c>
      <c r="Z48" s="106">
        <f t="shared" si="10"/>
        <v>28</v>
      </c>
      <c r="AA48" s="106" t="str">
        <f t="shared" si="10"/>
        <v/>
      </c>
    </row>
    <row r="49" spans="3:27" ht="15" outlineLevel="1" x14ac:dyDescent="0.25">
      <c r="C49" s="37" t="s">
        <v>576</v>
      </c>
      <c r="D49" s="285" t="str">
        <f>VLOOKUP($C49,'Typologie détaillée'!$E$4:$H$214,3,0)</f>
        <v>Grandes salles de réunion communes</v>
      </c>
      <c r="E49" s="286" t="str">
        <f>VLOOKUP($C49,'Typologie détaillée'!$E$4:$H$214,4,0)</f>
        <v>CSA</v>
      </c>
      <c r="F49" s="142" t="s">
        <v>24</v>
      </c>
      <c r="G49" s="90">
        <v>1</v>
      </c>
      <c r="H49" s="301" t="s">
        <v>1260</v>
      </c>
      <c r="I49" s="90">
        <v>0</v>
      </c>
      <c r="J49" s="90"/>
      <c r="K49" s="309">
        <f t="shared" si="11"/>
        <v>44</v>
      </c>
      <c r="L49" s="452" t="str">
        <f>VLOOKUP($C49,'Typologie détaillée'!$E$4:$L$214,6,0)</f>
        <v>PERS.</v>
      </c>
      <c r="M49" s="452">
        <f>VLOOKUP($C49,'Typologie détaillée'!$E$4:$L$214,7,0)</f>
        <v>2</v>
      </c>
      <c r="N49" s="310">
        <v>22</v>
      </c>
      <c r="P49" s="129">
        <f t="shared" si="8"/>
        <v>0</v>
      </c>
      <c r="Q49" s="129">
        <f t="shared" si="9"/>
        <v>0</v>
      </c>
      <c r="R49" s="106">
        <f t="shared" si="7"/>
        <v>44</v>
      </c>
      <c r="T49" s="106" t="str">
        <f t="shared" si="1"/>
        <v/>
      </c>
      <c r="U49" s="106" t="str">
        <f t="shared" si="1"/>
        <v/>
      </c>
      <c r="V49" s="106">
        <f t="shared" si="1"/>
        <v>44</v>
      </c>
      <c r="X49" s="106" t="str">
        <f t="shared" si="10"/>
        <v/>
      </c>
      <c r="Y49" s="106" t="str">
        <f t="shared" si="10"/>
        <v/>
      </c>
      <c r="Z49" s="106">
        <f t="shared" si="10"/>
        <v>44</v>
      </c>
      <c r="AA49" s="106" t="str">
        <f t="shared" si="10"/>
        <v/>
      </c>
    </row>
    <row r="50" spans="3:27" ht="15" outlineLevel="1" x14ac:dyDescent="0.25">
      <c r="C50" s="37" t="s">
        <v>576</v>
      </c>
      <c r="D50" s="285" t="str">
        <f>VLOOKUP($C50,'Typologie détaillée'!$E$4:$H$214,3,0)</f>
        <v>Grandes salles de réunion communes</v>
      </c>
      <c r="E50" s="286" t="str">
        <f>VLOOKUP($C50,'Typologie détaillée'!$E$4:$H$214,4,0)</f>
        <v>CSA</v>
      </c>
      <c r="F50" s="142" t="s">
        <v>24</v>
      </c>
      <c r="G50" s="90">
        <v>1</v>
      </c>
      <c r="H50" s="301" t="s">
        <v>1261</v>
      </c>
      <c r="I50" s="90">
        <v>0</v>
      </c>
      <c r="J50" s="90"/>
      <c r="K50" s="309">
        <f t="shared" si="11"/>
        <v>60</v>
      </c>
      <c r="L50" s="452" t="str">
        <f>VLOOKUP($C50,'Typologie détaillée'!$E$4:$L$214,6,0)</f>
        <v>PERS.</v>
      </c>
      <c r="M50" s="452">
        <f>VLOOKUP($C50,'Typologie détaillée'!$E$4:$L$214,7,0)</f>
        <v>2</v>
      </c>
      <c r="N50" s="310">
        <v>30</v>
      </c>
      <c r="P50" s="129">
        <f t="shared" si="8"/>
        <v>0</v>
      </c>
      <c r="Q50" s="129">
        <f t="shared" si="9"/>
        <v>0</v>
      </c>
      <c r="R50" s="106">
        <f t="shared" si="7"/>
        <v>60</v>
      </c>
      <c r="T50" s="106" t="str">
        <f t="shared" si="1"/>
        <v/>
      </c>
      <c r="U50" s="106" t="str">
        <f t="shared" si="1"/>
        <v/>
      </c>
      <c r="V50" s="106">
        <f t="shared" si="1"/>
        <v>60</v>
      </c>
      <c r="X50" s="106" t="str">
        <f t="shared" si="10"/>
        <v/>
      </c>
      <c r="Y50" s="106" t="str">
        <f t="shared" si="10"/>
        <v/>
      </c>
      <c r="Z50" s="106">
        <f t="shared" si="10"/>
        <v>60</v>
      </c>
      <c r="AA50" s="106" t="str">
        <f t="shared" si="10"/>
        <v/>
      </c>
    </row>
    <row r="51" spans="3:27" ht="15" outlineLevel="1" x14ac:dyDescent="0.25">
      <c r="C51" s="37" t="s">
        <v>576</v>
      </c>
      <c r="D51" s="285" t="str">
        <f>VLOOKUP($C51,'Typologie détaillée'!$E$4:$H$214,3,0)</f>
        <v>Grandes salles de réunion communes</v>
      </c>
      <c r="E51" s="286" t="str">
        <f>VLOOKUP($C51,'Typologie détaillée'!$E$4:$H$214,4,0)</f>
        <v>CSA</v>
      </c>
      <c r="F51" s="142" t="s">
        <v>24</v>
      </c>
      <c r="G51" s="90">
        <v>1</v>
      </c>
      <c r="H51" s="301" t="s">
        <v>1262</v>
      </c>
      <c r="I51" s="90">
        <v>0</v>
      </c>
      <c r="J51" s="90"/>
      <c r="K51" s="309">
        <f t="shared" si="11"/>
        <v>40</v>
      </c>
      <c r="L51" s="452" t="str">
        <f>VLOOKUP($C51,'Typologie détaillée'!$E$4:$L$214,6,0)</f>
        <v>PERS.</v>
      </c>
      <c r="M51" s="452">
        <f>VLOOKUP($C51,'Typologie détaillée'!$E$4:$L$214,7,0)</f>
        <v>2</v>
      </c>
      <c r="N51" s="310">
        <v>20</v>
      </c>
      <c r="P51" s="129">
        <f t="shared" si="8"/>
        <v>0</v>
      </c>
      <c r="Q51" s="129">
        <f t="shared" si="9"/>
        <v>0</v>
      </c>
      <c r="R51" s="106">
        <f t="shared" si="7"/>
        <v>40</v>
      </c>
      <c r="T51" s="106" t="str">
        <f t="shared" si="1"/>
        <v/>
      </c>
      <c r="U51" s="106" t="str">
        <f t="shared" si="1"/>
        <v/>
      </c>
      <c r="V51" s="106">
        <f t="shared" si="1"/>
        <v>40</v>
      </c>
      <c r="X51" s="106" t="str">
        <f t="shared" si="10"/>
        <v/>
      </c>
      <c r="Y51" s="106" t="str">
        <f t="shared" si="10"/>
        <v/>
      </c>
      <c r="Z51" s="106">
        <f t="shared" si="10"/>
        <v>40</v>
      </c>
      <c r="AA51" s="106" t="str">
        <f t="shared" si="10"/>
        <v/>
      </c>
    </row>
    <row r="52" spans="3:27" ht="15" outlineLevel="1" x14ac:dyDescent="0.25">
      <c r="C52" s="37" t="s">
        <v>576</v>
      </c>
      <c r="D52" s="285" t="str">
        <f>VLOOKUP($C52,'Typologie détaillée'!$E$4:$H$214,3,0)</f>
        <v>Grandes salles de réunion communes</v>
      </c>
      <c r="E52" s="286" t="str">
        <f>VLOOKUP($C52,'Typologie détaillée'!$E$4:$H$214,4,0)</f>
        <v>CSA</v>
      </c>
      <c r="F52" s="142" t="s">
        <v>24</v>
      </c>
      <c r="G52" s="90">
        <v>1</v>
      </c>
      <c r="H52" s="301" t="s">
        <v>1263</v>
      </c>
      <c r="I52" s="90">
        <v>0</v>
      </c>
      <c r="J52" s="90"/>
      <c r="K52" s="309">
        <f t="shared" si="11"/>
        <v>56</v>
      </c>
      <c r="L52" s="452" t="str">
        <f>VLOOKUP($C52,'Typologie détaillée'!$E$4:$L$214,6,0)</f>
        <v>PERS.</v>
      </c>
      <c r="M52" s="452">
        <f>VLOOKUP($C52,'Typologie détaillée'!$E$4:$L$214,7,0)</f>
        <v>2</v>
      </c>
      <c r="N52" s="310">
        <v>28</v>
      </c>
      <c r="P52" s="129">
        <f t="shared" si="8"/>
        <v>0</v>
      </c>
      <c r="Q52" s="129">
        <f t="shared" si="9"/>
        <v>0</v>
      </c>
      <c r="R52" s="106">
        <f t="shared" si="7"/>
        <v>56</v>
      </c>
      <c r="T52" s="106" t="str">
        <f t="shared" si="1"/>
        <v/>
      </c>
      <c r="U52" s="106" t="str">
        <f t="shared" si="1"/>
        <v/>
      </c>
      <c r="V52" s="106">
        <f t="shared" si="1"/>
        <v>56</v>
      </c>
      <c r="X52" s="106" t="str">
        <f t="shared" si="10"/>
        <v/>
      </c>
      <c r="Y52" s="106" t="str">
        <f t="shared" si="10"/>
        <v/>
      </c>
      <c r="Z52" s="106">
        <f t="shared" si="10"/>
        <v>56</v>
      </c>
      <c r="AA52" s="106" t="str">
        <f t="shared" si="10"/>
        <v/>
      </c>
    </row>
    <row r="53" spans="3:27" ht="15" outlineLevel="1" x14ac:dyDescent="0.25">
      <c r="C53" s="37" t="s">
        <v>576</v>
      </c>
      <c r="D53" s="285" t="str">
        <f>VLOOKUP($C53,'Typologie détaillée'!$E$4:$H$214,3,0)</f>
        <v>Grandes salles de réunion communes</v>
      </c>
      <c r="E53" s="286" t="str">
        <f>VLOOKUP($C53,'Typologie détaillée'!$E$4:$H$214,4,0)</f>
        <v>CSA</v>
      </c>
      <c r="F53" s="142" t="s">
        <v>24</v>
      </c>
      <c r="G53" s="90">
        <v>1</v>
      </c>
      <c r="H53" s="301" t="s">
        <v>1264</v>
      </c>
      <c r="I53" s="90">
        <v>0</v>
      </c>
      <c r="J53" s="90"/>
      <c r="K53" s="309">
        <f t="shared" si="11"/>
        <v>54</v>
      </c>
      <c r="L53" s="452" t="str">
        <f>VLOOKUP($C53,'Typologie détaillée'!$E$4:$L$214,6,0)</f>
        <v>PERS.</v>
      </c>
      <c r="M53" s="452">
        <f>VLOOKUP($C53,'Typologie détaillée'!$E$4:$L$214,7,0)</f>
        <v>2</v>
      </c>
      <c r="N53" s="310">
        <v>27</v>
      </c>
      <c r="P53" s="129">
        <f t="shared" si="8"/>
        <v>0</v>
      </c>
      <c r="Q53" s="129">
        <f t="shared" si="9"/>
        <v>0</v>
      </c>
      <c r="R53" s="106">
        <f t="shared" si="7"/>
        <v>54</v>
      </c>
      <c r="T53" s="106" t="str">
        <f t="shared" si="1"/>
        <v/>
      </c>
      <c r="U53" s="106" t="str">
        <f t="shared" si="1"/>
        <v/>
      </c>
      <c r="V53" s="106">
        <f t="shared" si="1"/>
        <v>54</v>
      </c>
      <c r="X53" s="106" t="str">
        <f t="shared" si="10"/>
        <v/>
      </c>
      <c r="Y53" s="106" t="str">
        <f t="shared" si="10"/>
        <v/>
      </c>
      <c r="Z53" s="106">
        <f t="shared" si="10"/>
        <v>54</v>
      </c>
      <c r="AA53" s="106" t="str">
        <f t="shared" si="10"/>
        <v/>
      </c>
    </row>
    <row r="54" spans="3:27" ht="15" outlineLevel="1" x14ac:dyDescent="0.25">
      <c r="C54" s="37" t="s">
        <v>576</v>
      </c>
      <c r="D54" s="285" t="str">
        <f>VLOOKUP($C54,'Typologie détaillée'!$E$4:$H$214,3,0)</f>
        <v>Grandes salles de réunion communes</v>
      </c>
      <c r="E54" s="286" t="str">
        <f>VLOOKUP($C54,'Typologie détaillée'!$E$4:$H$214,4,0)</f>
        <v>CSA</v>
      </c>
      <c r="F54" s="142" t="s">
        <v>24</v>
      </c>
      <c r="G54" s="90">
        <v>1</v>
      </c>
      <c r="H54" s="301" t="s">
        <v>1265</v>
      </c>
      <c r="I54" s="90">
        <v>0</v>
      </c>
      <c r="J54" s="90"/>
      <c r="K54" s="309">
        <f t="shared" si="11"/>
        <v>50</v>
      </c>
      <c r="L54" s="452" t="str">
        <f>VLOOKUP($C54,'Typologie détaillée'!$E$4:$L$214,6,0)</f>
        <v>PERS.</v>
      </c>
      <c r="M54" s="452">
        <f>VLOOKUP($C54,'Typologie détaillée'!$E$4:$L$214,7,0)</f>
        <v>2</v>
      </c>
      <c r="N54" s="310">
        <v>25</v>
      </c>
      <c r="P54" s="129">
        <f t="shared" si="8"/>
        <v>0</v>
      </c>
      <c r="Q54" s="129">
        <f t="shared" si="9"/>
        <v>0</v>
      </c>
      <c r="R54" s="106">
        <f t="shared" si="7"/>
        <v>50</v>
      </c>
      <c r="T54" s="106" t="str">
        <f t="shared" si="1"/>
        <v/>
      </c>
      <c r="U54" s="106" t="str">
        <f t="shared" si="1"/>
        <v/>
      </c>
      <c r="V54" s="106">
        <f t="shared" si="1"/>
        <v>50</v>
      </c>
      <c r="X54" s="106" t="str">
        <f t="shared" si="10"/>
        <v/>
      </c>
      <c r="Y54" s="106" t="str">
        <f t="shared" si="10"/>
        <v/>
      </c>
      <c r="Z54" s="106">
        <f t="shared" si="10"/>
        <v>50</v>
      </c>
      <c r="AA54" s="106" t="str">
        <f t="shared" si="10"/>
        <v/>
      </c>
    </row>
    <row r="55" spans="3:27" ht="15" outlineLevel="1" x14ac:dyDescent="0.25">
      <c r="C55" s="37" t="s">
        <v>576</v>
      </c>
      <c r="D55" s="285" t="str">
        <f>VLOOKUP($C55,'Typologie détaillée'!$E$4:$H$214,3,0)</f>
        <v>Grandes salles de réunion communes</v>
      </c>
      <c r="E55" s="286" t="str">
        <f>VLOOKUP($C55,'Typologie détaillée'!$E$4:$H$214,4,0)</f>
        <v>CSA</v>
      </c>
      <c r="F55" s="142" t="s">
        <v>24</v>
      </c>
      <c r="G55" s="90">
        <v>1</v>
      </c>
      <c r="H55" s="301" t="s">
        <v>1266</v>
      </c>
      <c r="I55" s="90">
        <v>0</v>
      </c>
      <c r="J55" s="90"/>
      <c r="K55" s="309">
        <f t="shared" si="11"/>
        <v>50</v>
      </c>
      <c r="L55" s="452" t="str">
        <f>VLOOKUP($C55,'Typologie détaillée'!$E$4:$L$214,6,0)</f>
        <v>PERS.</v>
      </c>
      <c r="M55" s="452">
        <f>VLOOKUP($C55,'Typologie détaillée'!$E$4:$L$214,7,0)</f>
        <v>2</v>
      </c>
      <c r="N55" s="310">
        <v>25</v>
      </c>
      <c r="P55" s="129">
        <f t="shared" si="8"/>
        <v>0</v>
      </c>
      <c r="Q55" s="129">
        <f t="shared" si="9"/>
        <v>0</v>
      </c>
      <c r="R55" s="106">
        <f t="shared" si="7"/>
        <v>50</v>
      </c>
      <c r="T55" s="106" t="str">
        <f t="shared" ref="T55:V76" si="12">IF($E55=T$4,$R55,"")</f>
        <v/>
      </c>
      <c r="U55" s="106" t="str">
        <f t="shared" si="12"/>
        <v/>
      </c>
      <c r="V55" s="106">
        <f t="shared" si="12"/>
        <v>50</v>
      </c>
      <c r="X55" s="106" t="str">
        <f t="shared" si="10"/>
        <v/>
      </c>
      <c r="Y55" s="106" t="str">
        <f t="shared" si="10"/>
        <v/>
      </c>
      <c r="Z55" s="106">
        <f t="shared" si="10"/>
        <v>50</v>
      </c>
      <c r="AA55" s="106" t="str">
        <f t="shared" si="10"/>
        <v/>
      </c>
    </row>
    <row r="56" spans="3:27" ht="15" outlineLevel="1" x14ac:dyDescent="0.25">
      <c r="C56" s="37" t="s">
        <v>576</v>
      </c>
      <c r="D56" s="285" t="str">
        <f>VLOOKUP($C56,'Typologie détaillée'!$E$4:$H$214,3,0)</f>
        <v>Grandes salles de réunion communes</v>
      </c>
      <c r="E56" s="286" t="str">
        <f>VLOOKUP($C56,'Typologie détaillée'!$E$4:$H$214,4,0)</f>
        <v>CSA</v>
      </c>
      <c r="F56" s="142" t="s">
        <v>24</v>
      </c>
      <c r="G56" s="90">
        <v>1</v>
      </c>
      <c r="H56" s="455" t="s">
        <v>1267</v>
      </c>
      <c r="I56" s="90">
        <v>0</v>
      </c>
      <c r="J56" s="90"/>
      <c r="K56" s="309">
        <f t="shared" si="11"/>
        <v>0</v>
      </c>
      <c r="L56" s="452" t="str">
        <f>VLOOKUP($C56,'Typologie détaillée'!$E$4:$L$214,6,0)</f>
        <v>PERS.</v>
      </c>
      <c r="M56" s="452">
        <f>VLOOKUP($C56,'Typologie détaillée'!$E$4:$L$214,7,0)</f>
        <v>2</v>
      </c>
      <c r="N56" s="310">
        <v>0</v>
      </c>
      <c r="P56" s="129">
        <f t="shared" si="8"/>
        <v>0</v>
      </c>
      <c r="Q56" s="129">
        <f t="shared" si="9"/>
        <v>0</v>
      </c>
      <c r="R56" s="106">
        <f t="shared" si="7"/>
        <v>0</v>
      </c>
      <c r="T56" s="106" t="str">
        <f t="shared" si="12"/>
        <v/>
      </c>
      <c r="U56" s="106" t="str">
        <f t="shared" si="12"/>
        <v/>
      </c>
      <c r="V56" s="106">
        <f t="shared" si="12"/>
        <v>0</v>
      </c>
      <c r="X56" s="106" t="str">
        <f t="shared" si="10"/>
        <v/>
      </c>
      <c r="Y56" s="106" t="str">
        <f t="shared" si="10"/>
        <v/>
      </c>
      <c r="Z56" s="106">
        <f t="shared" si="10"/>
        <v>0</v>
      </c>
      <c r="AA56" s="106" t="str">
        <f t="shared" si="10"/>
        <v/>
      </c>
    </row>
    <row r="57" spans="3:27" ht="15" outlineLevel="1" x14ac:dyDescent="0.25">
      <c r="C57" s="37" t="s">
        <v>576</v>
      </c>
      <c r="D57" s="285" t="str">
        <f>VLOOKUP($C57,'Typologie détaillée'!$E$4:$H$214,3,0)</f>
        <v>Grandes salles de réunion communes</v>
      </c>
      <c r="E57" s="286" t="str">
        <f>VLOOKUP($C57,'Typologie détaillée'!$E$4:$H$214,4,0)</f>
        <v>CSA</v>
      </c>
      <c r="F57" s="142" t="s">
        <v>24</v>
      </c>
      <c r="G57" s="90">
        <v>1</v>
      </c>
      <c r="H57" s="301" t="s">
        <v>1268</v>
      </c>
      <c r="I57" s="90"/>
      <c r="J57" s="90"/>
      <c r="K57" s="309">
        <f t="shared" si="11"/>
        <v>46</v>
      </c>
      <c r="L57" s="452" t="str">
        <f>VLOOKUP($C57,'Typologie détaillée'!$E$4:$L$214,6,0)</f>
        <v>PERS.</v>
      </c>
      <c r="M57" s="452">
        <f>VLOOKUP($C57,'Typologie détaillée'!$E$4:$L$214,7,0)</f>
        <v>2</v>
      </c>
      <c r="N57" s="310">
        <v>23</v>
      </c>
      <c r="P57" s="129">
        <f t="shared" si="8"/>
        <v>0</v>
      </c>
      <c r="Q57" s="129">
        <f t="shared" si="9"/>
        <v>0</v>
      </c>
      <c r="R57" s="106">
        <f t="shared" si="7"/>
        <v>46</v>
      </c>
      <c r="T57" s="106" t="str">
        <f t="shared" si="12"/>
        <v/>
      </c>
      <c r="U57" s="106" t="str">
        <f t="shared" si="12"/>
        <v/>
      </c>
      <c r="V57" s="106">
        <f t="shared" si="12"/>
        <v>46</v>
      </c>
      <c r="X57" s="106" t="str">
        <f t="shared" si="10"/>
        <v/>
      </c>
      <c r="Y57" s="106" t="str">
        <f t="shared" si="10"/>
        <v/>
      </c>
      <c r="Z57" s="106">
        <f t="shared" si="10"/>
        <v>46</v>
      </c>
      <c r="AA57" s="106" t="str">
        <f t="shared" si="10"/>
        <v/>
      </c>
    </row>
    <row r="58" spans="3:27" ht="15" outlineLevel="1" x14ac:dyDescent="0.25">
      <c r="C58" s="37" t="s">
        <v>576</v>
      </c>
      <c r="D58" s="285" t="str">
        <f>VLOOKUP($C58,'Typologie détaillée'!$E$4:$H$214,3,0)</f>
        <v>Grandes salles de réunion communes</v>
      </c>
      <c r="E58" s="286" t="str">
        <f>VLOOKUP($C58,'Typologie détaillée'!$E$4:$H$214,4,0)</f>
        <v>CSA</v>
      </c>
      <c r="F58" s="142" t="s">
        <v>24</v>
      </c>
      <c r="G58" s="90">
        <v>1</v>
      </c>
      <c r="H58" s="455" t="s">
        <v>1269</v>
      </c>
      <c r="I58" s="90">
        <v>0</v>
      </c>
      <c r="J58" s="90"/>
      <c r="K58" s="309">
        <f t="shared" si="11"/>
        <v>0</v>
      </c>
      <c r="L58" s="452" t="str">
        <f>VLOOKUP($C58,'Typologie détaillée'!$E$4:$L$214,6,0)</f>
        <v>PERS.</v>
      </c>
      <c r="M58" s="452">
        <f>VLOOKUP($C58,'Typologie détaillée'!$E$4:$L$214,7,0)</f>
        <v>2</v>
      </c>
      <c r="N58" s="310">
        <v>0</v>
      </c>
      <c r="P58" s="129">
        <f t="shared" si="8"/>
        <v>0</v>
      </c>
      <c r="Q58" s="129">
        <f t="shared" si="9"/>
        <v>0</v>
      </c>
      <c r="R58" s="106">
        <f t="shared" si="7"/>
        <v>0</v>
      </c>
      <c r="T58" s="106" t="str">
        <f t="shared" si="12"/>
        <v/>
      </c>
      <c r="U58" s="106" t="str">
        <f t="shared" si="12"/>
        <v/>
      </c>
      <c r="V58" s="106">
        <f t="shared" si="12"/>
        <v>0</v>
      </c>
      <c r="X58" s="106" t="str">
        <f t="shared" si="10"/>
        <v/>
      </c>
      <c r="Y58" s="106" t="str">
        <f t="shared" si="10"/>
        <v/>
      </c>
      <c r="Z58" s="106">
        <f t="shared" si="10"/>
        <v>0</v>
      </c>
      <c r="AA58" s="106" t="str">
        <f t="shared" si="10"/>
        <v/>
      </c>
    </row>
    <row r="59" spans="3:27" ht="15" outlineLevel="1" x14ac:dyDescent="0.25">
      <c r="C59" s="37" t="s">
        <v>576</v>
      </c>
      <c r="D59" s="285" t="str">
        <f>VLOOKUP($C59,'Typologie détaillée'!$E$4:$H$214,3,0)</f>
        <v>Grandes salles de réunion communes</v>
      </c>
      <c r="E59" s="286" t="str">
        <f>VLOOKUP($C59,'Typologie détaillée'!$E$4:$H$214,4,0)</f>
        <v>CSA</v>
      </c>
      <c r="F59" s="142" t="s">
        <v>24</v>
      </c>
      <c r="G59" s="90">
        <v>1</v>
      </c>
      <c r="H59" s="455" t="s">
        <v>1271</v>
      </c>
      <c r="I59" s="90">
        <v>0</v>
      </c>
      <c r="J59" s="90"/>
      <c r="K59" s="309">
        <f t="shared" si="11"/>
        <v>0</v>
      </c>
      <c r="L59" s="452" t="str">
        <f>VLOOKUP($C59,'Typologie détaillée'!$E$4:$L$214,6,0)</f>
        <v>PERS.</v>
      </c>
      <c r="M59" s="452">
        <f>VLOOKUP($C59,'Typologie détaillée'!$E$4:$L$214,7,0)</f>
        <v>2</v>
      </c>
      <c r="N59" s="310">
        <v>0</v>
      </c>
      <c r="P59" s="129">
        <f t="shared" si="8"/>
        <v>0</v>
      </c>
      <c r="Q59" s="129">
        <f t="shared" si="9"/>
        <v>0</v>
      </c>
      <c r="R59" s="106">
        <f t="shared" si="7"/>
        <v>0</v>
      </c>
      <c r="T59" s="106" t="str">
        <f t="shared" si="12"/>
        <v/>
      </c>
      <c r="U59" s="106" t="str">
        <f t="shared" si="12"/>
        <v/>
      </c>
      <c r="V59" s="106">
        <f t="shared" si="12"/>
        <v>0</v>
      </c>
      <c r="X59" s="106" t="str">
        <f t="shared" si="10"/>
        <v/>
      </c>
      <c r="Y59" s="106" t="str">
        <f t="shared" si="10"/>
        <v/>
      </c>
      <c r="Z59" s="106">
        <f t="shared" si="10"/>
        <v>0</v>
      </c>
      <c r="AA59" s="106" t="str">
        <f t="shared" si="10"/>
        <v/>
      </c>
    </row>
    <row r="60" spans="3:27" ht="15" outlineLevel="1" x14ac:dyDescent="0.25">
      <c r="C60" s="37" t="s">
        <v>576</v>
      </c>
      <c r="D60" s="285" t="str">
        <f>VLOOKUP($C60,'Typologie détaillée'!$E$4:$H$214,3,0)</f>
        <v>Grandes salles de réunion communes</v>
      </c>
      <c r="E60" s="286" t="str">
        <f>VLOOKUP($C60,'Typologie détaillée'!$E$4:$H$214,4,0)</f>
        <v>CSA</v>
      </c>
      <c r="F60" s="142" t="s">
        <v>24</v>
      </c>
      <c r="G60" s="90">
        <v>1</v>
      </c>
      <c r="H60" s="301" t="s">
        <v>1270</v>
      </c>
      <c r="I60" s="90"/>
      <c r="J60" s="90"/>
      <c r="K60" s="309">
        <f t="shared" si="11"/>
        <v>180</v>
      </c>
      <c r="L60" s="452" t="str">
        <f>VLOOKUP($C60,'Typologie détaillée'!$E$4:$L$214,6,0)</f>
        <v>PERS.</v>
      </c>
      <c r="M60" s="452">
        <f>VLOOKUP($C60,'Typologie détaillée'!$E$4:$L$214,7,0)</f>
        <v>2</v>
      </c>
      <c r="N60" s="310">
        <v>90</v>
      </c>
      <c r="P60" s="129">
        <f t="shared" si="8"/>
        <v>0</v>
      </c>
      <c r="Q60" s="129">
        <f t="shared" si="9"/>
        <v>0</v>
      </c>
      <c r="R60" s="106">
        <f t="shared" si="7"/>
        <v>180</v>
      </c>
      <c r="T60" s="106" t="str">
        <f t="shared" si="12"/>
        <v/>
      </c>
      <c r="U60" s="106" t="str">
        <f t="shared" si="12"/>
        <v/>
      </c>
      <c r="V60" s="106">
        <f t="shared" si="12"/>
        <v>180</v>
      </c>
      <c r="X60" s="106" t="str">
        <f t="shared" si="10"/>
        <v/>
      </c>
      <c r="Y60" s="106" t="str">
        <f t="shared" si="10"/>
        <v/>
      </c>
      <c r="Z60" s="106">
        <f t="shared" si="10"/>
        <v>180</v>
      </c>
      <c r="AA60" s="106" t="str">
        <f t="shared" si="10"/>
        <v/>
      </c>
    </row>
    <row r="61" spans="3:27" ht="15" outlineLevel="1" x14ac:dyDescent="0.25">
      <c r="C61" s="37" t="s">
        <v>576</v>
      </c>
      <c r="D61" s="285" t="str">
        <f>VLOOKUP($C61,'Typologie détaillée'!$E$4:$H$214,3,0)</f>
        <v>Grandes salles de réunion communes</v>
      </c>
      <c r="E61" s="286" t="str">
        <f>VLOOKUP($C61,'Typologie détaillée'!$E$4:$H$214,4,0)</f>
        <v>CSA</v>
      </c>
      <c r="F61" s="142" t="s">
        <v>24</v>
      </c>
      <c r="G61" s="90">
        <v>1</v>
      </c>
      <c r="H61" s="301" t="s">
        <v>1272</v>
      </c>
      <c r="I61" s="90"/>
      <c r="J61" s="90"/>
      <c r="K61" s="309">
        <f t="shared" si="11"/>
        <v>200</v>
      </c>
      <c r="L61" s="452" t="str">
        <f>VLOOKUP($C61,'Typologie détaillée'!$E$4:$L$214,6,0)</f>
        <v>PERS.</v>
      </c>
      <c r="M61" s="452">
        <f>VLOOKUP($C61,'Typologie détaillée'!$E$4:$L$214,7,0)</f>
        <v>2</v>
      </c>
      <c r="N61" s="310">
        <v>100</v>
      </c>
      <c r="P61" s="129">
        <f t="shared" si="8"/>
        <v>0</v>
      </c>
      <c r="Q61" s="129">
        <f t="shared" si="9"/>
        <v>0</v>
      </c>
      <c r="R61" s="106">
        <f t="shared" si="7"/>
        <v>200</v>
      </c>
      <c r="T61" s="106" t="str">
        <f t="shared" si="12"/>
        <v/>
      </c>
      <c r="U61" s="106" t="str">
        <f t="shared" si="12"/>
        <v/>
      </c>
      <c r="V61" s="106">
        <f t="shared" si="12"/>
        <v>200</v>
      </c>
      <c r="X61" s="106" t="str">
        <f t="shared" si="10"/>
        <v/>
      </c>
      <c r="Y61" s="106" t="str">
        <f t="shared" si="10"/>
        <v/>
      </c>
      <c r="Z61" s="106">
        <f t="shared" si="10"/>
        <v>200</v>
      </c>
      <c r="AA61" s="106" t="str">
        <f t="shared" si="10"/>
        <v/>
      </c>
    </row>
    <row r="62" spans="3:27" ht="15" outlineLevel="1" x14ac:dyDescent="0.25">
      <c r="C62" s="37" t="s">
        <v>576</v>
      </c>
      <c r="D62" s="285" t="str">
        <f>VLOOKUP($C62,'Typologie détaillée'!$E$4:$H$214,3,0)</f>
        <v>Grandes salles de réunion communes</v>
      </c>
      <c r="E62" s="286" t="str">
        <f>VLOOKUP($C62,'Typologie détaillée'!$E$4:$H$214,4,0)</f>
        <v>CSA</v>
      </c>
      <c r="F62" s="142" t="s">
        <v>24</v>
      </c>
      <c r="G62" s="90">
        <v>1</v>
      </c>
      <c r="H62" s="301" t="s">
        <v>1273</v>
      </c>
      <c r="I62" s="90">
        <v>0</v>
      </c>
      <c r="J62" s="90"/>
      <c r="K62" s="309">
        <f t="shared" si="11"/>
        <v>28</v>
      </c>
      <c r="L62" s="452" t="str">
        <f>VLOOKUP($C62,'Typologie détaillée'!$E$4:$L$214,6,0)</f>
        <v>PERS.</v>
      </c>
      <c r="M62" s="452">
        <f>VLOOKUP($C62,'Typologie détaillée'!$E$4:$L$214,7,0)</f>
        <v>2</v>
      </c>
      <c r="N62" s="310">
        <v>14</v>
      </c>
      <c r="P62" s="129">
        <f t="shared" si="8"/>
        <v>0</v>
      </c>
      <c r="Q62" s="129">
        <f t="shared" si="9"/>
        <v>0</v>
      </c>
      <c r="R62" s="106">
        <f t="shared" si="7"/>
        <v>28</v>
      </c>
      <c r="T62" s="106" t="str">
        <f t="shared" si="12"/>
        <v/>
      </c>
      <c r="U62" s="106" t="str">
        <f t="shared" si="12"/>
        <v/>
      </c>
      <c r="V62" s="106">
        <f t="shared" si="12"/>
        <v>28</v>
      </c>
      <c r="X62" s="106" t="str">
        <f t="shared" si="10"/>
        <v/>
      </c>
      <c r="Y62" s="106" t="str">
        <f t="shared" si="10"/>
        <v/>
      </c>
      <c r="Z62" s="106">
        <f t="shared" si="10"/>
        <v>28</v>
      </c>
      <c r="AA62" s="106" t="str">
        <f t="shared" si="10"/>
        <v/>
      </c>
    </row>
    <row r="63" spans="3:27" ht="15" outlineLevel="1" x14ac:dyDescent="0.25">
      <c r="C63" s="37" t="s">
        <v>576</v>
      </c>
      <c r="D63" s="285" t="str">
        <f>VLOOKUP($C63,'Typologie détaillée'!$E$4:$H$214,3,0)</f>
        <v>Grandes salles de réunion communes</v>
      </c>
      <c r="E63" s="286" t="str">
        <f>VLOOKUP($C63,'Typologie détaillée'!$E$4:$H$214,4,0)</f>
        <v>CSA</v>
      </c>
      <c r="F63" s="142" t="s">
        <v>24</v>
      </c>
      <c r="G63" s="90">
        <v>1</v>
      </c>
      <c r="H63" s="301" t="s">
        <v>1274</v>
      </c>
      <c r="I63" s="90">
        <v>0</v>
      </c>
      <c r="J63" s="90"/>
      <c r="K63" s="309">
        <f t="shared" si="11"/>
        <v>44</v>
      </c>
      <c r="L63" s="452" t="str">
        <f>VLOOKUP($C63,'Typologie détaillée'!$E$4:$L$214,6,0)</f>
        <v>PERS.</v>
      </c>
      <c r="M63" s="452">
        <f>VLOOKUP($C63,'Typologie détaillée'!$E$4:$L$214,7,0)</f>
        <v>2</v>
      </c>
      <c r="N63" s="310">
        <v>22</v>
      </c>
      <c r="P63" s="129">
        <f t="shared" si="8"/>
        <v>0</v>
      </c>
      <c r="Q63" s="129">
        <f t="shared" si="9"/>
        <v>0</v>
      </c>
      <c r="R63" s="106">
        <f t="shared" si="7"/>
        <v>44</v>
      </c>
      <c r="T63" s="106" t="str">
        <f t="shared" si="12"/>
        <v/>
      </c>
      <c r="U63" s="106" t="str">
        <f t="shared" si="12"/>
        <v/>
      </c>
      <c r="V63" s="106">
        <f t="shared" si="12"/>
        <v>44</v>
      </c>
      <c r="X63" s="106" t="str">
        <f t="shared" si="10"/>
        <v/>
      </c>
      <c r="Y63" s="106" t="str">
        <f t="shared" si="10"/>
        <v/>
      </c>
      <c r="Z63" s="106">
        <f t="shared" si="10"/>
        <v>44</v>
      </c>
      <c r="AA63" s="106" t="str">
        <f t="shared" si="10"/>
        <v/>
      </c>
    </row>
    <row r="64" spans="3:27" ht="15" outlineLevel="1" x14ac:dyDescent="0.25">
      <c r="C64" s="37" t="s">
        <v>576</v>
      </c>
      <c r="D64" s="285" t="str">
        <f>VLOOKUP($C64,'Typologie détaillée'!$E$4:$H$214,3,0)</f>
        <v>Grandes salles de réunion communes</v>
      </c>
      <c r="E64" s="286" t="str">
        <f>VLOOKUP($C64,'Typologie détaillée'!$E$4:$H$214,4,0)</f>
        <v>CSA</v>
      </c>
      <c r="F64" s="142" t="s">
        <v>24</v>
      </c>
      <c r="G64" s="90">
        <v>1</v>
      </c>
      <c r="H64" s="301" t="s">
        <v>1275</v>
      </c>
      <c r="I64" s="90">
        <v>0</v>
      </c>
      <c r="J64" s="90"/>
      <c r="K64" s="309">
        <f t="shared" ref="K64:K66" si="13">IF(OR(L64="MiN.",L64="SPEC."),N64,M64*N64)</f>
        <v>32</v>
      </c>
      <c r="L64" s="452" t="str">
        <f>VLOOKUP($C64,'Typologie détaillée'!$E$4:$L$214,6,0)</f>
        <v>PERS.</v>
      </c>
      <c r="M64" s="452">
        <f>VLOOKUP($C64,'Typologie détaillée'!$E$4:$L$214,7,0)</f>
        <v>2</v>
      </c>
      <c r="N64" s="310">
        <v>16</v>
      </c>
      <c r="P64" s="129">
        <f t="shared" si="8"/>
        <v>0</v>
      </c>
      <c r="Q64" s="129">
        <f t="shared" si="9"/>
        <v>0</v>
      </c>
      <c r="R64" s="106">
        <f t="shared" si="7"/>
        <v>32</v>
      </c>
      <c r="T64" s="106" t="str">
        <f t="shared" si="12"/>
        <v/>
      </c>
      <c r="U64" s="106" t="str">
        <f t="shared" si="12"/>
        <v/>
      </c>
      <c r="V64" s="106">
        <f t="shared" si="12"/>
        <v>32</v>
      </c>
      <c r="X64" s="106" t="str">
        <f t="shared" si="10"/>
        <v/>
      </c>
      <c r="Y64" s="106" t="str">
        <f t="shared" si="10"/>
        <v/>
      </c>
      <c r="Z64" s="106">
        <f t="shared" si="10"/>
        <v>32</v>
      </c>
      <c r="AA64" s="106" t="str">
        <f t="shared" si="10"/>
        <v/>
      </c>
    </row>
    <row r="65" spans="1:39" ht="15" outlineLevel="1" x14ac:dyDescent="0.25">
      <c r="C65" s="37" t="s">
        <v>576</v>
      </c>
      <c r="D65" s="285" t="str">
        <f>VLOOKUP($C65,'Typologie détaillée'!$E$4:$H$214,3,0)</f>
        <v>Grandes salles de réunion communes</v>
      </c>
      <c r="E65" s="286" t="str">
        <f>VLOOKUP($C65,'Typologie détaillée'!$E$4:$H$214,4,0)</f>
        <v>CSA</v>
      </c>
      <c r="F65" s="142" t="s">
        <v>24</v>
      </c>
      <c r="G65" s="90">
        <v>1</v>
      </c>
      <c r="H65" s="301" t="s">
        <v>1276</v>
      </c>
      <c r="I65" s="90">
        <v>0</v>
      </c>
      <c r="J65" s="90"/>
      <c r="K65" s="309">
        <f t="shared" si="13"/>
        <v>32</v>
      </c>
      <c r="L65" s="452" t="str">
        <f>VLOOKUP($C65,'Typologie détaillée'!$E$4:$L$214,6,0)</f>
        <v>PERS.</v>
      </c>
      <c r="M65" s="452">
        <f>VLOOKUP($C65,'Typologie détaillée'!$E$4:$L$214,7,0)</f>
        <v>2</v>
      </c>
      <c r="N65" s="310">
        <v>16</v>
      </c>
      <c r="P65" s="129">
        <f t="shared" si="8"/>
        <v>0</v>
      </c>
      <c r="Q65" s="129">
        <f t="shared" si="9"/>
        <v>0</v>
      </c>
      <c r="R65" s="106">
        <f t="shared" si="7"/>
        <v>32</v>
      </c>
      <c r="T65" s="106" t="str">
        <f t="shared" si="12"/>
        <v/>
      </c>
      <c r="U65" s="106" t="str">
        <f t="shared" si="12"/>
        <v/>
      </c>
      <c r="V65" s="106">
        <f t="shared" si="12"/>
        <v>32</v>
      </c>
      <c r="X65" s="106" t="str">
        <f t="shared" si="10"/>
        <v/>
      </c>
      <c r="Y65" s="106" t="str">
        <f t="shared" si="10"/>
        <v/>
      </c>
      <c r="Z65" s="106">
        <f t="shared" si="10"/>
        <v>32</v>
      </c>
      <c r="AA65" s="106" t="str">
        <f t="shared" si="10"/>
        <v/>
      </c>
    </row>
    <row r="66" spans="1:39" ht="15" outlineLevel="1" x14ac:dyDescent="0.25">
      <c r="C66" s="37" t="s">
        <v>576</v>
      </c>
      <c r="D66" s="285" t="str">
        <f>VLOOKUP($C66,'Typologie détaillée'!$E$4:$H$214,3,0)</f>
        <v>Grandes salles de réunion communes</v>
      </c>
      <c r="E66" s="286" t="str">
        <f>VLOOKUP($C66,'Typologie détaillée'!$E$4:$H$214,4,0)</f>
        <v>CSA</v>
      </c>
      <c r="F66" s="142" t="s">
        <v>24</v>
      </c>
      <c r="G66" s="90">
        <v>1</v>
      </c>
      <c r="H66" s="301" t="s">
        <v>1277</v>
      </c>
      <c r="I66" s="90">
        <v>0</v>
      </c>
      <c r="J66" s="90"/>
      <c r="K66" s="309">
        <f t="shared" si="13"/>
        <v>32</v>
      </c>
      <c r="L66" s="452" t="str">
        <f>VLOOKUP($C66,'Typologie détaillée'!$E$4:$L$214,6,0)</f>
        <v>PERS.</v>
      </c>
      <c r="M66" s="452">
        <f>VLOOKUP($C66,'Typologie détaillée'!$E$4:$L$214,7,0)</f>
        <v>2</v>
      </c>
      <c r="N66" s="310">
        <v>16</v>
      </c>
      <c r="P66" s="129">
        <f t="shared" si="8"/>
        <v>0</v>
      </c>
      <c r="Q66" s="129">
        <f t="shared" si="9"/>
        <v>0</v>
      </c>
      <c r="R66" s="106">
        <f t="shared" si="7"/>
        <v>32</v>
      </c>
      <c r="T66" s="106" t="str">
        <f t="shared" si="12"/>
        <v/>
      </c>
      <c r="U66" s="106" t="str">
        <f t="shared" si="12"/>
        <v/>
      </c>
      <c r="V66" s="106">
        <f t="shared" si="12"/>
        <v>32</v>
      </c>
      <c r="X66" s="106" t="str">
        <f t="shared" si="10"/>
        <v/>
      </c>
      <c r="Y66" s="106" t="str">
        <f t="shared" si="10"/>
        <v/>
      </c>
      <c r="Z66" s="106">
        <f t="shared" si="10"/>
        <v>32</v>
      </c>
      <c r="AA66" s="106" t="str">
        <f t="shared" si="10"/>
        <v/>
      </c>
    </row>
    <row r="67" spans="1:39" ht="15" outlineLevel="1" x14ac:dyDescent="0.25">
      <c r="C67" s="37" t="s">
        <v>576</v>
      </c>
      <c r="D67" s="285" t="str">
        <f>VLOOKUP($C67,'Typologie détaillée'!$E$4:$H$214,3,0)</f>
        <v>Grandes salles de réunion communes</v>
      </c>
      <c r="E67" s="286" t="str">
        <f>VLOOKUP($C67,'Typologie détaillée'!$E$4:$H$214,4,0)</f>
        <v>CSA</v>
      </c>
      <c r="F67" s="142" t="s">
        <v>24</v>
      </c>
      <c r="G67" s="90">
        <v>1</v>
      </c>
      <c r="H67" s="301" t="s">
        <v>1278</v>
      </c>
      <c r="I67" s="90">
        <v>0</v>
      </c>
      <c r="J67" s="90"/>
      <c r="K67" s="309">
        <f t="shared" si="11"/>
        <v>60</v>
      </c>
      <c r="L67" s="452" t="str">
        <f>VLOOKUP($C67,'Typologie détaillée'!$E$4:$L$214,6,0)</f>
        <v>PERS.</v>
      </c>
      <c r="M67" s="452">
        <f>VLOOKUP($C67,'Typologie détaillée'!$E$4:$L$214,7,0)</f>
        <v>2</v>
      </c>
      <c r="N67" s="310">
        <v>30</v>
      </c>
      <c r="P67" s="129">
        <f t="shared" si="8"/>
        <v>0</v>
      </c>
      <c r="Q67" s="129">
        <f t="shared" si="9"/>
        <v>0</v>
      </c>
      <c r="R67" s="106">
        <f t="shared" si="7"/>
        <v>60</v>
      </c>
      <c r="T67" s="106" t="str">
        <f t="shared" si="12"/>
        <v/>
      </c>
      <c r="U67" s="106" t="str">
        <f t="shared" si="12"/>
        <v/>
      </c>
      <c r="V67" s="106">
        <f t="shared" si="12"/>
        <v>60</v>
      </c>
      <c r="X67" s="106" t="str">
        <f t="shared" si="10"/>
        <v/>
      </c>
      <c r="Y67" s="106" t="str">
        <f t="shared" si="10"/>
        <v/>
      </c>
      <c r="Z67" s="106">
        <f t="shared" si="10"/>
        <v>60</v>
      </c>
      <c r="AA67" s="106" t="str">
        <f t="shared" si="10"/>
        <v/>
      </c>
    </row>
    <row r="68" spans="1:39" ht="15" outlineLevel="1" x14ac:dyDescent="0.25">
      <c r="C68" s="37" t="s">
        <v>576</v>
      </c>
      <c r="D68" s="285" t="str">
        <f>VLOOKUP($C68,'Typologie détaillée'!$E$4:$H$214,3,0)</f>
        <v>Grandes salles de réunion communes</v>
      </c>
      <c r="E68" s="286" t="str">
        <f>VLOOKUP($C68,'Typologie détaillée'!$E$4:$H$214,4,0)</f>
        <v>CSA</v>
      </c>
      <c r="F68" s="142" t="s">
        <v>24</v>
      </c>
      <c r="G68" s="90">
        <v>1</v>
      </c>
      <c r="H68" s="301" t="s">
        <v>1279</v>
      </c>
      <c r="I68" s="90">
        <v>0</v>
      </c>
      <c r="J68" s="90"/>
      <c r="K68" s="309">
        <f t="shared" si="4"/>
        <v>24</v>
      </c>
      <c r="L68" s="452" t="str">
        <f>VLOOKUP($C68,'Typologie détaillée'!$E$4:$L$214,6,0)</f>
        <v>PERS.</v>
      </c>
      <c r="M68" s="452">
        <f>VLOOKUP($C68,'Typologie détaillée'!$E$4:$L$214,7,0)</f>
        <v>2</v>
      </c>
      <c r="N68" s="310">
        <v>12</v>
      </c>
      <c r="P68" s="129">
        <f t="shared" si="8"/>
        <v>0</v>
      </c>
      <c r="Q68" s="129">
        <f t="shared" si="9"/>
        <v>0</v>
      </c>
      <c r="R68" s="106">
        <f t="shared" si="7"/>
        <v>24</v>
      </c>
      <c r="T68" s="106" t="str">
        <f t="shared" si="12"/>
        <v/>
      </c>
      <c r="U68" s="106" t="str">
        <f t="shared" si="12"/>
        <v/>
      </c>
      <c r="V68" s="106">
        <f t="shared" si="12"/>
        <v>24</v>
      </c>
      <c r="X68" s="106" t="str">
        <f t="shared" si="10"/>
        <v/>
      </c>
      <c r="Y68" s="106" t="str">
        <f t="shared" si="10"/>
        <v/>
      </c>
      <c r="Z68" s="106">
        <f t="shared" si="10"/>
        <v>24</v>
      </c>
      <c r="AA68" s="106" t="str">
        <f t="shared" si="10"/>
        <v/>
      </c>
    </row>
    <row r="69" spans="1:39" ht="15" outlineLevel="1" x14ac:dyDescent="0.25">
      <c r="C69" s="37" t="s">
        <v>576</v>
      </c>
      <c r="D69" s="285" t="str">
        <f>VLOOKUP($C69,'Typologie détaillée'!$E$4:$H$214,3,0)</f>
        <v>Grandes salles de réunion communes</v>
      </c>
      <c r="E69" s="286" t="str">
        <f>VLOOKUP($C69,'Typologie détaillée'!$E$4:$H$214,4,0)</f>
        <v>CSA</v>
      </c>
      <c r="F69" s="142" t="s">
        <v>24</v>
      </c>
      <c r="G69" s="90">
        <v>1</v>
      </c>
      <c r="H69" s="301" t="s">
        <v>1280</v>
      </c>
      <c r="I69" s="90">
        <v>0</v>
      </c>
      <c r="J69" s="90"/>
      <c r="K69" s="309">
        <f t="shared" si="4"/>
        <v>34</v>
      </c>
      <c r="L69" s="452" t="str">
        <f>VLOOKUP($C69,'Typologie détaillée'!$E$4:$L$214,6,0)</f>
        <v>PERS.</v>
      </c>
      <c r="M69" s="452">
        <f>VLOOKUP($C69,'Typologie détaillée'!$E$4:$L$214,7,0)</f>
        <v>2</v>
      </c>
      <c r="N69" s="310">
        <v>17</v>
      </c>
      <c r="P69" s="129">
        <f t="shared" si="8"/>
        <v>0</v>
      </c>
      <c r="Q69" s="129">
        <f t="shared" si="9"/>
        <v>0</v>
      </c>
      <c r="R69" s="106">
        <f t="shared" si="7"/>
        <v>34</v>
      </c>
      <c r="T69" s="106" t="str">
        <f t="shared" si="12"/>
        <v/>
      </c>
      <c r="U69" s="106" t="str">
        <f t="shared" si="12"/>
        <v/>
      </c>
      <c r="V69" s="106">
        <f t="shared" si="12"/>
        <v>34</v>
      </c>
      <c r="X69" s="106" t="str">
        <f t="shared" si="10"/>
        <v/>
      </c>
      <c r="Y69" s="106" t="str">
        <f t="shared" si="10"/>
        <v/>
      </c>
      <c r="Z69" s="106">
        <f t="shared" si="10"/>
        <v>34</v>
      </c>
      <c r="AA69" s="106" t="str">
        <f t="shared" si="10"/>
        <v/>
      </c>
    </row>
    <row r="70" spans="1:39" ht="15" outlineLevel="1" x14ac:dyDescent="0.25">
      <c r="C70" s="37" t="s">
        <v>576</v>
      </c>
      <c r="D70" s="285" t="str">
        <f>VLOOKUP($C70,'Typologie détaillée'!$E$4:$H$214,3,0)</f>
        <v>Grandes salles de réunion communes</v>
      </c>
      <c r="E70" s="286" t="str">
        <f>VLOOKUP($C70,'Typologie détaillée'!$E$4:$H$214,4,0)</f>
        <v>CSA</v>
      </c>
      <c r="F70" s="142" t="s">
        <v>24</v>
      </c>
      <c r="G70" s="90">
        <v>1</v>
      </c>
      <c r="H70" s="301" t="s">
        <v>1281</v>
      </c>
      <c r="I70" s="90">
        <v>0</v>
      </c>
      <c r="J70" s="90"/>
      <c r="K70" s="309">
        <f t="shared" si="4"/>
        <v>32</v>
      </c>
      <c r="L70" s="452" t="str">
        <f>VLOOKUP($C70,'Typologie détaillée'!$E$4:$L$214,6,0)</f>
        <v>PERS.</v>
      </c>
      <c r="M70" s="452">
        <f>VLOOKUP($C70,'Typologie détaillée'!$E$4:$L$214,7,0)</f>
        <v>2</v>
      </c>
      <c r="N70" s="310">
        <v>16</v>
      </c>
      <c r="P70" s="129">
        <f t="shared" ref="P70:P71" si="14">$G70*I70</f>
        <v>0</v>
      </c>
      <c r="Q70" s="129">
        <f t="shared" ref="Q70:Q71" si="15">$G70*J70</f>
        <v>0</v>
      </c>
      <c r="R70" s="106">
        <f t="shared" si="7"/>
        <v>32</v>
      </c>
      <c r="T70" s="106" t="str">
        <f t="shared" si="12"/>
        <v/>
      </c>
      <c r="U70" s="106" t="str">
        <f t="shared" si="12"/>
        <v/>
      </c>
      <c r="V70" s="106">
        <f t="shared" si="12"/>
        <v>32</v>
      </c>
      <c r="X70" s="106" t="str">
        <f t="shared" si="10"/>
        <v/>
      </c>
      <c r="Y70" s="106" t="str">
        <f t="shared" si="10"/>
        <v/>
      </c>
      <c r="Z70" s="106">
        <f t="shared" si="10"/>
        <v>32</v>
      </c>
      <c r="AA70" s="106" t="str">
        <f t="shared" si="10"/>
        <v/>
      </c>
    </row>
    <row r="71" spans="1:39" ht="15" outlineLevel="1" x14ac:dyDescent="0.25">
      <c r="C71" s="37" t="s">
        <v>576</v>
      </c>
      <c r="D71" s="285" t="str">
        <f>VLOOKUP($C71,'Typologie détaillée'!$E$4:$H$214,3,0)</f>
        <v>Grandes salles de réunion communes</v>
      </c>
      <c r="E71" s="286" t="str">
        <f>VLOOKUP($C71,'Typologie détaillée'!$E$4:$H$214,4,0)</f>
        <v>CSA</v>
      </c>
      <c r="F71" s="142" t="s">
        <v>24</v>
      </c>
      <c r="G71" s="90">
        <v>1</v>
      </c>
      <c r="H71" s="455" t="s">
        <v>1282</v>
      </c>
      <c r="I71" s="90">
        <v>0</v>
      </c>
      <c r="J71" s="90"/>
      <c r="K71" s="309">
        <f t="shared" si="4"/>
        <v>0</v>
      </c>
      <c r="L71" s="452" t="str">
        <f>VLOOKUP($C71,'Typologie détaillée'!$E$4:$L$214,6,0)</f>
        <v>PERS.</v>
      </c>
      <c r="M71" s="452">
        <f>VLOOKUP($C71,'Typologie détaillée'!$E$4:$L$214,7,0)</f>
        <v>2</v>
      </c>
      <c r="N71" s="310">
        <v>0</v>
      </c>
      <c r="P71" s="129">
        <f t="shared" si="14"/>
        <v>0</v>
      </c>
      <c r="Q71" s="129">
        <f t="shared" si="15"/>
        <v>0</v>
      </c>
      <c r="R71" s="106">
        <f t="shared" si="7"/>
        <v>0</v>
      </c>
      <c r="T71" s="106" t="str">
        <f t="shared" si="12"/>
        <v/>
      </c>
      <c r="U71" s="106" t="str">
        <f t="shared" si="12"/>
        <v/>
      </c>
      <c r="V71" s="106">
        <f t="shared" si="12"/>
        <v>0</v>
      </c>
      <c r="X71" s="106" t="str">
        <f t="shared" si="10"/>
        <v/>
      </c>
      <c r="Y71" s="106" t="str">
        <f t="shared" si="10"/>
        <v/>
      </c>
      <c r="Z71" s="106">
        <f t="shared" si="10"/>
        <v>0</v>
      </c>
      <c r="AA71" s="106" t="str">
        <f t="shared" si="10"/>
        <v/>
      </c>
    </row>
    <row r="72" spans="1:39" ht="15" outlineLevel="1" x14ac:dyDescent="0.25">
      <c r="C72" s="37" t="s">
        <v>576</v>
      </c>
      <c r="D72" s="285" t="str">
        <f>VLOOKUP($C72,'Typologie détaillée'!$E$4:$H$214,3,0)</f>
        <v>Grandes salles de réunion communes</v>
      </c>
      <c r="E72" s="286" t="str">
        <f>VLOOKUP($C72,'Typologie détaillée'!$E$4:$H$214,4,0)</f>
        <v>CSA</v>
      </c>
      <c r="F72" s="142" t="s">
        <v>24</v>
      </c>
      <c r="G72" s="90">
        <v>1</v>
      </c>
      <c r="H72" s="301" t="s">
        <v>1283</v>
      </c>
      <c r="I72" s="90">
        <v>0</v>
      </c>
      <c r="J72" s="90"/>
      <c r="K72" s="309">
        <f t="shared" si="4"/>
        <v>36</v>
      </c>
      <c r="L72" s="452" t="str">
        <f>VLOOKUP($C72,'Typologie détaillée'!$E$4:$L$214,6,0)</f>
        <v>PERS.</v>
      </c>
      <c r="M72" s="452">
        <f>VLOOKUP($C72,'Typologie détaillée'!$E$4:$L$214,7,0)</f>
        <v>2</v>
      </c>
      <c r="N72" s="310">
        <v>18</v>
      </c>
      <c r="P72" s="129">
        <f t="shared" ref="P72:P76" si="16">$G72*I72</f>
        <v>0</v>
      </c>
      <c r="Q72" s="129">
        <f t="shared" ref="Q72:Q76" si="17">$G72*J72</f>
        <v>0</v>
      </c>
      <c r="R72" s="106">
        <f t="shared" si="7"/>
        <v>36</v>
      </c>
      <c r="T72" s="106" t="str">
        <f t="shared" si="12"/>
        <v/>
      </c>
      <c r="U72" s="106" t="str">
        <f t="shared" si="12"/>
        <v/>
      </c>
      <c r="V72" s="106">
        <f t="shared" si="12"/>
        <v>36</v>
      </c>
      <c r="X72" s="106" t="str">
        <f t="shared" si="10"/>
        <v/>
      </c>
      <c r="Y72" s="106" t="str">
        <f t="shared" si="10"/>
        <v/>
      </c>
      <c r="Z72" s="106">
        <f t="shared" si="10"/>
        <v>36</v>
      </c>
      <c r="AA72" s="106" t="str">
        <f t="shared" si="10"/>
        <v/>
      </c>
    </row>
    <row r="73" spans="1:39" ht="15" outlineLevel="1" x14ac:dyDescent="0.25">
      <c r="C73" s="37" t="s">
        <v>576</v>
      </c>
      <c r="D73" s="285" t="str">
        <f>VLOOKUP($C73,'Typologie détaillée'!$E$4:$H$214,3,0)</f>
        <v>Grandes salles de réunion communes</v>
      </c>
      <c r="E73" s="286" t="str">
        <f>VLOOKUP($C73,'Typologie détaillée'!$E$4:$H$214,4,0)</f>
        <v>CSA</v>
      </c>
      <c r="F73" s="142" t="s">
        <v>24</v>
      </c>
      <c r="G73" s="90">
        <v>1</v>
      </c>
      <c r="H73" s="455" t="s">
        <v>1284</v>
      </c>
      <c r="I73" s="90">
        <v>0</v>
      </c>
      <c r="J73" s="90"/>
      <c r="K73" s="309">
        <f t="shared" si="4"/>
        <v>0</v>
      </c>
      <c r="L73" s="452" t="str">
        <f>VLOOKUP($C73,'Typologie détaillée'!$E$4:$L$214,6,0)</f>
        <v>PERS.</v>
      </c>
      <c r="M73" s="452">
        <f>VLOOKUP($C73,'Typologie détaillée'!$E$4:$L$214,7,0)</f>
        <v>2</v>
      </c>
      <c r="N73" s="310">
        <v>0</v>
      </c>
      <c r="P73" s="129">
        <f t="shared" si="16"/>
        <v>0</v>
      </c>
      <c r="Q73" s="129">
        <f t="shared" si="17"/>
        <v>0</v>
      </c>
      <c r="R73" s="106">
        <f t="shared" si="7"/>
        <v>0</v>
      </c>
      <c r="T73" s="106" t="str">
        <f t="shared" si="12"/>
        <v/>
      </c>
      <c r="U73" s="106" t="str">
        <f t="shared" si="12"/>
        <v/>
      </c>
      <c r="V73" s="106">
        <f t="shared" si="12"/>
        <v>0</v>
      </c>
      <c r="X73" s="106" t="str">
        <f t="shared" si="10"/>
        <v/>
      </c>
      <c r="Y73" s="106" t="str">
        <f t="shared" si="10"/>
        <v/>
      </c>
      <c r="Z73" s="106">
        <f t="shared" si="10"/>
        <v>0</v>
      </c>
      <c r="AA73" s="106" t="str">
        <f t="shared" si="10"/>
        <v/>
      </c>
    </row>
    <row r="74" spans="1:39" ht="15" outlineLevel="1" x14ac:dyDescent="0.25">
      <c r="C74" s="37" t="s">
        <v>576</v>
      </c>
      <c r="D74" s="285" t="str">
        <f>VLOOKUP($C74,'Typologie détaillée'!$E$4:$H$214,3,0)</f>
        <v>Grandes salles de réunion communes</v>
      </c>
      <c r="E74" s="286" t="str">
        <f>VLOOKUP($C74,'Typologie détaillée'!$E$4:$H$214,4,0)</f>
        <v>CSA</v>
      </c>
      <c r="F74" s="142" t="s">
        <v>24</v>
      </c>
      <c r="G74" s="90">
        <v>1</v>
      </c>
      <c r="H74" s="301" t="s">
        <v>1285</v>
      </c>
      <c r="I74" s="90">
        <v>0</v>
      </c>
      <c r="J74" s="90"/>
      <c r="K74" s="309">
        <f t="shared" si="4"/>
        <v>30</v>
      </c>
      <c r="L74" s="452" t="str">
        <f>VLOOKUP($C74,'Typologie détaillée'!$E$4:$L$214,6,0)</f>
        <v>PERS.</v>
      </c>
      <c r="M74" s="452">
        <f>VLOOKUP($C74,'Typologie détaillée'!$E$4:$L$214,7,0)</f>
        <v>2</v>
      </c>
      <c r="N74" s="310">
        <v>15</v>
      </c>
      <c r="P74" s="129">
        <f t="shared" si="16"/>
        <v>0</v>
      </c>
      <c r="Q74" s="129">
        <f t="shared" si="17"/>
        <v>0</v>
      </c>
      <c r="R74" s="106">
        <f t="shared" si="7"/>
        <v>30</v>
      </c>
      <c r="T74" s="106" t="str">
        <f t="shared" si="12"/>
        <v/>
      </c>
      <c r="U74" s="106" t="str">
        <f t="shared" si="12"/>
        <v/>
      </c>
      <c r="V74" s="106">
        <f t="shared" si="12"/>
        <v>30</v>
      </c>
      <c r="X74" s="106" t="str">
        <f t="shared" si="10"/>
        <v/>
      </c>
      <c r="Y74" s="106" t="str">
        <f t="shared" si="10"/>
        <v/>
      </c>
      <c r="Z74" s="106">
        <f t="shared" si="10"/>
        <v>30</v>
      </c>
      <c r="AA74" s="106" t="str">
        <f t="shared" si="10"/>
        <v/>
      </c>
    </row>
    <row r="75" spans="1:39" ht="15" outlineLevel="1" x14ac:dyDescent="0.25">
      <c r="C75" s="37" t="s">
        <v>576</v>
      </c>
      <c r="D75" s="285" t="str">
        <f>VLOOKUP($C75,'Typologie détaillée'!$E$4:$H$214,3,0)</f>
        <v>Grandes salles de réunion communes</v>
      </c>
      <c r="E75" s="286" t="str">
        <f>VLOOKUP($C75,'Typologie détaillée'!$E$4:$H$214,4,0)</f>
        <v>CSA</v>
      </c>
      <c r="F75" s="142" t="s">
        <v>24</v>
      </c>
      <c r="G75" s="90">
        <v>4</v>
      </c>
      <c r="H75" s="301" t="s">
        <v>1286</v>
      </c>
      <c r="I75" s="90">
        <v>0</v>
      </c>
      <c r="J75" s="90"/>
      <c r="K75" s="309">
        <f>IF(OR(L75="MiN.",L75="SPEC."),N75,M75*N75)</f>
        <v>52</v>
      </c>
      <c r="L75" s="452" t="str">
        <f>VLOOKUP($C75,'Typologie détaillée'!$E$4:$L$214,6,0)</f>
        <v>PERS.</v>
      </c>
      <c r="M75" s="452">
        <f>VLOOKUP($C75,'Typologie détaillée'!$E$4:$L$214,7,0)</f>
        <v>2</v>
      </c>
      <c r="N75" s="310">
        <v>26</v>
      </c>
      <c r="P75" s="129">
        <f t="shared" si="16"/>
        <v>0</v>
      </c>
      <c r="Q75" s="129">
        <f t="shared" si="17"/>
        <v>0</v>
      </c>
      <c r="R75" s="106">
        <f t="shared" si="7"/>
        <v>208</v>
      </c>
      <c r="T75" s="106" t="str">
        <f t="shared" si="12"/>
        <v/>
      </c>
      <c r="U75" s="106" t="str">
        <f t="shared" si="12"/>
        <v/>
      </c>
      <c r="V75" s="106">
        <f t="shared" si="12"/>
        <v>208</v>
      </c>
      <c r="X75" s="106" t="str">
        <f t="shared" si="10"/>
        <v/>
      </c>
      <c r="Y75" s="106" t="str">
        <f t="shared" si="10"/>
        <v/>
      </c>
      <c r="Z75" s="106">
        <f t="shared" si="10"/>
        <v>208</v>
      </c>
      <c r="AA75" s="106" t="str">
        <f t="shared" si="10"/>
        <v/>
      </c>
    </row>
    <row r="76" spans="1:39" ht="15" outlineLevel="1" x14ac:dyDescent="0.25">
      <c r="C76" s="37" t="s">
        <v>576</v>
      </c>
      <c r="D76" s="285" t="str">
        <f>VLOOKUP($C76,'Typologie détaillée'!$E$4:$H$214,3,0)</f>
        <v>Grandes salles de réunion communes</v>
      </c>
      <c r="E76" s="286" t="str">
        <f>VLOOKUP($C76,'Typologie détaillée'!$E$4:$H$214,4,0)</f>
        <v>CSA</v>
      </c>
      <c r="F76" s="142" t="s">
        <v>24</v>
      </c>
      <c r="G76" s="90">
        <v>1</v>
      </c>
      <c r="H76" s="301" t="s">
        <v>1287</v>
      </c>
      <c r="I76" s="90">
        <v>0</v>
      </c>
      <c r="J76" s="90"/>
      <c r="K76" s="309">
        <f>IF(OR(L76="MiN.",L76="SPEC."),N76,M76*N76)</f>
        <v>40</v>
      </c>
      <c r="L76" s="452" t="str">
        <f>VLOOKUP($C76,'Typologie détaillée'!$E$4:$L$214,6,0)</f>
        <v>PERS.</v>
      </c>
      <c r="M76" s="452">
        <f>VLOOKUP($C76,'Typologie détaillée'!$E$4:$L$214,7,0)</f>
        <v>2</v>
      </c>
      <c r="N76" s="310">
        <v>20</v>
      </c>
      <c r="P76" s="129">
        <f t="shared" si="16"/>
        <v>0</v>
      </c>
      <c r="Q76" s="129">
        <f t="shared" si="17"/>
        <v>0</v>
      </c>
      <c r="R76" s="106">
        <f t="shared" si="7"/>
        <v>40</v>
      </c>
      <c r="T76" s="106" t="str">
        <f t="shared" si="12"/>
        <v/>
      </c>
      <c r="U76" s="106" t="str">
        <f t="shared" si="12"/>
        <v/>
      </c>
      <c r="V76" s="106">
        <f t="shared" si="12"/>
        <v>40</v>
      </c>
      <c r="X76" s="106" t="str">
        <f t="shared" si="10"/>
        <v/>
      </c>
      <c r="Y76" s="106" t="str">
        <f t="shared" si="10"/>
        <v/>
      </c>
      <c r="Z76" s="106">
        <f t="shared" si="10"/>
        <v>40</v>
      </c>
      <c r="AA76" s="106" t="str">
        <f t="shared" si="10"/>
        <v/>
      </c>
    </row>
    <row r="77" spans="1:39" ht="15" outlineLevel="1" x14ac:dyDescent="0.25">
      <c r="C77" s="37" t="s">
        <v>522</v>
      </c>
      <c r="D77" s="285" t="str">
        <f>VLOOKUP($C77,'Typologie détaillée'!$E$4:$H$214,3,0)</f>
        <v>Archives mortes</v>
      </c>
      <c r="E77" s="286" t="str">
        <f>VLOOKUP($C77,'Typologie détaillée'!$E$4:$H$214,4,0)</f>
        <v>CSA</v>
      </c>
      <c r="F77" s="142" t="s">
        <v>25</v>
      </c>
      <c r="G77" s="90">
        <v>1</v>
      </c>
      <c r="H77" s="298" t="s">
        <v>783</v>
      </c>
      <c r="I77" s="90"/>
      <c r="J77" s="90"/>
      <c r="K77" s="309">
        <v>1706.6</v>
      </c>
      <c r="L77" s="452" t="str">
        <f>VLOOKUP($C77,'Typologie détaillée'!$E$4:$L$214,6,0)</f>
        <v>M. COURANT</v>
      </c>
      <c r="M77" s="452">
        <f>VLOOKUP($C77,'Typologie détaillée'!$E$4:$L$214,7,0)</f>
        <v>0</v>
      </c>
      <c r="N77" s="310">
        <v>1706.64</v>
      </c>
      <c r="P77" s="129">
        <f t="shared" ref="P77:P78" si="18">$G77*I77</f>
        <v>0</v>
      </c>
      <c r="Q77" s="129">
        <f t="shared" ref="Q77:Q78" si="19">$G77*J77</f>
        <v>0</v>
      </c>
      <c r="R77" s="106">
        <f t="shared" ref="R77:R78" si="20">$G77*K77</f>
        <v>1706.6</v>
      </c>
      <c r="T77" s="106" t="str">
        <f t="shared" si="1"/>
        <v/>
      </c>
      <c r="U77" s="106" t="str">
        <f t="shared" si="1"/>
        <v/>
      </c>
      <c r="V77" s="106">
        <f t="shared" si="1"/>
        <v>1706.6</v>
      </c>
      <c r="X77" s="106" t="str">
        <f t="shared" si="2"/>
        <v/>
      </c>
      <c r="Y77" s="106" t="str">
        <f t="shared" si="2"/>
        <v/>
      </c>
      <c r="Z77" s="106" t="str">
        <f t="shared" si="2"/>
        <v/>
      </c>
      <c r="AA77" s="106">
        <f t="shared" si="2"/>
        <v>1706.6</v>
      </c>
    </row>
    <row r="78" spans="1:39" s="138" customFormat="1" x14ac:dyDescent="0.2">
      <c r="A78" s="138" t="str">
        <f>A7</f>
        <v>CSA</v>
      </c>
      <c r="B78" s="138" t="str">
        <f>B7</f>
        <v>Locaux standards</v>
      </c>
      <c r="D78" s="138" t="s">
        <v>97</v>
      </c>
      <c r="E78" s="139"/>
      <c r="F78" s="139"/>
      <c r="G78" s="139"/>
      <c r="H78" s="299"/>
      <c r="I78" s="139">
        <f>SUM(I11:I76)</f>
        <v>0</v>
      </c>
      <c r="J78" s="139"/>
      <c r="K78" s="309"/>
      <c r="P78" s="129">
        <f t="shared" si="18"/>
        <v>0</v>
      </c>
      <c r="Q78" s="129">
        <f t="shared" si="19"/>
        <v>0</v>
      </c>
      <c r="R78" s="106">
        <f t="shared" si="20"/>
        <v>0</v>
      </c>
      <c r="S78"/>
      <c r="T78" s="106" t="str">
        <f t="shared" ref="T78:V82" si="21">IF($E78=T$4,$R78,"")</f>
        <v/>
      </c>
      <c r="U78" s="106" t="str">
        <f t="shared" si="21"/>
        <v/>
      </c>
      <c r="V78" s="106" t="str">
        <f t="shared" si="21"/>
        <v/>
      </c>
      <c r="W78"/>
      <c r="X78" s="106" t="str">
        <f t="shared" ref="X78:AA82" si="22">IF($F78=X$4,$R78,"")</f>
        <v/>
      </c>
      <c r="Y78" s="106" t="str">
        <f t="shared" si="22"/>
        <v/>
      </c>
      <c r="Z78" s="106" t="str">
        <f t="shared" si="22"/>
        <v/>
      </c>
      <c r="AA78" s="106" t="str">
        <f t="shared" si="22"/>
        <v/>
      </c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15" outlineLevel="1" x14ac:dyDescent="0.25">
      <c r="A79" t="s">
        <v>90</v>
      </c>
      <c r="B79" t="s">
        <v>664</v>
      </c>
      <c r="C79" s="37" t="s">
        <v>548</v>
      </c>
      <c r="D79" s="285" t="str">
        <f>VLOOKUP($C79,'Typologie détaillée'!$E$4:$H$214,3,0)</f>
        <v>Imprimeries</v>
      </c>
      <c r="E79" s="286" t="str">
        <f>VLOOKUP($C79,'Typologie détaillée'!$E$4:$H$214,4,0)</f>
        <v>CSA</v>
      </c>
      <c r="F79" s="142" t="s">
        <v>23</v>
      </c>
      <c r="G79" s="90">
        <v>1</v>
      </c>
      <c r="H79" s="301" t="s">
        <v>784</v>
      </c>
      <c r="I79" s="90"/>
      <c r="J79" s="90"/>
      <c r="K79" s="309">
        <f>IF(OR(L79="MiN.",L79="SPEC."),N79,M79*N79)</f>
        <v>293</v>
      </c>
      <c r="L79" s="286" t="str">
        <f>VLOOKUP($C79,'Typologie détaillée'!$E$4:$L$214,6,0)</f>
        <v>SPEC.</v>
      </c>
      <c r="M79" s="286">
        <f>VLOOKUP($C79,'Typologie détaillée'!$E$4:$L$214,7,0)</f>
        <v>0</v>
      </c>
      <c r="N79" s="310">
        <v>293</v>
      </c>
      <c r="P79" s="129"/>
      <c r="Q79" s="129"/>
      <c r="R79" s="106"/>
      <c r="T79" s="106"/>
      <c r="U79" s="106"/>
      <c r="V79" s="106"/>
      <c r="X79" s="106"/>
      <c r="Y79" s="106"/>
      <c r="Z79" s="106"/>
      <c r="AA79" s="106"/>
    </row>
    <row r="80" spans="1:39" ht="15" outlineLevel="1" x14ac:dyDescent="0.25">
      <c r="C80" s="37" t="s">
        <v>495</v>
      </c>
      <c r="D80" s="285" t="str">
        <f>VLOOKUP($C80,'Typologie détaillée'!$E$4:$H$214,3,0)</f>
        <v>Locaux "gardiens"</v>
      </c>
      <c r="E80" s="286" t="str">
        <f>VLOOKUP($C80,'Typologie détaillée'!$E$4:$H$214,4,0)</f>
        <v>CSA</v>
      </c>
      <c r="F80" s="142" t="s">
        <v>24</v>
      </c>
      <c r="G80" s="90">
        <v>1</v>
      </c>
      <c r="H80" s="301" t="s">
        <v>977</v>
      </c>
      <c r="I80" s="90"/>
      <c r="J80" s="90"/>
      <c r="K80" s="309">
        <f t="shared" ref="K80:K82" si="23">IF(OR(L80="MiN.",L80="SPEC."),N80,M80*N80)</f>
        <v>0</v>
      </c>
      <c r="L80" s="286" t="str">
        <f>VLOOKUP($C80,'Typologie détaillée'!$E$4:$L$214,6,0)</f>
        <v>PERS.</v>
      </c>
      <c r="M80" s="286">
        <f>VLOOKUP($C80,'Typologie détaillée'!$E$4:$L$214,7,0)</f>
        <v>0</v>
      </c>
      <c r="N80" s="310"/>
      <c r="P80" s="129">
        <f t="shared" ref="P80" si="24">$G80*I80</f>
        <v>0</v>
      </c>
      <c r="Q80" s="129">
        <f t="shared" ref="Q80" si="25">$G80*J80</f>
        <v>0</v>
      </c>
      <c r="R80" s="106">
        <f t="shared" ref="R80" si="26">$G80*K80</f>
        <v>0</v>
      </c>
      <c r="T80" s="106" t="str">
        <f t="shared" si="21"/>
        <v/>
      </c>
      <c r="U80" s="106" t="str">
        <f t="shared" si="21"/>
        <v/>
      </c>
      <c r="V80" s="106">
        <f t="shared" si="21"/>
        <v>0</v>
      </c>
      <c r="X80" s="106" t="str">
        <f t="shared" si="22"/>
        <v/>
      </c>
      <c r="Y80" s="106" t="str">
        <f t="shared" si="22"/>
        <v/>
      </c>
      <c r="Z80" s="106">
        <f t="shared" si="22"/>
        <v>0</v>
      </c>
      <c r="AA80" s="106" t="str">
        <f t="shared" si="22"/>
        <v/>
      </c>
    </row>
    <row r="81" spans="1:85" ht="15" outlineLevel="1" x14ac:dyDescent="0.25">
      <c r="C81" s="37" t="s">
        <v>495</v>
      </c>
      <c r="D81" s="285" t="str">
        <f>VLOOKUP($C81,'Typologie détaillée'!$E$4:$H$214,3,0)</f>
        <v>Locaux "gardiens"</v>
      </c>
      <c r="E81" s="286" t="str">
        <f>VLOOKUP($C81,'Typologie détaillée'!$E$4:$H$214,4,0)</f>
        <v>CSA</v>
      </c>
      <c r="F81" s="142" t="s">
        <v>24</v>
      </c>
      <c r="G81" s="90">
        <v>1</v>
      </c>
      <c r="H81" s="301" t="s">
        <v>978</v>
      </c>
      <c r="I81" s="90"/>
      <c r="J81" s="90"/>
      <c r="K81" s="309">
        <f t="shared" si="23"/>
        <v>0</v>
      </c>
      <c r="L81" s="286" t="str">
        <f>VLOOKUP($C81,'Typologie détaillée'!$E$4:$L$214,6,0)</f>
        <v>PERS.</v>
      </c>
      <c r="M81" s="286">
        <f>VLOOKUP($C81,'Typologie détaillée'!$E$4:$L$214,7,0)</f>
        <v>0</v>
      </c>
      <c r="N81" s="310">
        <v>0</v>
      </c>
      <c r="P81" s="129"/>
      <c r="Q81" s="129"/>
      <c r="R81" s="106"/>
      <c r="T81" s="106"/>
      <c r="U81" s="106"/>
      <c r="V81" s="106"/>
      <c r="X81" s="106"/>
      <c r="Y81" s="106"/>
      <c r="Z81" s="106"/>
      <c r="AA81" s="106"/>
    </row>
    <row r="82" spans="1:85" ht="15" outlineLevel="1" x14ac:dyDescent="0.25">
      <c r="C82" s="37" t="s">
        <v>458</v>
      </c>
      <c r="D82" s="285" t="str">
        <f>VLOOKUP($C82,'Typologie détaillée'!$E$4:$H$214,3,0)</f>
        <v>Conciergeries</v>
      </c>
      <c r="E82" s="286" t="str">
        <f>VLOOKUP($C82,'Typologie détaillée'!$E$4:$H$214,4,0)</f>
        <v>CSA</v>
      </c>
      <c r="F82" s="142" t="s">
        <v>23</v>
      </c>
      <c r="G82" s="90">
        <v>1</v>
      </c>
      <c r="H82" s="301" t="s">
        <v>789</v>
      </c>
      <c r="I82" s="90"/>
      <c r="J82" s="90"/>
      <c r="K82" s="309">
        <f t="shared" si="23"/>
        <v>63</v>
      </c>
      <c r="L82" s="286" t="str">
        <f>VLOOKUP($C82,'Typologie détaillée'!$E$4:$L$214,6,0)</f>
        <v>SPEC.</v>
      </c>
      <c r="M82" s="286">
        <f>VLOOKUP($C82,'Typologie détaillée'!$E$4:$L$214,7,0)</f>
        <v>0</v>
      </c>
      <c r="N82" s="310">
        <v>63</v>
      </c>
      <c r="P82" s="129">
        <f t="shared" ref="P82" si="27">$G82*I82</f>
        <v>0</v>
      </c>
      <c r="Q82" s="129">
        <f t="shared" ref="Q82" si="28">$G82*J82</f>
        <v>0</v>
      </c>
      <c r="R82" s="106">
        <f t="shared" ref="R82" si="29">$G82*K82</f>
        <v>63</v>
      </c>
      <c r="T82" s="106" t="str">
        <f t="shared" si="21"/>
        <v/>
      </c>
      <c r="U82" s="106" t="str">
        <f t="shared" si="21"/>
        <v/>
      </c>
      <c r="V82" s="106">
        <f t="shared" si="21"/>
        <v>63</v>
      </c>
      <c r="X82" s="106" t="str">
        <f t="shared" si="22"/>
        <v/>
      </c>
      <c r="Y82" s="106">
        <f t="shared" si="22"/>
        <v>63</v>
      </c>
      <c r="Z82" s="106" t="str">
        <f t="shared" si="22"/>
        <v/>
      </c>
      <c r="AA82" s="106" t="str">
        <f t="shared" si="22"/>
        <v/>
      </c>
    </row>
    <row r="83" spans="1:85" ht="15" outlineLevel="1" x14ac:dyDescent="0.25">
      <c r="C83" s="37" t="s">
        <v>458</v>
      </c>
      <c r="D83" s="285" t="str">
        <f>VLOOKUP($C83,'Typologie détaillée'!$E$4:$H$214,3,0)</f>
        <v>Conciergeries</v>
      </c>
      <c r="E83" s="286" t="str">
        <f>VLOOKUP($C83,'Typologie détaillée'!$E$4:$H$214,4,0)</f>
        <v>CSA</v>
      </c>
      <c r="F83" s="142" t="s">
        <v>23</v>
      </c>
      <c r="G83" s="90">
        <v>1</v>
      </c>
      <c r="H83" s="301" t="s">
        <v>791</v>
      </c>
      <c r="I83" s="90"/>
      <c r="J83" s="90"/>
      <c r="K83" s="309">
        <f>IF(OR(L83="MiN.",L83="SPEC."),N83,M83*N83)</f>
        <v>149</v>
      </c>
      <c r="L83" s="286" t="str">
        <f>VLOOKUP($C83,'Typologie détaillée'!$E$4:$L$214,6,0)</f>
        <v>SPEC.</v>
      </c>
      <c r="M83" s="286">
        <f>VLOOKUP($C83,'Typologie détaillée'!$E$4:$L$214,7,0)</f>
        <v>0</v>
      </c>
      <c r="N83" s="310">
        <v>149</v>
      </c>
      <c r="P83" s="129">
        <f t="shared" ref="P83:R83" si="30">$G83*I83</f>
        <v>0</v>
      </c>
      <c r="Q83" s="129">
        <f t="shared" si="30"/>
        <v>0</v>
      </c>
      <c r="R83" s="106">
        <f t="shared" si="30"/>
        <v>149</v>
      </c>
      <c r="T83" s="106" t="str">
        <f t="shared" ref="T83:V83" si="31">IF($E83=T$4,$R83,"")</f>
        <v/>
      </c>
      <c r="U83" s="106" t="str">
        <f t="shared" si="31"/>
        <v/>
      </c>
      <c r="V83" s="106">
        <f t="shared" si="31"/>
        <v>149</v>
      </c>
      <c r="X83" s="106" t="str">
        <f t="shared" ref="X83:AA83" si="32">IF($F83=X$4,$R83,"")</f>
        <v/>
      </c>
      <c r="Y83" s="106">
        <f t="shared" si="32"/>
        <v>149</v>
      </c>
      <c r="Z83" s="106" t="str">
        <f t="shared" si="32"/>
        <v/>
      </c>
      <c r="AA83" s="106" t="str">
        <f t="shared" si="32"/>
        <v/>
      </c>
    </row>
    <row r="84" spans="1:85" s="138" customFormat="1" x14ac:dyDescent="0.2">
      <c r="A84" s="138" t="str">
        <f>A79</f>
        <v>CSA</v>
      </c>
      <c r="B84" s="138" t="str">
        <f>B79</f>
        <v>Locaux obligatoires</v>
      </c>
      <c r="D84" s="138" t="s">
        <v>97</v>
      </c>
      <c r="E84" s="139"/>
      <c r="F84" s="139"/>
      <c r="G84" s="139"/>
      <c r="H84" s="299"/>
      <c r="I84" s="139"/>
      <c r="J84" s="139"/>
      <c r="K84" s="139"/>
      <c r="P84" s="139">
        <f>SUBTOTAL(9,P79:P83)</f>
        <v>0</v>
      </c>
      <c r="Q84" s="139">
        <f>SUBTOTAL(9,Q79:Q83)</f>
        <v>0</v>
      </c>
      <c r="R84" s="138">
        <f>SUBTOTAL(9,R79:R83)</f>
        <v>212</v>
      </c>
      <c r="T84" s="138">
        <f>SUBTOTAL(9,T79:T83)</f>
        <v>0</v>
      </c>
      <c r="U84" s="138">
        <f>SUBTOTAL(9,U79:U83)</f>
        <v>0</v>
      </c>
      <c r="V84" s="138">
        <f>SUBTOTAL(9,V79:V83)</f>
        <v>212</v>
      </c>
      <c r="X84" s="138">
        <f>SUBTOTAL(9,X79:X83)</f>
        <v>0</v>
      </c>
      <c r="Y84" s="138">
        <f>SUBTOTAL(9,Y79:Y83)</f>
        <v>212</v>
      </c>
      <c r="Z84" s="138">
        <f>SUBTOTAL(9,Z79:Z83)</f>
        <v>0</v>
      </c>
      <c r="AA84" s="138">
        <f>SUBTOTAL(9,AA79:AA83)</f>
        <v>0</v>
      </c>
    </row>
    <row r="85" spans="1:85" ht="15" outlineLevel="1" x14ac:dyDescent="0.25">
      <c r="A85" t="s">
        <v>90</v>
      </c>
      <c r="B85" t="s">
        <v>665</v>
      </c>
      <c r="C85" s="37" t="s">
        <v>480</v>
      </c>
      <c r="D85" s="285" t="str">
        <f>VLOOKUP($C85,'Typologie détaillée'!$E$4:$H$214,3,0)</f>
        <v>Cuisine</v>
      </c>
      <c r="E85" s="286" t="str">
        <f>VLOOKUP($C85,'Typologie détaillée'!$E$4:$H$214,4,0)</f>
        <v>CSA</v>
      </c>
      <c r="F85" s="142" t="s">
        <v>24</v>
      </c>
      <c r="G85" s="90">
        <v>1</v>
      </c>
      <c r="H85" s="301" t="s">
        <v>1190</v>
      </c>
      <c r="I85" s="90"/>
      <c r="J85" s="90"/>
      <c r="K85" s="309">
        <f>IF(OR(L85="MiN.",L85="SPEC."),N85,M85*N85)*0+N85</f>
        <v>92</v>
      </c>
      <c r="L85" s="286" t="str">
        <f>VLOOKUP($C85,'Typologie détaillée'!$E$4:$L$214,6,0)</f>
        <v>COUVERT</v>
      </c>
      <c r="M85" s="286">
        <f>VLOOKUP($C85,'Typologie détaillée'!$E$4:$L$214,7,0)</f>
        <v>0</v>
      </c>
      <c r="N85" s="310">
        <v>92</v>
      </c>
      <c r="P85" s="129">
        <f>$G85*I85</f>
        <v>0</v>
      </c>
      <c r="Q85" s="129">
        <f>$G85*J85</f>
        <v>0</v>
      </c>
      <c r="R85" s="106">
        <f>$G85*K85</f>
        <v>92</v>
      </c>
      <c r="T85" s="106" t="str">
        <f>IF($E85=T$4,$R85,"")</f>
        <v/>
      </c>
      <c r="U85" s="106" t="str">
        <f>IF($E85=U$4,$R85,"")</f>
        <v/>
      </c>
      <c r="V85" s="106">
        <f>IF($E85=V$4,$R85,"")</f>
        <v>92</v>
      </c>
      <c r="X85" s="106" t="str">
        <f>IF($F85=X$4,$R85,"")</f>
        <v/>
      </c>
      <c r="Y85" s="106" t="str">
        <f>IF($F85=Y$4,$R85,"")</f>
        <v/>
      </c>
      <c r="Z85" s="106">
        <f>IF($F85=Z$4,$R85,"")</f>
        <v>92</v>
      </c>
      <c r="AA85" s="106" t="str">
        <f>IF($F85=AA$4,$R85,"")</f>
        <v/>
      </c>
    </row>
    <row r="86" spans="1:85" ht="15" outlineLevel="1" x14ac:dyDescent="0.25">
      <c r="C86" s="37" t="s">
        <v>549</v>
      </c>
      <c r="D86" s="285" t="str">
        <f>VLOOKUP($C86,'Typologie détaillée'!$E$4:$H$214,3,0)</f>
        <v>Ateliers de fabrication</v>
      </c>
      <c r="E86" s="286" t="str">
        <f>VLOOKUP($C86,'Typologie détaillée'!$E$4:$H$214,4,0)</f>
        <v>CSA</v>
      </c>
      <c r="F86" s="142" t="s">
        <v>24</v>
      </c>
      <c r="G86" s="90">
        <v>1</v>
      </c>
      <c r="H86" s="301" t="s">
        <v>790</v>
      </c>
      <c r="I86" s="90"/>
      <c r="J86" s="90"/>
      <c r="K86" s="309">
        <f t="shared" ref="K86" si="33">IF(OR(L86="MiN.",L86="SPEC."),N86,M86*N86)</f>
        <v>61</v>
      </c>
      <c r="L86" s="286" t="str">
        <f>VLOOKUP($C86,'Typologie détaillée'!$E$4:$L$214,6,0)</f>
        <v>SPEC.</v>
      </c>
      <c r="M86" s="286">
        <f>VLOOKUP($C86,'Typologie détaillée'!$E$4:$L$214,7,0)</f>
        <v>0</v>
      </c>
      <c r="N86" s="310">
        <v>61</v>
      </c>
      <c r="P86" s="129">
        <f t="shared" ref="P86:R86" si="34">$G86*I86</f>
        <v>0</v>
      </c>
      <c r="Q86" s="129">
        <f t="shared" si="34"/>
        <v>0</v>
      </c>
      <c r="R86" s="106">
        <f t="shared" si="34"/>
        <v>61</v>
      </c>
      <c r="T86" s="106" t="str">
        <f t="shared" ref="T86:V86" si="35">IF($E86=T$4,$R86,"")</f>
        <v/>
      </c>
      <c r="U86" s="106" t="str">
        <f t="shared" si="35"/>
        <v/>
      </c>
      <c r="V86" s="106">
        <f t="shared" si="35"/>
        <v>61</v>
      </c>
      <c r="X86" s="106" t="str">
        <f t="shared" ref="X86:AA86" si="36">IF($F86=X$4,$R86,"")</f>
        <v/>
      </c>
      <c r="Y86" s="106" t="str">
        <f t="shared" si="36"/>
        <v/>
      </c>
      <c r="Z86" s="106">
        <f t="shared" si="36"/>
        <v>61</v>
      </c>
      <c r="AA86" s="106" t="str">
        <f t="shared" si="36"/>
        <v/>
      </c>
    </row>
    <row r="87" spans="1:85" s="138" customFormat="1" x14ac:dyDescent="0.2">
      <c r="A87" s="138" t="str">
        <f>A85</f>
        <v>CSA</v>
      </c>
      <c r="B87" s="138" t="str">
        <f>B85</f>
        <v>IT</v>
      </c>
      <c r="D87" s="138" t="s">
        <v>97</v>
      </c>
      <c r="E87" s="139"/>
      <c r="F87" s="139"/>
      <c r="G87" s="139"/>
      <c r="H87" s="299"/>
      <c r="I87" s="139"/>
      <c r="J87" s="139"/>
      <c r="K87" s="139"/>
      <c r="P87" s="139">
        <f>SUBTOTAL(9,P85:P85)</f>
        <v>0</v>
      </c>
      <c r="Q87" s="139">
        <f>SUBTOTAL(9,Q85:Q85)</f>
        <v>0</v>
      </c>
      <c r="R87" s="138">
        <f>SUBTOTAL(9,R85:R85)</f>
        <v>92</v>
      </c>
      <c r="T87" s="138">
        <f>SUBTOTAL(9,T85:T85)</f>
        <v>0</v>
      </c>
      <c r="U87" s="138">
        <f>SUBTOTAL(9,U85:U85)</f>
        <v>0</v>
      </c>
      <c r="V87" s="138">
        <f>SUBTOTAL(9,V85:V85)</f>
        <v>92</v>
      </c>
      <c r="X87" s="138">
        <f>SUBTOTAL(9,X85:X85)</f>
        <v>0</v>
      </c>
      <c r="Y87" s="138">
        <f>SUBTOTAL(9,Y85:Y85)</f>
        <v>0</v>
      </c>
      <c r="Z87" s="138">
        <f>SUBTOTAL(9,Z85:Z85)</f>
        <v>92</v>
      </c>
      <c r="AA87" s="138">
        <f>SUBTOTAL(9,AA85:AA85)</f>
        <v>0</v>
      </c>
    </row>
    <row r="88" spans="1:85" ht="15" outlineLevel="1" x14ac:dyDescent="0.25">
      <c r="A88" t="s">
        <v>90</v>
      </c>
      <c r="B88" t="s">
        <v>666</v>
      </c>
      <c r="C88" s="37" t="s">
        <v>609</v>
      </c>
      <c r="D88" s="285" t="str">
        <f>VLOOKUP($C88,'Typologie détaillée'!$E$4:$H$214,3,0)</f>
        <v>Accueil commun (général)</v>
      </c>
      <c r="E88" s="286" t="str">
        <f>VLOOKUP($C88,'Typologie détaillée'!$E$4:$H$214,4,0)</f>
        <v>CSA</v>
      </c>
      <c r="F88" s="142" t="s">
        <v>23</v>
      </c>
      <c r="G88" s="90">
        <v>1</v>
      </c>
      <c r="H88" s="301" t="s">
        <v>792</v>
      </c>
      <c r="I88" s="90"/>
      <c r="J88" s="90"/>
      <c r="K88" s="309">
        <f t="shared" ref="K88:K106" si="37">IF(OR(L88="MiN.",L88="SPEC."),N88,M88*N88)</f>
        <v>0</v>
      </c>
      <c r="L88" s="286" t="str">
        <f>VLOOKUP($C88,'Typologie détaillée'!$E$4:$L$214,6,0)</f>
        <v>MIN.</v>
      </c>
      <c r="M88" s="286">
        <f>VLOOKUP($C88,'Typologie détaillée'!$E$4:$L$214,7,0)</f>
        <v>40</v>
      </c>
      <c r="N88" s="310">
        <v>0</v>
      </c>
      <c r="P88" s="129">
        <f t="shared" ref="P88:Q111" si="38">$G88*I88</f>
        <v>0</v>
      </c>
      <c r="Q88" s="129">
        <v>4</v>
      </c>
      <c r="R88" s="106">
        <f t="shared" ref="R88:R111" si="39">$G88*K88</f>
        <v>0</v>
      </c>
      <c r="T88" s="106" t="str">
        <f t="shared" ref="T88:V111" si="40">IF($E88=T$4,$R88,"")</f>
        <v/>
      </c>
      <c r="U88" s="106" t="str">
        <f t="shared" si="40"/>
        <v/>
      </c>
      <c r="V88" s="106">
        <f t="shared" si="40"/>
        <v>0</v>
      </c>
      <c r="X88" s="106" t="str">
        <f t="shared" ref="X88:AA111" si="41">IF($F88=X$4,$R88,"")</f>
        <v/>
      </c>
      <c r="Y88" s="106">
        <f t="shared" si="41"/>
        <v>0</v>
      </c>
      <c r="Z88" s="106" t="str">
        <f t="shared" si="41"/>
        <v/>
      </c>
      <c r="AA88" s="106" t="str">
        <f t="shared" si="41"/>
        <v/>
      </c>
    </row>
    <row r="89" spans="1:85" ht="15" outlineLevel="1" x14ac:dyDescent="0.25">
      <c r="C89" s="37" t="s">
        <v>609</v>
      </c>
      <c r="D89" s="285" t="str">
        <f>VLOOKUP($C89,'Typologie détaillée'!$E$4:$H$214,3,0)</f>
        <v>Accueil commun (général)</v>
      </c>
      <c r="E89" s="286" t="str">
        <f>VLOOKUP($C89,'Typologie détaillée'!$E$4:$H$214,4,0)</f>
        <v>CSA</v>
      </c>
      <c r="F89" s="142" t="s">
        <v>23</v>
      </c>
      <c r="G89" s="90">
        <v>1</v>
      </c>
      <c r="H89" s="301" t="s">
        <v>793</v>
      </c>
      <c r="I89" s="90"/>
      <c r="J89" s="90"/>
      <c r="K89" s="309">
        <f t="shared" si="37"/>
        <v>0</v>
      </c>
      <c r="L89" s="286" t="str">
        <f>VLOOKUP($C89,'Typologie détaillée'!$E$4:$L$214,6,0)</f>
        <v>MIN.</v>
      </c>
      <c r="M89" s="286">
        <f>VLOOKUP($C89,'Typologie détaillée'!$E$4:$L$214,7,0)</f>
        <v>40</v>
      </c>
      <c r="N89" s="310">
        <v>0</v>
      </c>
      <c r="P89" s="129">
        <f t="shared" si="38"/>
        <v>0</v>
      </c>
      <c r="Q89" s="129">
        <v>5</v>
      </c>
      <c r="R89" s="106">
        <f t="shared" si="39"/>
        <v>0</v>
      </c>
      <c r="T89" s="106" t="str">
        <f t="shared" si="40"/>
        <v/>
      </c>
      <c r="U89" s="106" t="str">
        <f t="shared" si="40"/>
        <v/>
      </c>
      <c r="V89" s="106">
        <f t="shared" si="40"/>
        <v>0</v>
      </c>
      <c r="X89" s="106" t="str">
        <f t="shared" si="41"/>
        <v/>
      </c>
      <c r="Y89" s="106">
        <f t="shared" si="41"/>
        <v>0</v>
      </c>
      <c r="Z89" s="106" t="str">
        <f t="shared" si="41"/>
        <v/>
      </c>
      <c r="AA89" s="106" t="str">
        <f t="shared" si="41"/>
        <v/>
      </c>
    </row>
    <row r="90" spans="1:85" ht="15" outlineLevel="1" x14ac:dyDescent="0.25">
      <c r="C90" s="37" t="s">
        <v>572</v>
      </c>
      <c r="D90" s="285" t="str">
        <f>VLOOKUP($C90,'Typologie détaillée'!$E$4:$H$214,3,0)</f>
        <v>Salle serveur</v>
      </c>
      <c r="E90" s="286" t="str">
        <f>VLOOKUP($C90,'Typologie détaillée'!$E$4:$H$214,4,0)</f>
        <v>CSA</v>
      </c>
      <c r="F90" s="142" t="s">
        <v>25</v>
      </c>
      <c r="G90" s="90">
        <v>1</v>
      </c>
      <c r="H90" s="301" t="s">
        <v>794</v>
      </c>
      <c r="I90" s="90"/>
      <c r="J90" s="90"/>
      <c r="K90" s="309">
        <f t="shared" si="37"/>
        <v>608</v>
      </c>
      <c r="L90" s="286" t="str">
        <f>VLOOKUP($C90,'Typologie détaillée'!$E$4:$L$214,6,0)</f>
        <v>RACKS</v>
      </c>
      <c r="M90" s="286">
        <f>VLOOKUP($C90,'Typologie détaillée'!$E$4:$L$214,7,0)</f>
        <v>4</v>
      </c>
      <c r="N90" s="310">
        <f>608/4</f>
        <v>152</v>
      </c>
      <c r="P90" s="129">
        <f t="shared" si="38"/>
        <v>0</v>
      </c>
      <c r="Q90" s="129">
        <f t="shared" si="38"/>
        <v>0</v>
      </c>
      <c r="R90" s="106">
        <f t="shared" si="39"/>
        <v>608</v>
      </c>
      <c r="T90" s="106" t="str">
        <f t="shared" si="40"/>
        <v/>
      </c>
      <c r="U90" s="106" t="str">
        <f t="shared" si="40"/>
        <v/>
      </c>
      <c r="V90" s="106">
        <f t="shared" si="40"/>
        <v>608</v>
      </c>
      <c r="X90" s="106" t="str">
        <f t="shared" si="41"/>
        <v/>
      </c>
      <c r="Y90" s="106" t="str">
        <f t="shared" si="41"/>
        <v/>
      </c>
      <c r="Z90" s="106" t="str">
        <f t="shared" si="41"/>
        <v/>
      </c>
      <c r="AA90" s="106">
        <f t="shared" si="41"/>
        <v>608</v>
      </c>
    </row>
    <row r="91" spans="1:85" s="427" customFormat="1" ht="15" outlineLevel="1" x14ac:dyDescent="0.25">
      <c r="A91" s="126"/>
      <c r="B91" s="126"/>
      <c r="C91" s="37" t="s">
        <v>423</v>
      </c>
      <c r="D91" s="451" t="str">
        <f>VLOOKUP($C91,'Typologie détaillée'!$E$4:$H$214,3,0)</f>
        <v>Douches pour équipements sportifs</v>
      </c>
      <c r="E91" s="452" t="str">
        <f>VLOOKUP($C91,'Typologie détaillée'!$E$4:$H$214,4,0)</f>
        <v>CSA</v>
      </c>
      <c r="F91" s="142" t="s">
        <v>24</v>
      </c>
      <c r="G91" s="90">
        <v>1</v>
      </c>
      <c r="H91" s="301" t="s">
        <v>802</v>
      </c>
      <c r="I91" s="90"/>
      <c r="J91" s="90"/>
      <c r="K91" s="309">
        <f t="shared" si="37"/>
        <v>8</v>
      </c>
      <c r="L91" s="452" t="str">
        <f>VLOOKUP($C91,'Typologie détaillée'!$E$4:$L$214,6,0)</f>
        <v>PERS.</v>
      </c>
      <c r="M91" s="452">
        <v>2</v>
      </c>
      <c r="N91" s="310">
        <v>4</v>
      </c>
      <c r="O91" s="126"/>
      <c r="P91" s="453">
        <f t="shared" si="38"/>
        <v>0</v>
      </c>
      <c r="Q91" s="453">
        <f t="shared" si="38"/>
        <v>0</v>
      </c>
      <c r="R91" s="454">
        <f t="shared" si="39"/>
        <v>8</v>
      </c>
      <c r="S91" s="126"/>
      <c r="T91" s="454" t="str">
        <f t="shared" si="40"/>
        <v/>
      </c>
      <c r="U91" s="454" t="str">
        <f t="shared" si="40"/>
        <v/>
      </c>
      <c r="V91" s="454">
        <f t="shared" si="40"/>
        <v>8</v>
      </c>
      <c r="W91" s="126"/>
      <c r="X91" s="454" t="str">
        <f t="shared" si="41"/>
        <v/>
      </c>
      <c r="Y91" s="454" t="str">
        <f t="shared" si="41"/>
        <v/>
      </c>
      <c r="Z91" s="454">
        <f t="shared" si="41"/>
        <v>8</v>
      </c>
      <c r="AA91" s="454" t="str">
        <f t="shared" si="41"/>
        <v/>
      </c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26"/>
      <c r="BW91" s="126"/>
      <c r="BX91" s="126"/>
      <c r="BY91" s="126"/>
      <c r="BZ91" s="126"/>
      <c r="CA91" s="126"/>
      <c r="CB91" s="126"/>
      <c r="CC91" s="126"/>
      <c r="CD91" s="126"/>
      <c r="CE91" s="126"/>
      <c r="CF91" s="126"/>
      <c r="CG91" s="126"/>
    </row>
    <row r="92" spans="1:85" s="427" customFormat="1" ht="15" outlineLevel="1" x14ac:dyDescent="0.25">
      <c r="A92" s="126"/>
      <c r="B92" s="126"/>
      <c r="C92" s="37" t="s">
        <v>423</v>
      </c>
      <c r="D92" s="451" t="str">
        <f>VLOOKUP($C92,'Typologie détaillée'!$E$4:$H$214,3,0)</f>
        <v>Douches pour équipements sportifs</v>
      </c>
      <c r="E92" s="452" t="str">
        <f>VLOOKUP($C92,'Typologie détaillée'!$E$4:$H$214,4,0)</f>
        <v>CSA</v>
      </c>
      <c r="F92" s="142" t="s">
        <v>24</v>
      </c>
      <c r="G92" s="90">
        <v>1</v>
      </c>
      <c r="H92" s="301" t="s">
        <v>803</v>
      </c>
      <c r="I92" s="90"/>
      <c r="J92" s="90"/>
      <c r="K92" s="309">
        <f t="shared" si="37"/>
        <v>8</v>
      </c>
      <c r="L92" s="452" t="str">
        <f>VLOOKUP($C92,'Typologie détaillée'!$E$4:$L$214,6,0)</f>
        <v>PERS.</v>
      </c>
      <c r="M92" s="452">
        <v>2</v>
      </c>
      <c r="N92" s="310">
        <v>4</v>
      </c>
      <c r="O92" s="126"/>
      <c r="P92" s="453">
        <f t="shared" si="38"/>
        <v>0</v>
      </c>
      <c r="Q92" s="453">
        <f t="shared" si="38"/>
        <v>0</v>
      </c>
      <c r="R92" s="454">
        <f t="shared" si="39"/>
        <v>8</v>
      </c>
      <c r="S92" s="126"/>
      <c r="T92" s="454" t="str">
        <f t="shared" si="40"/>
        <v/>
      </c>
      <c r="U92" s="454" t="str">
        <f t="shared" si="40"/>
        <v/>
      </c>
      <c r="V92" s="454">
        <f t="shared" si="40"/>
        <v>8</v>
      </c>
      <c r="W92" s="126"/>
      <c r="X92" s="454" t="str">
        <f t="shared" si="41"/>
        <v/>
      </c>
      <c r="Y92" s="454" t="str">
        <f t="shared" si="41"/>
        <v/>
      </c>
      <c r="Z92" s="454">
        <f t="shared" si="41"/>
        <v>8</v>
      </c>
      <c r="AA92" s="454" t="str">
        <f t="shared" si="41"/>
        <v/>
      </c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26"/>
      <c r="BW92" s="126"/>
      <c r="BX92" s="126"/>
      <c r="BY92" s="126"/>
      <c r="BZ92" s="126"/>
      <c r="CA92" s="126"/>
      <c r="CB92" s="126"/>
      <c r="CC92" s="126"/>
      <c r="CD92" s="126"/>
      <c r="CE92" s="126"/>
      <c r="CF92" s="126"/>
      <c r="CG92" s="126"/>
    </row>
    <row r="93" spans="1:85" s="427" customFormat="1" ht="15" outlineLevel="1" x14ac:dyDescent="0.25">
      <c r="A93" s="126"/>
      <c r="B93" s="126"/>
      <c r="C93" s="37" t="s">
        <v>594</v>
      </c>
      <c r="D93" s="451" t="str">
        <f>VLOOKUP($C93,'Typologie détaillée'!$E$4:$H$214,3,0)</f>
        <v>Vestiaires pour personnel opérationnel</v>
      </c>
      <c r="E93" s="452" t="str">
        <f>VLOOKUP($C93,'Typologie détaillée'!$E$4:$H$214,4,0)</f>
        <v>CSA</v>
      </c>
      <c r="F93" s="142" t="s">
        <v>24</v>
      </c>
      <c r="G93" s="90">
        <v>1</v>
      </c>
      <c r="H93" s="301" t="s">
        <v>805</v>
      </c>
      <c r="I93" s="90"/>
      <c r="J93" s="90"/>
      <c r="K93" s="309">
        <f t="shared" si="37"/>
        <v>40</v>
      </c>
      <c r="L93" s="452" t="str">
        <f>VLOOKUP($C93,'Typologie détaillée'!$E$4:$L$214,6,0)</f>
        <v>PERS.</v>
      </c>
      <c r="M93" s="452">
        <v>2</v>
      </c>
      <c r="N93" s="310">
        <f>40/2</f>
        <v>20</v>
      </c>
      <c r="O93" s="126"/>
      <c r="P93" s="453">
        <f t="shared" si="38"/>
        <v>0</v>
      </c>
      <c r="Q93" s="453">
        <f t="shared" si="38"/>
        <v>0</v>
      </c>
      <c r="R93" s="454">
        <f t="shared" si="39"/>
        <v>40</v>
      </c>
      <c r="S93" s="126"/>
      <c r="T93" s="454" t="str">
        <f t="shared" si="40"/>
        <v/>
      </c>
      <c r="U93" s="454" t="str">
        <f t="shared" si="40"/>
        <v/>
      </c>
      <c r="V93" s="454">
        <f t="shared" si="40"/>
        <v>40</v>
      </c>
      <c r="W93" s="126"/>
      <c r="X93" s="454" t="str">
        <f t="shared" si="41"/>
        <v/>
      </c>
      <c r="Y93" s="454" t="str">
        <f t="shared" si="41"/>
        <v/>
      </c>
      <c r="Z93" s="454">
        <f t="shared" si="41"/>
        <v>40</v>
      </c>
      <c r="AA93" s="454" t="str">
        <f t="shared" si="41"/>
        <v/>
      </c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26"/>
      <c r="BW93" s="126"/>
      <c r="BX93" s="126"/>
      <c r="BY93" s="126"/>
      <c r="BZ93" s="126"/>
      <c r="CA93" s="126"/>
      <c r="CB93" s="126"/>
      <c r="CC93" s="126"/>
      <c r="CD93" s="126"/>
      <c r="CE93" s="126"/>
      <c r="CF93" s="126"/>
      <c r="CG93" s="126"/>
    </row>
    <row r="94" spans="1:85" s="427" customFormat="1" ht="15" outlineLevel="1" x14ac:dyDescent="0.25">
      <c r="A94" s="126"/>
      <c r="B94" s="126"/>
      <c r="C94" s="37" t="s">
        <v>594</v>
      </c>
      <c r="D94" s="451" t="str">
        <f>VLOOKUP($C94,'Typologie détaillée'!$E$4:$H$214,3,0)</f>
        <v>Vestiaires pour personnel opérationnel</v>
      </c>
      <c r="E94" s="452" t="str">
        <f>VLOOKUP($C94,'Typologie détaillée'!$E$4:$H$214,4,0)</f>
        <v>CSA</v>
      </c>
      <c r="F94" s="142" t="s">
        <v>24</v>
      </c>
      <c r="G94" s="90">
        <v>1</v>
      </c>
      <c r="H94" s="301" t="s">
        <v>804</v>
      </c>
      <c r="I94" s="90"/>
      <c r="J94" s="90"/>
      <c r="K94" s="309">
        <f t="shared" si="37"/>
        <v>62.95</v>
      </c>
      <c r="L94" s="452" t="str">
        <f>VLOOKUP($C94,'Typologie détaillée'!$E$4:$L$214,6,0)</f>
        <v>PERS.</v>
      </c>
      <c r="M94" s="452">
        <v>2</v>
      </c>
      <c r="N94" s="310">
        <f>62.95/2</f>
        <v>31.475000000000001</v>
      </c>
      <c r="O94" s="126"/>
      <c r="P94" s="453">
        <f t="shared" si="38"/>
        <v>0</v>
      </c>
      <c r="Q94" s="453">
        <f t="shared" si="38"/>
        <v>0</v>
      </c>
      <c r="R94" s="454">
        <f t="shared" si="39"/>
        <v>62.95</v>
      </c>
      <c r="S94" s="126"/>
      <c r="T94" s="454" t="str">
        <f t="shared" si="40"/>
        <v/>
      </c>
      <c r="U94" s="454" t="str">
        <f t="shared" si="40"/>
        <v/>
      </c>
      <c r="V94" s="454">
        <f t="shared" si="40"/>
        <v>62.95</v>
      </c>
      <c r="W94" s="126"/>
      <c r="X94" s="454" t="str">
        <f t="shared" si="41"/>
        <v/>
      </c>
      <c r="Y94" s="454" t="str">
        <f t="shared" si="41"/>
        <v/>
      </c>
      <c r="Z94" s="454">
        <f t="shared" si="41"/>
        <v>62.95</v>
      </c>
      <c r="AA94" s="454" t="str">
        <f t="shared" si="41"/>
        <v/>
      </c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26"/>
      <c r="BW94" s="126"/>
      <c r="BX94" s="126"/>
      <c r="BY94" s="126"/>
      <c r="BZ94" s="126"/>
      <c r="CA94" s="126"/>
      <c r="CB94" s="126"/>
      <c r="CC94" s="126"/>
      <c r="CD94" s="126"/>
      <c r="CE94" s="126"/>
      <c r="CF94" s="126"/>
      <c r="CG94" s="126"/>
    </row>
    <row r="95" spans="1:85" ht="15" outlineLevel="1" x14ac:dyDescent="0.25">
      <c r="C95" s="37" t="s">
        <v>480</v>
      </c>
      <c r="D95" s="285" t="str">
        <f>VLOOKUP($C95,'Typologie détaillée'!$E$4:$H$214,3,0)</f>
        <v>Cuisine</v>
      </c>
      <c r="E95" s="286" t="str">
        <f>VLOOKUP($C95,'Typologie détaillée'!$E$4:$H$214,4,0)</f>
        <v>CSA</v>
      </c>
      <c r="F95" s="142" t="s">
        <v>24</v>
      </c>
      <c r="G95" s="90">
        <v>1</v>
      </c>
      <c r="H95" s="301" t="s">
        <v>1189</v>
      </c>
      <c r="I95" s="90"/>
      <c r="J95" s="90"/>
      <c r="K95" s="309">
        <v>1600</v>
      </c>
      <c r="L95" s="452" t="str">
        <f>VLOOKUP($C95,'Typologie détaillée'!$E$4:$L$214,6,0)</f>
        <v>COUVERT</v>
      </c>
      <c r="M95" s="452">
        <f>VLOOKUP($C95,'Typologie détaillée'!$E$4:$L$214,7,0)</f>
        <v>0</v>
      </c>
      <c r="N95" s="310">
        <v>1600</v>
      </c>
      <c r="P95" s="129">
        <f t="shared" si="38"/>
        <v>0</v>
      </c>
      <c r="Q95" s="129">
        <f t="shared" si="38"/>
        <v>0</v>
      </c>
      <c r="R95" s="454">
        <f t="shared" si="39"/>
        <v>1600</v>
      </c>
      <c r="T95" s="106" t="str">
        <f t="shared" si="40"/>
        <v/>
      </c>
      <c r="U95" s="106" t="str">
        <f t="shared" si="40"/>
        <v/>
      </c>
      <c r="V95" s="106">
        <f t="shared" si="40"/>
        <v>1600</v>
      </c>
      <c r="X95" s="106" t="str">
        <f t="shared" si="41"/>
        <v/>
      </c>
      <c r="Y95" s="106" t="str">
        <f t="shared" si="41"/>
        <v/>
      </c>
      <c r="Z95" s="106">
        <f t="shared" si="41"/>
        <v>1600</v>
      </c>
      <c r="AA95" s="106" t="str">
        <f t="shared" si="41"/>
        <v/>
      </c>
    </row>
    <row r="96" spans="1:85" ht="15" outlineLevel="1" x14ac:dyDescent="0.25">
      <c r="C96" s="37" t="s">
        <v>538</v>
      </c>
      <c r="D96" s="285" t="str">
        <f>VLOOKUP($C96,'Typologie détaillée'!$E$4:$H$214,3,0)</f>
        <v>Stock périsable cuisine/restaurant</v>
      </c>
      <c r="E96" s="286" t="str">
        <f>VLOOKUP($C96,'Typologie détaillée'!$E$4:$H$214,4,0)</f>
        <v>CSA</v>
      </c>
      <c r="F96" s="142" t="s">
        <v>24</v>
      </c>
      <c r="G96" s="90">
        <v>1</v>
      </c>
      <c r="H96" s="301" t="s">
        <v>806</v>
      </c>
      <c r="I96" s="90"/>
      <c r="J96" s="90"/>
      <c r="K96" s="309">
        <f t="shared" si="37"/>
        <v>108.64</v>
      </c>
      <c r="L96" s="286" t="str">
        <f>VLOOKUP($C96,'Typologie détaillée'!$E$4:$L$214,6,0)</f>
        <v>SPEC.</v>
      </c>
      <c r="M96" s="286">
        <f>VLOOKUP($C96,'Typologie détaillée'!$E$4:$L$214,7,0)</f>
        <v>0</v>
      </c>
      <c r="N96" s="310">
        <v>108.64</v>
      </c>
      <c r="P96" s="129">
        <f t="shared" si="38"/>
        <v>0</v>
      </c>
      <c r="Q96" s="129">
        <f t="shared" si="38"/>
        <v>0</v>
      </c>
      <c r="R96" s="106">
        <f t="shared" si="39"/>
        <v>108.64</v>
      </c>
      <c r="T96" s="106" t="str">
        <f t="shared" si="40"/>
        <v/>
      </c>
      <c r="U96" s="106" t="str">
        <f t="shared" si="40"/>
        <v/>
      </c>
      <c r="V96" s="106">
        <f t="shared" si="40"/>
        <v>108.64</v>
      </c>
      <c r="X96" s="106" t="str">
        <f t="shared" si="41"/>
        <v/>
      </c>
      <c r="Y96" s="106" t="str">
        <f t="shared" si="41"/>
        <v/>
      </c>
      <c r="Z96" s="106">
        <f t="shared" si="41"/>
        <v>108.64</v>
      </c>
      <c r="AA96" s="106" t="str">
        <f t="shared" si="41"/>
        <v/>
      </c>
    </row>
    <row r="97" spans="1:27" ht="15" outlineLevel="1" x14ac:dyDescent="0.25">
      <c r="C97" s="37" t="s">
        <v>541</v>
      </c>
      <c r="D97" s="285" t="str">
        <f>VLOOKUP($C97,'Typologie détaillée'!$E$4:$H$214,3,0)</f>
        <v>Chambres froides pour restaurant</v>
      </c>
      <c r="E97" s="286" t="str">
        <f>VLOOKUP($C97,'Typologie détaillée'!$E$4:$H$214,4,0)</f>
        <v>CSA</v>
      </c>
      <c r="F97" s="142" t="s">
        <v>24</v>
      </c>
      <c r="G97" s="90">
        <v>1</v>
      </c>
      <c r="H97" s="301" t="s">
        <v>980</v>
      </c>
      <c r="I97" s="90"/>
      <c r="J97" s="90"/>
      <c r="K97" s="309">
        <f t="shared" si="37"/>
        <v>45.5</v>
      </c>
      <c r="L97" s="286" t="str">
        <f>VLOOKUP($C97,'Typologie détaillée'!$E$4:$L$214,6,0)</f>
        <v>SPEC.</v>
      </c>
      <c r="M97" s="286">
        <f>VLOOKUP($C97,'Typologie détaillée'!$E$4:$L$214,7,0)</f>
        <v>0</v>
      </c>
      <c r="N97" s="310">
        <v>45.5</v>
      </c>
      <c r="P97" s="129">
        <f t="shared" si="38"/>
        <v>0</v>
      </c>
      <c r="Q97" s="129">
        <f t="shared" si="38"/>
        <v>0</v>
      </c>
      <c r="R97" s="106">
        <f t="shared" si="39"/>
        <v>45.5</v>
      </c>
      <c r="T97" s="106" t="str">
        <f t="shared" si="40"/>
        <v/>
      </c>
      <c r="U97" s="106" t="str">
        <f t="shared" si="40"/>
        <v/>
      </c>
      <c r="V97" s="106">
        <f t="shared" si="40"/>
        <v>45.5</v>
      </c>
      <c r="X97" s="106" t="str">
        <f t="shared" si="41"/>
        <v/>
      </c>
      <c r="Y97" s="106" t="str">
        <f t="shared" si="41"/>
        <v/>
      </c>
      <c r="Z97" s="106">
        <f t="shared" si="41"/>
        <v>45.5</v>
      </c>
      <c r="AA97" s="106" t="str">
        <f t="shared" si="41"/>
        <v/>
      </c>
    </row>
    <row r="98" spans="1:27" ht="15" outlineLevel="1" x14ac:dyDescent="0.25">
      <c r="C98" s="37" t="s">
        <v>580</v>
      </c>
      <c r="D98" s="285" t="str">
        <f>VLOOKUP($C98,'Typologie détaillée'!$E$4:$H$214,3,0)</f>
        <v>Bibliothèques</v>
      </c>
      <c r="E98" s="286" t="str">
        <f>VLOOKUP($C98,'Typologie détaillée'!$E$4:$H$214,4,0)</f>
        <v>CSA</v>
      </c>
      <c r="F98" s="142" t="s">
        <v>25</v>
      </c>
      <c r="G98" s="90">
        <v>1</v>
      </c>
      <c r="H98" s="301" t="s">
        <v>807</v>
      </c>
      <c r="I98" s="90"/>
      <c r="J98" s="90"/>
      <c r="K98" s="309">
        <f t="shared" si="37"/>
        <v>0</v>
      </c>
      <c r="L98" s="286" t="str">
        <f>VLOOKUP($C98,'Typologie détaillée'!$E$4:$L$214,6,0)</f>
        <v>M. COURANT</v>
      </c>
      <c r="M98" s="286">
        <f>VLOOKUP($C98,'Typologie détaillée'!$E$4:$L$214,7,0)</f>
        <v>0</v>
      </c>
      <c r="N98" s="310">
        <f t="shared" ref="N98:N99" si="42">M98</f>
        <v>0</v>
      </c>
      <c r="P98" s="129">
        <f t="shared" si="38"/>
        <v>0</v>
      </c>
      <c r="Q98" s="129">
        <f t="shared" si="38"/>
        <v>0</v>
      </c>
      <c r="R98" s="106">
        <f t="shared" si="39"/>
        <v>0</v>
      </c>
      <c r="T98" s="106" t="str">
        <f t="shared" si="40"/>
        <v/>
      </c>
      <c r="U98" s="106" t="str">
        <f t="shared" si="40"/>
        <v/>
      </c>
      <c r="V98" s="106">
        <f t="shared" si="40"/>
        <v>0</v>
      </c>
      <c r="X98" s="106" t="str">
        <f t="shared" si="41"/>
        <v/>
      </c>
      <c r="Y98" s="106" t="str">
        <f t="shared" si="41"/>
        <v/>
      </c>
      <c r="Z98" s="106" t="str">
        <f t="shared" si="41"/>
        <v/>
      </c>
      <c r="AA98" s="106">
        <f t="shared" si="41"/>
        <v>0</v>
      </c>
    </row>
    <row r="99" spans="1:27" ht="15" outlineLevel="1" x14ac:dyDescent="0.25">
      <c r="C99" s="37" t="s">
        <v>631</v>
      </c>
      <c r="D99" s="285" t="str">
        <f>VLOOKUP($C99,'Typologie détaillée'!$E$4:$H$214,3,0)</f>
        <v>Paysager - Call Center</v>
      </c>
      <c r="E99" s="286" t="str">
        <f>VLOOKUP($C99,'Typologie détaillée'!$E$4:$H$214,4,0)</f>
        <v>OA</v>
      </c>
      <c r="F99" s="142" t="s">
        <v>23</v>
      </c>
      <c r="G99" s="90">
        <v>1</v>
      </c>
      <c r="H99" s="301" t="s">
        <v>840</v>
      </c>
      <c r="I99" s="90"/>
      <c r="J99" s="90"/>
      <c r="K99" s="309">
        <f t="shared" si="37"/>
        <v>0</v>
      </c>
      <c r="L99" s="286">
        <f>VLOOKUP($C99,'Typologie détaillée'!$E$4:$L$214,6,0)</f>
        <v>0</v>
      </c>
      <c r="M99" s="286">
        <f>VLOOKUP($C99,'Typologie détaillée'!$E$4:$L$214,7,0)</f>
        <v>0</v>
      </c>
      <c r="N99" s="310">
        <f t="shared" si="42"/>
        <v>0</v>
      </c>
      <c r="P99" s="129">
        <f t="shared" si="38"/>
        <v>0</v>
      </c>
      <c r="Q99" s="129">
        <v>25</v>
      </c>
      <c r="R99" s="106">
        <f t="shared" si="39"/>
        <v>0</v>
      </c>
      <c r="T99" s="106">
        <f t="shared" si="40"/>
        <v>0</v>
      </c>
      <c r="U99" s="106" t="str">
        <f t="shared" si="40"/>
        <v/>
      </c>
      <c r="V99" s="106" t="str">
        <f t="shared" si="40"/>
        <v/>
      </c>
      <c r="X99" s="106" t="str">
        <f t="shared" si="41"/>
        <v/>
      </c>
      <c r="Y99" s="106">
        <f t="shared" si="41"/>
        <v>0</v>
      </c>
      <c r="Z99" s="106" t="str">
        <f t="shared" si="41"/>
        <v/>
      </c>
      <c r="AA99" s="106" t="str">
        <f t="shared" si="41"/>
        <v/>
      </c>
    </row>
    <row r="100" spans="1:27" ht="15" outlineLevel="1" x14ac:dyDescent="0.25">
      <c r="C100" s="37" t="s">
        <v>568</v>
      </c>
      <c r="D100" s="285" t="str">
        <f>VLOOKUP($C100,'Typologie détaillée'!$E$4:$H$214,3,0)</f>
        <v>Laboratoires</v>
      </c>
      <c r="E100" s="286" t="str">
        <f>VLOOKUP($C100,'Typologie détaillée'!$E$4:$H$214,4,0)</f>
        <v>CSA</v>
      </c>
      <c r="F100" s="142" t="s">
        <v>25</v>
      </c>
      <c r="G100" s="90">
        <v>1</v>
      </c>
      <c r="H100" s="301" t="s">
        <v>981</v>
      </c>
      <c r="I100" s="90"/>
      <c r="J100" s="90"/>
      <c r="K100" s="309">
        <f t="shared" si="37"/>
        <v>0</v>
      </c>
      <c r="L100" s="452" t="str">
        <f>VLOOKUP($C100,'Typologie détaillée'!$E$4:$L$214,6,0)</f>
        <v>SPEC.</v>
      </c>
      <c r="M100" s="286">
        <f>VLOOKUP($C100,'Typologie détaillée'!$E$4:$L$214,7,0)</f>
        <v>0</v>
      </c>
      <c r="N100" s="310">
        <v>0</v>
      </c>
      <c r="P100" s="129">
        <f t="shared" si="38"/>
        <v>0</v>
      </c>
      <c r="Q100" s="129">
        <v>0</v>
      </c>
      <c r="R100" s="106">
        <f t="shared" si="39"/>
        <v>0</v>
      </c>
      <c r="T100" s="106" t="str">
        <f t="shared" si="40"/>
        <v/>
      </c>
      <c r="U100" s="106" t="str">
        <f t="shared" si="40"/>
        <v/>
      </c>
      <c r="V100" s="106">
        <f t="shared" si="40"/>
        <v>0</v>
      </c>
      <c r="X100" s="106" t="str">
        <f t="shared" si="41"/>
        <v/>
      </c>
      <c r="Y100" s="106" t="str">
        <f t="shared" si="41"/>
        <v/>
      </c>
      <c r="Z100" s="106" t="str">
        <f t="shared" si="41"/>
        <v/>
      </c>
      <c r="AA100" s="106">
        <f t="shared" si="41"/>
        <v>0</v>
      </c>
    </row>
    <row r="101" spans="1:27" ht="15" outlineLevel="1" x14ac:dyDescent="0.25">
      <c r="C101" s="37" t="s">
        <v>624</v>
      </c>
      <c r="D101" s="285" t="str">
        <f>VLOOKUP($C101,'Typologie détaillée'!$E$4:$H$214,3,0)</f>
        <v>Dépôts de matériel informatique (stocks)</v>
      </c>
      <c r="E101" s="286" t="str">
        <f>VLOOKUP($C101,'Typologie détaillée'!$E$4:$H$214,4,0)</f>
        <v>CSA</v>
      </c>
      <c r="F101" s="142" t="s">
        <v>25</v>
      </c>
      <c r="G101" s="90">
        <v>1</v>
      </c>
      <c r="H101" s="301" t="s">
        <v>982</v>
      </c>
      <c r="I101" s="90"/>
      <c r="J101" s="90"/>
      <c r="K101" s="309">
        <f t="shared" si="37"/>
        <v>648.53</v>
      </c>
      <c r="L101" s="452" t="str">
        <f>VLOOKUP($C101,'Typologie détaillée'!$E$4:$L$214,6,0)</f>
        <v>SPEC.</v>
      </c>
      <c r="M101" s="286">
        <f>VLOOKUP($C101,'Typologie détaillée'!$E$4:$L$214,7,0)</f>
        <v>0</v>
      </c>
      <c r="N101" s="457">
        <v>648.53</v>
      </c>
      <c r="P101" s="129">
        <f t="shared" si="38"/>
        <v>0</v>
      </c>
      <c r="Q101" s="129">
        <v>6</v>
      </c>
      <c r="R101" s="106">
        <f t="shared" si="39"/>
        <v>648.53</v>
      </c>
      <c r="T101" s="106" t="str">
        <f t="shared" si="40"/>
        <v/>
      </c>
      <c r="U101" s="106" t="str">
        <f t="shared" si="40"/>
        <v/>
      </c>
      <c r="V101" s="106">
        <f t="shared" si="40"/>
        <v>648.53</v>
      </c>
      <c r="X101" s="106" t="str">
        <f t="shared" si="41"/>
        <v/>
      </c>
      <c r="Y101" s="106" t="str">
        <f t="shared" si="41"/>
        <v/>
      </c>
      <c r="Z101" s="106" t="str">
        <f t="shared" si="41"/>
        <v/>
      </c>
      <c r="AA101" s="106">
        <f t="shared" si="41"/>
        <v>648.53</v>
      </c>
    </row>
    <row r="102" spans="1:27" ht="15" outlineLevel="1" x14ac:dyDescent="0.25">
      <c r="C102" s="37" t="s">
        <v>536</v>
      </c>
      <c r="D102" s="285" t="str">
        <f>VLOOKUP($C102,'Typologie détaillée'!$E$4:$H$214,3,0)</f>
        <v>Local "tri-sélectif"</v>
      </c>
      <c r="E102" s="286" t="str">
        <f>VLOOKUP($C102,'Typologie détaillée'!$E$4:$H$214,4,0)</f>
        <v>CSA</v>
      </c>
      <c r="F102" s="142" t="s">
        <v>25</v>
      </c>
      <c r="G102" s="90">
        <v>1</v>
      </c>
      <c r="H102" s="301" t="s">
        <v>983</v>
      </c>
      <c r="I102" s="90"/>
      <c r="J102" s="90"/>
      <c r="K102" s="309">
        <f t="shared" si="37"/>
        <v>82.35</v>
      </c>
      <c r="L102" s="452" t="str">
        <f>VLOOKUP($C102,'Typologie détaillée'!$E$4:$L$214,6,0)</f>
        <v>SPEC.</v>
      </c>
      <c r="M102" s="286">
        <f>VLOOKUP($C102,'Typologie détaillée'!$E$4:$L$214,7,0)</f>
        <v>0</v>
      </c>
      <c r="N102" s="310">
        <v>82.35</v>
      </c>
      <c r="P102" s="129">
        <f t="shared" si="38"/>
        <v>0</v>
      </c>
      <c r="Q102" s="129">
        <v>6</v>
      </c>
      <c r="R102" s="106">
        <f t="shared" si="39"/>
        <v>82.35</v>
      </c>
      <c r="T102" s="106" t="str">
        <f t="shared" si="40"/>
        <v/>
      </c>
      <c r="U102" s="106" t="str">
        <f t="shared" si="40"/>
        <v/>
      </c>
      <c r="V102" s="106">
        <f t="shared" si="40"/>
        <v>82.35</v>
      </c>
      <c r="X102" s="106" t="str">
        <f t="shared" si="41"/>
        <v/>
      </c>
      <c r="Y102" s="106" t="str">
        <f t="shared" si="41"/>
        <v/>
      </c>
      <c r="Z102" s="106" t="str">
        <f t="shared" si="41"/>
        <v/>
      </c>
      <c r="AA102" s="106">
        <f t="shared" si="41"/>
        <v>82.35</v>
      </c>
    </row>
    <row r="103" spans="1:27" ht="15" outlineLevel="1" x14ac:dyDescent="0.25">
      <c r="C103" s="37" t="s">
        <v>536</v>
      </c>
      <c r="D103" s="285" t="str">
        <f>VLOOKUP($C103,'Typologie détaillée'!$E$4:$H$214,3,0)</f>
        <v>Local "tri-sélectif"</v>
      </c>
      <c r="E103" s="286" t="str">
        <f>VLOOKUP($C103,'Typologie détaillée'!$E$4:$H$214,4,0)</f>
        <v>CSA</v>
      </c>
      <c r="F103" s="142" t="s">
        <v>25</v>
      </c>
      <c r="G103" s="90">
        <v>1</v>
      </c>
      <c r="H103" s="301" t="s">
        <v>984</v>
      </c>
      <c r="I103" s="90"/>
      <c r="J103" s="90"/>
      <c r="K103" s="309">
        <f t="shared" si="37"/>
        <v>43.91</v>
      </c>
      <c r="L103" s="452" t="str">
        <f>VLOOKUP($C103,'Typologie détaillée'!$E$4:$L$214,6,0)</f>
        <v>SPEC.</v>
      </c>
      <c r="M103" s="286">
        <f>VLOOKUP($C103,'Typologie détaillée'!$E$4:$L$214,7,0)</f>
        <v>0</v>
      </c>
      <c r="N103" s="310">
        <v>43.91</v>
      </c>
      <c r="P103" s="129">
        <f t="shared" si="38"/>
        <v>0</v>
      </c>
      <c r="Q103" s="129">
        <v>6</v>
      </c>
      <c r="R103" s="106">
        <f t="shared" si="39"/>
        <v>43.91</v>
      </c>
      <c r="T103" s="106" t="str">
        <f t="shared" si="40"/>
        <v/>
      </c>
      <c r="U103" s="106" t="str">
        <f t="shared" si="40"/>
        <v/>
      </c>
      <c r="V103" s="106">
        <f t="shared" si="40"/>
        <v>43.91</v>
      </c>
      <c r="X103" s="106" t="str">
        <f t="shared" si="41"/>
        <v/>
      </c>
      <c r="Y103" s="106" t="str">
        <f t="shared" si="41"/>
        <v/>
      </c>
      <c r="Z103" s="106" t="str">
        <f t="shared" si="41"/>
        <v/>
      </c>
      <c r="AA103" s="106">
        <f t="shared" si="41"/>
        <v>43.91</v>
      </c>
    </row>
    <row r="104" spans="1:27" ht="15" outlineLevel="1" x14ac:dyDescent="0.25">
      <c r="C104" s="37" t="s">
        <v>603</v>
      </c>
      <c r="D104" s="285" t="str">
        <f>VLOOKUP($C104,'Typologie détaillée'!$E$4:$H$214,3,0)</f>
        <v>Locaux photocopie / imprimant / print corner</v>
      </c>
      <c r="E104" s="286" t="str">
        <f>VLOOKUP($C104,'Typologie détaillée'!$E$4:$H$214,4,0)</f>
        <v>LSA</v>
      </c>
      <c r="F104" s="142" t="s">
        <v>24</v>
      </c>
      <c r="G104" s="90">
        <v>1</v>
      </c>
      <c r="H104" s="301" t="s">
        <v>985</v>
      </c>
      <c r="I104" s="90"/>
      <c r="J104" s="90"/>
      <c r="K104" s="309">
        <f t="shared" si="37"/>
        <v>0</v>
      </c>
      <c r="L104" s="452">
        <f>VLOOKUP($C104,'Typologie détaillée'!$E$4:$L$214,6,0)</f>
        <v>0</v>
      </c>
      <c r="M104" s="286">
        <f>VLOOKUP($C104,'Typologie détaillée'!$E$4:$L$214,7,0)</f>
        <v>0</v>
      </c>
      <c r="N104" s="310">
        <v>0</v>
      </c>
      <c r="P104" s="129">
        <f t="shared" si="38"/>
        <v>0</v>
      </c>
      <c r="Q104" s="129">
        <v>7</v>
      </c>
      <c r="R104" s="106">
        <f t="shared" si="39"/>
        <v>0</v>
      </c>
      <c r="T104" s="106" t="str">
        <f t="shared" si="40"/>
        <v/>
      </c>
      <c r="U104" s="106">
        <f t="shared" si="40"/>
        <v>0</v>
      </c>
      <c r="V104" s="106" t="str">
        <f t="shared" si="40"/>
        <v/>
      </c>
      <c r="X104" s="106" t="str">
        <f t="shared" si="41"/>
        <v/>
      </c>
      <c r="Y104" s="106" t="str">
        <f t="shared" si="41"/>
        <v/>
      </c>
      <c r="Z104" s="106">
        <f t="shared" si="41"/>
        <v>0</v>
      </c>
      <c r="AA104" s="106" t="str">
        <f t="shared" si="41"/>
        <v/>
      </c>
    </row>
    <row r="105" spans="1:27" ht="15" outlineLevel="1" x14ac:dyDescent="0.25">
      <c r="C105" s="37" t="s">
        <v>391</v>
      </c>
      <c r="D105" s="285" t="str">
        <f>VLOOKUP($C105,'Typologie détaillée'!$E$4:$H$214,3,0)</f>
        <v>Locaux data / patch</v>
      </c>
      <c r="E105" s="286" t="str">
        <f>VLOOKUP($C105,'Typologie détaillée'!$E$4:$H$214,4,0)</f>
        <v>LSA</v>
      </c>
      <c r="F105" s="142" t="s">
        <v>24</v>
      </c>
      <c r="G105" s="90">
        <v>1</v>
      </c>
      <c r="H105" s="301" t="s">
        <v>986</v>
      </c>
      <c r="I105" s="90"/>
      <c r="J105" s="90"/>
      <c r="K105" s="309">
        <f t="shared" si="37"/>
        <v>0</v>
      </c>
      <c r="L105" s="452">
        <f>VLOOKUP($C105,'Typologie détaillée'!$E$4:$L$214,6,0)</f>
        <v>0</v>
      </c>
      <c r="M105" s="286">
        <f>VLOOKUP($C105,'Typologie détaillée'!$E$4:$L$214,7,0)</f>
        <v>0</v>
      </c>
      <c r="N105" s="310">
        <v>354.94</v>
      </c>
      <c r="P105" s="129">
        <f t="shared" si="38"/>
        <v>0</v>
      </c>
      <c r="Q105" s="129">
        <v>8</v>
      </c>
      <c r="R105" s="106">
        <f t="shared" si="39"/>
        <v>0</v>
      </c>
      <c r="T105" s="106" t="str">
        <f t="shared" si="40"/>
        <v/>
      </c>
      <c r="U105" s="106">
        <f t="shared" si="40"/>
        <v>0</v>
      </c>
      <c r="V105" s="106" t="str">
        <f t="shared" si="40"/>
        <v/>
      </c>
      <c r="X105" s="106" t="str">
        <f t="shared" si="41"/>
        <v/>
      </c>
      <c r="Y105" s="106" t="str">
        <f t="shared" si="41"/>
        <v/>
      </c>
      <c r="Z105" s="106">
        <f t="shared" si="41"/>
        <v>0</v>
      </c>
      <c r="AA105" s="106" t="str">
        <f t="shared" si="41"/>
        <v/>
      </c>
    </row>
    <row r="106" spans="1:27" ht="15" outlineLevel="1" x14ac:dyDescent="0.25">
      <c r="C106" s="37" t="s">
        <v>568</v>
      </c>
      <c r="D106" s="285" t="str">
        <f>VLOOKUP($C106,'Typologie détaillée'!$E$4:$H$214,3,0)</f>
        <v>Laboratoires</v>
      </c>
      <c r="E106" s="286" t="str">
        <f>VLOOKUP($C106,'Typologie détaillée'!$E$4:$H$214,4,0)</f>
        <v>CSA</v>
      </c>
      <c r="F106" s="142" t="s">
        <v>24</v>
      </c>
      <c r="G106" s="90">
        <v>1</v>
      </c>
      <c r="H106" s="301" t="s">
        <v>987</v>
      </c>
      <c r="I106" s="90"/>
      <c r="J106" s="90"/>
      <c r="K106" s="309">
        <f t="shared" si="37"/>
        <v>100.15</v>
      </c>
      <c r="L106" s="452" t="str">
        <f>VLOOKUP($C106,'Typologie détaillée'!$E$4:$L$214,6,0)</f>
        <v>SPEC.</v>
      </c>
      <c r="M106" s="286">
        <f>VLOOKUP($C106,'Typologie détaillée'!$E$4:$L$214,7,0)</f>
        <v>0</v>
      </c>
      <c r="N106" s="310">
        <v>100.15</v>
      </c>
      <c r="P106" s="129">
        <f t="shared" si="38"/>
        <v>0</v>
      </c>
      <c r="Q106" s="129">
        <v>9</v>
      </c>
      <c r="R106" s="106">
        <f t="shared" si="39"/>
        <v>100.15</v>
      </c>
      <c r="T106" s="106" t="str">
        <f t="shared" si="40"/>
        <v/>
      </c>
      <c r="U106" s="106" t="str">
        <f t="shared" si="40"/>
        <v/>
      </c>
      <c r="V106" s="106">
        <f t="shared" si="40"/>
        <v>100.15</v>
      </c>
      <c r="X106" s="106" t="str">
        <f t="shared" si="41"/>
        <v/>
      </c>
      <c r="Y106" s="106" t="str">
        <f t="shared" si="41"/>
        <v/>
      </c>
      <c r="Z106" s="106">
        <f t="shared" si="41"/>
        <v>100.15</v>
      </c>
      <c r="AA106" s="106" t="str">
        <f t="shared" si="41"/>
        <v/>
      </c>
    </row>
    <row r="107" spans="1:27" ht="15" outlineLevel="1" x14ac:dyDescent="0.25">
      <c r="C107" s="37" t="s">
        <v>585</v>
      </c>
      <c r="D107" s="285" t="str">
        <f>VLOOKUP($C107,'Typologie détaillée'!$E$4:$H$214,3,0)</f>
        <v>Salles d'attente</v>
      </c>
      <c r="E107" s="286" t="str">
        <f>VLOOKUP($C107,'Typologie détaillée'!$E$4:$H$214,4,0)</f>
        <v>CSA</v>
      </c>
      <c r="F107" s="142" t="s">
        <v>24</v>
      </c>
      <c r="G107" s="90">
        <v>1</v>
      </c>
      <c r="H107" s="301" t="s">
        <v>989</v>
      </c>
      <c r="I107" s="90"/>
      <c r="J107" s="90"/>
      <c r="K107" s="309">
        <f>IF(OR(L107="MiN.",L107="SPEC."),N107,M107*N107)*0+N107*1.8</f>
        <v>0</v>
      </c>
      <c r="L107" s="452" t="str">
        <f>VLOOKUP($C107,'Typologie détaillée'!$E$4:$L$214,6,0)</f>
        <v>PERS.</v>
      </c>
      <c r="M107" s="286">
        <f>VLOOKUP($C107,'Typologie détaillée'!$E$4:$L$214,7,0)</f>
        <v>0</v>
      </c>
      <c r="N107" s="310">
        <v>0</v>
      </c>
      <c r="P107" s="129">
        <f t="shared" si="38"/>
        <v>0</v>
      </c>
      <c r="Q107" s="129">
        <v>10</v>
      </c>
      <c r="R107" s="106">
        <f t="shared" si="39"/>
        <v>0</v>
      </c>
      <c r="T107" s="106" t="str">
        <f t="shared" si="40"/>
        <v/>
      </c>
      <c r="U107" s="106" t="str">
        <f t="shared" si="40"/>
        <v/>
      </c>
      <c r="V107" s="106">
        <f t="shared" si="40"/>
        <v>0</v>
      </c>
      <c r="X107" s="106" t="str">
        <f t="shared" si="41"/>
        <v/>
      </c>
      <c r="Y107" s="106" t="str">
        <f t="shared" si="41"/>
        <v/>
      </c>
      <c r="Z107" s="106">
        <f t="shared" si="41"/>
        <v>0</v>
      </c>
      <c r="AA107" s="106" t="str">
        <f t="shared" si="41"/>
        <v/>
      </c>
    </row>
    <row r="108" spans="1:27" ht="15" outlineLevel="1" x14ac:dyDescent="0.25">
      <c r="C108" s="37" t="s">
        <v>490</v>
      </c>
      <c r="D108" s="285" t="str">
        <f>VLOOKUP($C108,'Typologie détaillée'!$E$4:$H$214,3,0)</f>
        <v>Cuisinettes localisées</v>
      </c>
      <c r="E108" s="286" t="str">
        <f>VLOOKUP($C108,'Typologie détaillée'!$E$4:$H$214,4,0)</f>
        <v>LSA</v>
      </c>
      <c r="F108" s="142" t="s">
        <v>24</v>
      </c>
      <c r="G108" s="90">
        <v>1</v>
      </c>
      <c r="H108" s="301" t="s">
        <v>1288</v>
      </c>
      <c r="I108" s="90"/>
      <c r="J108" s="90"/>
      <c r="K108" s="309">
        <f t="shared" ref="K108:K109" si="43">IF(OR(L108="MiN.",L108="SPEC."),N108,M108*N108)</f>
        <v>0</v>
      </c>
      <c r="L108" s="452" t="s">
        <v>1289</v>
      </c>
      <c r="M108" s="286">
        <f>VLOOKUP($C108,'Typologie détaillée'!$E$4:$L$214,7,0)</f>
        <v>0</v>
      </c>
      <c r="N108" s="310">
        <v>0</v>
      </c>
      <c r="P108" s="129">
        <f t="shared" si="38"/>
        <v>0</v>
      </c>
      <c r="Q108" s="129">
        <v>11</v>
      </c>
      <c r="R108" s="106">
        <f t="shared" si="39"/>
        <v>0</v>
      </c>
      <c r="T108" s="106" t="str">
        <f t="shared" si="40"/>
        <v/>
      </c>
      <c r="U108" s="106">
        <f t="shared" si="40"/>
        <v>0</v>
      </c>
      <c r="V108" s="106" t="str">
        <f t="shared" si="40"/>
        <v/>
      </c>
      <c r="X108" s="106" t="str">
        <f t="shared" si="41"/>
        <v/>
      </c>
      <c r="Y108" s="106" t="str">
        <f t="shared" si="41"/>
        <v/>
      </c>
      <c r="Z108" s="106">
        <f t="shared" si="41"/>
        <v>0</v>
      </c>
      <c r="AA108" s="106" t="str">
        <f t="shared" si="41"/>
        <v/>
      </c>
    </row>
    <row r="109" spans="1:27" ht="15" outlineLevel="1" x14ac:dyDescent="0.25">
      <c r="C109" s="37" t="s">
        <v>483</v>
      </c>
      <c r="D109" s="285" t="str">
        <f>VLOOKUP($C109,'Typologie détaillée'!$E$4:$H$214,3,0)</f>
        <v>Cafeteria commune</v>
      </c>
      <c r="E109" s="286" t="str">
        <f>VLOOKUP($C109,'Typologie détaillée'!$E$4:$H$214,4,0)</f>
        <v>CSA</v>
      </c>
      <c r="F109" s="142" t="s">
        <v>23</v>
      </c>
      <c r="G109" s="90">
        <v>1</v>
      </c>
      <c r="H109" s="301" t="s">
        <v>990</v>
      </c>
      <c r="I109" s="90"/>
      <c r="J109" s="90"/>
      <c r="K109" s="309">
        <f t="shared" si="43"/>
        <v>0</v>
      </c>
      <c r="L109" s="452" t="str">
        <f>VLOOKUP($C109,'Typologie détaillée'!$E$4:$L$214,6,0)</f>
        <v>PERS.</v>
      </c>
      <c r="M109" s="286">
        <f>VLOOKUP($C109,'Typologie détaillée'!$E$4:$L$214,7,0)</f>
        <v>0</v>
      </c>
      <c r="N109" s="310">
        <v>0</v>
      </c>
      <c r="P109" s="129">
        <f t="shared" si="38"/>
        <v>0</v>
      </c>
      <c r="Q109" s="129">
        <v>12</v>
      </c>
      <c r="R109" s="106">
        <f t="shared" si="39"/>
        <v>0</v>
      </c>
      <c r="T109" s="106" t="str">
        <f t="shared" si="40"/>
        <v/>
      </c>
      <c r="U109" s="106" t="str">
        <f t="shared" si="40"/>
        <v/>
      </c>
      <c r="V109" s="106">
        <f t="shared" si="40"/>
        <v>0</v>
      </c>
      <c r="X109" s="106" t="str">
        <f t="shared" si="41"/>
        <v/>
      </c>
      <c r="Y109" s="106">
        <f t="shared" si="41"/>
        <v>0</v>
      </c>
      <c r="Z109" s="106" t="str">
        <f t="shared" si="41"/>
        <v/>
      </c>
      <c r="AA109" s="106" t="str">
        <f t="shared" si="41"/>
        <v/>
      </c>
    </row>
    <row r="110" spans="1:27" ht="15" outlineLevel="1" x14ac:dyDescent="0.25">
      <c r="C110" s="37" t="s">
        <v>579</v>
      </c>
      <c r="D110" s="285" t="str">
        <f>VLOOKUP($C110,'Typologie détaillée'!$E$4:$H$214,3,0)</f>
        <v>Salles de cours</v>
      </c>
      <c r="E110" s="286" t="str">
        <f>VLOOKUP($C110,'Typologie détaillée'!$E$4:$H$214,4,0)</f>
        <v>CSA</v>
      </c>
      <c r="F110" s="142" t="s">
        <v>23</v>
      </c>
      <c r="G110" s="90">
        <v>1</v>
      </c>
      <c r="H110" s="301" t="s">
        <v>988</v>
      </c>
      <c r="I110" s="90"/>
      <c r="J110" s="90"/>
      <c r="K110" s="309">
        <f>IF(OR(L110="MiN.",L110="SPEC."),N110,M110*N110)</f>
        <v>63</v>
      </c>
      <c r="L110" s="452" t="str">
        <f>VLOOKUP($C110,'Typologie détaillée'!$E$4:$L$214,6,0)</f>
        <v>PERS.</v>
      </c>
      <c r="M110" s="286">
        <f>VLOOKUP($C110,'Typologie détaillée'!$E$4:$L$214,7,0)</f>
        <v>1.8</v>
      </c>
      <c r="N110" s="310">
        <v>35</v>
      </c>
      <c r="P110" s="129">
        <f t="shared" si="38"/>
        <v>0</v>
      </c>
      <c r="Q110" s="129">
        <v>13</v>
      </c>
      <c r="R110" s="106">
        <f t="shared" si="39"/>
        <v>63</v>
      </c>
      <c r="T110" s="106" t="str">
        <f t="shared" si="40"/>
        <v/>
      </c>
      <c r="U110" s="106" t="str">
        <f t="shared" si="40"/>
        <v/>
      </c>
      <c r="V110" s="106">
        <f t="shared" si="40"/>
        <v>63</v>
      </c>
      <c r="X110" s="106" t="str">
        <f t="shared" si="41"/>
        <v/>
      </c>
      <c r="Y110" s="106">
        <f t="shared" si="41"/>
        <v>63</v>
      </c>
      <c r="Z110" s="106" t="str">
        <f t="shared" si="41"/>
        <v/>
      </c>
      <c r="AA110" s="106" t="str">
        <f t="shared" si="41"/>
        <v/>
      </c>
    </row>
    <row r="111" spans="1:27" ht="15" outlineLevel="1" x14ac:dyDescent="0.25">
      <c r="C111" s="37" t="s">
        <v>420</v>
      </c>
      <c r="D111" s="285" t="str">
        <f>VLOOKUP($C111,'Typologie détaillée'!$E$4:$H$214,3,0)</f>
        <v>Douches pour personnel de cuisine</v>
      </c>
      <c r="E111" s="286" t="str">
        <f>VLOOKUP($C111,'Typologie détaillée'!$E$4:$H$214,4,0)</f>
        <v>CSA</v>
      </c>
      <c r="F111" s="142" t="s">
        <v>24</v>
      </c>
      <c r="G111" s="90"/>
      <c r="H111" s="301" t="s">
        <v>979</v>
      </c>
      <c r="I111" s="90"/>
      <c r="J111" s="90"/>
      <c r="K111" s="309">
        <f>IF(OR(L111="MiN.",L111="SPEC."),N111,M111*N111)</f>
        <v>12</v>
      </c>
      <c r="L111" s="286" t="str">
        <f>VLOOKUP($C111,'Typologie détaillée'!$E$4:$L$214,6,0)</f>
        <v>PERS.</v>
      </c>
      <c r="M111" s="286">
        <v>2</v>
      </c>
      <c r="N111" s="310">
        <v>6</v>
      </c>
      <c r="P111" s="129">
        <f t="shared" si="38"/>
        <v>0</v>
      </c>
      <c r="Q111" s="129">
        <v>0</v>
      </c>
      <c r="R111" s="106">
        <f t="shared" si="39"/>
        <v>0</v>
      </c>
      <c r="T111" s="106" t="str">
        <f t="shared" si="40"/>
        <v/>
      </c>
      <c r="U111" s="106" t="str">
        <f t="shared" si="40"/>
        <v/>
      </c>
      <c r="V111" s="106">
        <f t="shared" si="40"/>
        <v>0</v>
      </c>
      <c r="X111" s="106" t="str">
        <f t="shared" si="41"/>
        <v/>
      </c>
      <c r="Y111" s="106" t="str">
        <f t="shared" si="41"/>
        <v/>
      </c>
      <c r="Z111" s="106">
        <f t="shared" si="41"/>
        <v>0</v>
      </c>
      <c r="AA111" s="106" t="str">
        <f t="shared" si="41"/>
        <v/>
      </c>
    </row>
    <row r="112" spans="1:27" s="138" customFormat="1" x14ac:dyDescent="0.2">
      <c r="A112" s="138" t="str">
        <f>A88</f>
        <v>CSA</v>
      </c>
      <c r="B112" s="138" t="str">
        <f>B88</f>
        <v>Locaux Spécifiques</v>
      </c>
      <c r="D112" s="138" t="s">
        <v>97</v>
      </c>
      <c r="E112" s="139"/>
      <c r="F112" s="139"/>
      <c r="G112" s="139"/>
      <c r="H112" s="299"/>
      <c r="I112" s="139"/>
      <c r="J112" s="139"/>
      <c r="K112" s="486"/>
      <c r="L112" s="486"/>
      <c r="M112" s="486"/>
      <c r="N112" s="486"/>
      <c r="P112" s="139">
        <f>SUBTOTAL(9,P88:P111)</f>
        <v>0</v>
      </c>
      <c r="Q112" s="139">
        <f>SUBTOTAL(9,Q88:Q111)</f>
        <v>122</v>
      </c>
      <c r="R112" s="138">
        <f>SUBTOTAL(9,R88:R111)</f>
        <v>3419.0299999999997</v>
      </c>
      <c r="T112" s="138">
        <f>SUBTOTAL(9,T88:T111)</f>
        <v>0</v>
      </c>
      <c r="U112" s="138">
        <f>SUBTOTAL(9,U88:U111)</f>
        <v>0</v>
      </c>
      <c r="V112" s="138">
        <f>SUBTOTAL(9,V88:V111)</f>
        <v>3419.0299999999997</v>
      </c>
      <c r="X112" s="138">
        <f>SUBTOTAL(9,X88:X111)</f>
        <v>0</v>
      </c>
      <c r="Y112" s="138">
        <f>SUBTOTAL(9,Y88:Y111)</f>
        <v>63</v>
      </c>
      <c r="Z112" s="138">
        <f>SUBTOTAL(9,Z88:Z111)</f>
        <v>1973.2400000000002</v>
      </c>
      <c r="AA112" s="138">
        <f>SUBTOTAL(9,AA88:AA111)</f>
        <v>1382.79</v>
      </c>
    </row>
    <row r="113" spans="1:27" ht="13.5" thickBot="1" x14ac:dyDescent="0.25"/>
    <row r="114" spans="1:27" ht="12" customHeight="1" x14ac:dyDescent="0.2">
      <c r="I114" s="473" t="s">
        <v>90</v>
      </c>
      <c r="J114" s="474"/>
      <c r="K114" s="475"/>
      <c r="L114" s="442"/>
      <c r="P114" s="130">
        <f>SUBTOTAL(9,P7:P113)</f>
        <v>0</v>
      </c>
      <c r="Q114" s="130">
        <f>SUBTOTAL(9,Q7:Q113)</f>
        <v>126</v>
      </c>
      <c r="R114" s="132">
        <f>SUBTOTAL(9,R7:R113)</f>
        <v>8089.63</v>
      </c>
      <c r="S114" s="445"/>
      <c r="T114" s="134">
        <f>SUBTOTAL(9,T7:T113)</f>
        <v>0</v>
      </c>
      <c r="U114" s="134">
        <f>SUBTOTAL(9,U7:U113)</f>
        <v>0</v>
      </c>
      <c r="V114" s="134">
        <f>SUBTOTAL(9,V7:V113)</f>
        <v>8089.63</v>
      </c>
      <c r="W114" s="445"/>
      <c r="X114" s="134">
        <f>SUBTOTAL(9,X7:X113)</f>
        <v>24</v>
      </c>
      <c r="Y114" s="134">
        <f>SUBTOTAL(9,Y7:Y113)</f>
        <v>480</v>
      </c>
      <c r="Z114" s="134">
        <f>SUBTOTAL(9,Z7:Z113)</f>
        <v>4496.24</v>
      </c>
      <c r="AA114" s="134">
        <f>SUBTOTAL(9,AA7:AA113)</f>
        <v>3089.39</v>
      </c>
    </row>
    <row r="115" spans="1:27" ht="12.95" customHeight="1" thickBot="1" x14ac:dyDescent="0.25">
      <c r="I115" s="476"/>
      <c r="J115" s="477"/>
      <c r="K115" s="478"/>
      <c r="P115" s="131" t="str">
        <f>P$4</f>
        <v>P.D.T.</v>
      </c>
      <c r="Q115" s="131" t="str">
        <f>Q$4</f>
        <v>PERS.</v>
      </c>
      <c r="R115" s="133" t="str">
        <f>R$4</f>
        <v>SURFACE</v>
      </c>
      <c r="S115" s="445"/>
      <c r="T115" s="131" t="str">
        <f>T$4</f>
        <v>OA</v>
      </c>
      <c r="U115" s="131" t="str">
        <f>U$4</f>
        <v>LSA</v>
      </c>
      <c r="V115" s="131" t="str">
        <f>V$4</f>
        <v>CSA</v>
      </c>
      <c r="W115" s="445"/>
      <c r="X115" s="135" t="str">
        <f>X$4</f>
        <v xml:space="preserve">1er </v>
      </c>
      <c r="Y115" s="135" t="str">
        <f>Y$4</f>
        <v>1-2nd</v>
      </c>
      <c r="Z115" s="135" t="str">
        <f>Z$4</f>
        <v>Av. HS</v>
      </c>
      <c r="AA115" s="135" t="str">
        <f>AA$4</f>
        <v>Av. SS</v>
      </c>
    </row>
    <row r="116" spans="1:27" s="77" customFormat="1" ht="13.5" thickBot="1" x14ac:dyDescent="0.25">
      <c r="A116" s="307"/>
      <c r="E116" s="307"/>
      <c r="F116" s="307"/>
      <c r="G116" s="307"/>
      <c r="H116" s="308"/>
      <c r="I116" s="307"/>
      <c r="J116" s="307"/>
      <c r="K116" s="307"/>
      <c r="P116" s="307"/>
      <c r="Q116" s="307"/>
      <c r="R116" s="307"/>
      <c r="T116" s="307"/>
      <c r="U116" s="307"/>
      <c r="V116" s="307"/>
      <c r="X116" s="307"/>
      <c r="Y116" s="307"/>
      <c r="Z116" s="307"/>
      <c r="AA116" s="307"/>
    </row>
    <row r="117" spans="1:27" s="67" customFormat="1" x14ac:dyDescent="0.2">
      <c r="A117" s="66" t="s">
        <v>655</v>
      </c>
      <c r="J117" s="68"/>
      <c r="K117" s="68"/>
    </row>
    <row r="118" spans="1:27" s="77" customFormat="1" x14ac:dyDescent="0.2">
      <c r="A118" s="307"/>
      <c r="E118" s="307"/>
      <c r="F118" s="307"/>
      <c r="G118" s="307"/>
      <c r="H118" s="308"/>
      <c r="I118" s="307"/>
      <c r="J118" s="307"/>
      <c r="K118" s="307"/>
      <c r="P118" s="307"/>
      <c r="Q118" s="307"/>
      <c r="R118" s="307"/>
      <c r="T118" s="307"/>
      <c r="U118" s="307"/>
      <c r="V118" s="307"/>
      <c r="X118" s="307"/>
      <c r="Y118" s="307"/>
      <c r="Z118" s="307"/>
      <c r="AA118" s="307"/>
    </row>
    <row r="119" spans="1:27" outlineLevel="1" x14ac:dyDescent="0.2">
      <c r="A119" t="str">
        <f>'Partie 3 • M.implantation'!C4</f>
        <v>• service 1</v>
      </c>
      <c r="B119" t="str">
        <f>'Partie 1 • Global'!C49</f>
        <v>S1 - AD</v>
      </c>
      <c r="C119" s="37" t="s">
        <v>353</v>
      </c>
      <c r="D119" s="285" t="str">
        <f>VLOOKUP($C119,'Typologie détaillée'!$E$4:$H$214,3,0)</f>
        <v>Ne pas utiliser</v>
      </c>
      <c r="E119" s="286">
        <f>VLOOKUP($C119,'Typologie détaillée'!$E$4:$H$214,4,0)</f>
        <v>0</v>
      </c>
      <c r="F119" s="90"/>
      <c r="G119" s="90"/>
      <c r="H119" s="301"/>
      <c r="I119" s="90"/>
      <c r="J119" s="90"/>
      <c r="K119" s="90"/>
      <c r="P119" s="129">
        <f>$G119*I119</f>
        <v>0</v>
      </c>
      <c r="Q119" s="129">
        <f>$G119*J119</f>
        <v>0</v>
      </c>
      <c r="R119" s="106">
        <f>$G119*K119</f>
        <v>0</v>
      </c>
      <c r="T119" s="106" t="str">
        <f>IF($E119=T$4,$R119,"")</f>
        <v/>
      </c>
      <c r="U119" s="106" t="str">
        <f>IF($E119=U$4,$R119,"")</f>
        <v/>
      </c>
      <c r="V119" s="106" t="str">
        <f>IF($E119=V$4,$R119,"")</f>
        <v/>
      </c>
      <c r="X119" s="106" t="str">
        <f>IF($F119=X$4,$R119,"")</f>
        <v/>
      </c>
      <c r="Y119" s="106" t="str">
        <f>IF($F119=Y$4,$R119,"")</f>
        <v/>
      </c>
      <c r="Z119" s="106" t="str">
        <f>IF($F119=Z$4,$R119,"")</f>
        <v/>
      </c>
      <c r="AA119" s="106" t="str">
        <f>IF($F119=AA$4,$R119,"")</f>
        <v/>
      </c>
    </row>
    <row r="120" spans="1:27" s="138" customFormat="1" x14ac:dyDescent="0.2">
      <c r="A120" s="138" t="str">
        <f>A119</f>
        <v>• service 1</v>
      </c>
      <c r="B120" s="138" t="str">
        <f>B119</f>
        <v>S1 - AD</v>
      </c>
      <c r="D120" s="138" t="s">
        <v>97</v>
      </c>
      <c r="E120" s="139"/>
      <c r="F120" s="139"/>
      <c r="G120" s="139"/>
      <c r="H120" s="299"/>
      <c r="I120" s="139"/>
      <c r="J120" s="139"/>
      <c r="K120" s="139"/>
      <c r="P120" s="139">
        <f>SUBTOTAL(9,P119:P119)</f>
        <v>0</v>
      </c>
      <c r="Q120" s="139">
        <f>SUBTOTAL(9,Q119:Q119)</f>
        <v>0</v>
      </c>
      <c r="R120" s="138">
        <f>SUBTOTAL(9,R119:R119)</f>
        <v>0</v>
      </c>
      <c r="T120" s="138">
        <f>SUBTOTAL(9,T119:T119)</f>
        <v>0</v>
      </c>
      <c r="U120" s="138">
        <f>SUBTOTAL(9,U119:U119)</f>
        <v>0</v>
      </c>
      <c r="V120" s="138">
        <f>SUBTOTAL(9,V119:V119)</f>
        <v>0</v>
      </c>
      <c r="X120" s="138">
        <f>SUBTOTAL(9,X119:X119)</f>
        <v>0</v>
      </c>
      <c r="Y120" s="138">
        <f>SUBTOTAL(9,Y119:Y119)</f>
        <v>0</v>
      </c>
      <c r="Z120" s="138">
        <f>SUBTOTAL(9,Z119:Z119)</f>
        <v>0</v>
      </c>
      <c r="AA120" s="138">
        <f>SUBTOTAL(9,AA119:AA119)</f>
        <v>0</v>
      </c>
    </row>
    <row r="121" spans="1:27" outlineLevel="1" x14ac:dyDescent="0.2">
      <c r="A121" t="str">
        <f>'Partie 3 • M.implantation'!C5</f>
        <v>• service 2</v>
      </c>
      <c r="C121" s="37" t="s">
        <v>353</v>
      </c>
      <c r="D121" s="285" t="str">
        <f>VLOOKUP($C121,'Typologie détaillée'!$E$4:$H$214,3,0)</f>
        <v>Ne pas utiliser</v>
      </c>
      <c r="E121" s="286">
        <f>VLOOKUP($C121,'Typologie détaillée'!$E$4:$H$214,4,0)</f>
        <v>0</v>
      </c>
      <c r="F121" s="90"/>
      <c r="G121" s="125"/>
      <c r="H121" s="302"/>
      <c r="I121" s="125"/>
      <c r="J121" s="125"/>
      <c r="K121" s="125"/>
      <c r="P121" s="129">
        <f t="shared" ref="P121:R127" si="44">$G121*I121</f>
        <v>0</v>
      </c>
      <c r="Q121" s="129">
        <f t="shared" si="44"/>
        <v>0</v>
      </c>
      <c r="R121" s="106">
        <f t="shared" si="44"/>
        <v>0</v>
      </c>
      <c r="T121" s="106" t="str">
        <f t="shared" ref="T121:V127" si="45">IF($E121=T$4,$R121,"")</f>
        <v/>
      </c>
      <c r="U121" s="106" t="str">
        <f t="shared" si="45"/>
        <v/>
      </c>
      <c r="V121" s="106" t="str">
        <f t="shared" si="45"/>
        <v/>
      </c>
      <c r="X121" s="106" t="str">
        <f t="shared" ref="X121:AA127" si="46">IF($F121=X$4,$R121,"")</f>
        <v/>
      </c>
      <c r="Y121" s="106" t="str">
        <f t="shared" si="46"/>
        <v/>
      </c>
      <c r="Z121" s="106" t="str">
        <f t="shared" si="46"/>
        <v/>
      </c>
      <c r="AA121" s="106" t="str">
        <f t="shared" si="46"/>
        <v/>
      </c>
    </row>
    <row r="122" spans="1:27" outlineLevel="1" x14ac:dyDescent="0.2">
      <c r="C122" s="37" t="s">
        <v>353</v>
      </c>
      <c r="D122" s="285" t="str">
        <f>VLOOKUP($C122,'Typologie détaillée'!$E$4:$H$214,3,0)</f>
        <v>Ne pas utiliser</v>
      </c>
      <c r="E122" s="286">
        <f>VLOOKUP($C122,'Typologie détaillée'!$E$4:$H$214,4,0)</f>
        <v>0</v>
      </c>
      <c r="F122" s="125"/>
      <c r="G122" s="125"/>
      <c r="H122" s="302"/>
      <c r="I122" s="125"/>
      <c r="J122" s="125"/>
      <c r="K122" s="125"/>
      <c r="P122" s="129">
        <f t="shared" si="44"/>
        <v>0</v>
      </c>
      <c r="Q122" s="129">
        <f t="shared" si="44"/>
        <v>0</v>
      </c>
      <c r="R122" s="106">
        <f t="shared" si="44"/>
        <v>0</v>
      </c>
      <c r="T122" s="106" t="str">
        <f t="shared" si="45"/>
        <v/>
      </c>
      <c r="U122" s="106" t="str">
        <f t="shared" si="45"/>
        <v/>
      </c>
      <c r="V122" s="106" t="str">
        <f t="shared" si="45"/>
        <v/>
      </c>
      <c r="X122" s="106" t="str">
        <f t="shared" si="46"/>
        <v/>
      </c>
      <c r="Y122" s="106" t="str">
        <f t="shared" si="46"/>
        <v/>
      </c>
      <c r="Z122" s="106" t="str">
        <f t="shared" si="46"/>
        <v/>
      </c>
      <c r="AA122" s="106" t="str">
        <f t="shared" si="46"/>
        <v/>
      </c>
    </row>
    <row r="123" spans="1:27" outlineLevel="1" x14ac:dyDescent="0.2">
      <c r="C123" s="37" t="s">
        <v>353</v>
      </c>
      <c r="D123" s="285" t="str">
        <f>VLOOKUP($C123,'Typologie détaillée'!$E$4:$H$214,3,0)</f>
        <v>Ne pas utiliser</v>
      </c>
      <c r="E123" s="286">
        <f>VLOOKUP($C123,'Typologie détaillée'!$E$4:$H$214,4,0)</f>
        <v>0</v>
      </c>
      <c r="F123" s="125"/>
      <c r="G123" s="125"/>
      <c r="H123" s="302"/>
      <c r="I123" s="125"/>
      <c r="J123" s="125"/>
      <c r="K123" s="125"/>
      <c r="P123" s="129">
        <f t="shared" si="44"/>
        <v>0</v>
      </c>
      <c r="Q123" s="129">
        <f t="shared" si="44"/>
        <v>0</v>
      </c>
      <c r="R123" s="106">
        <f t="shared" si="44"/>
        <v>0</v>
      </c>
      <c r="T123" s="106" t="str">
        <f t="shared" si="45"/>
        <v/>
      </c>
      <c r="U123" s="106" t="str">
        <f t="shared" si="45"/>
        <v/>
      </c>
      <c r="V123" s="106" t="str">
        <f t="shared" si="45"/>
        <v/>
      </c>
      <c r="X123" s="106" t="str">
        <f t="shared" si="46"/>
        <v/>
      </c>
      <c r="Y123" s="106" t="str">
        <f t="shared" si="46"/>
        <v/>
      </c>
      <c r="Z123" s="106" t="str">
        <f t="shared" si="46"/>
        <v/>
      </c>
      <c r="AA123" s="106" t="str">
        <f t="shared" si="46"/>
        <v/>
      </c>
    </row>
    <row r="124" spans="1:27" outlineLevel="1" x14ac:dyDescent="0.2">
      <c r="C124" s="37" t="s">
        <v>353</v>
      </c>
      <c r="D124" s="285" t="str">
        <f>VLOOKUP($C124,'Typologie détaillée'!$E$4:$H$214,3,0)</f>
        <v>Ne pas utiliser</v>
      </c>
      <c r="E124" s="286">
        <f>VLOOKUP($C124,'Typologie détaillée'!$E$4:$H$214,4,0)</f>
        <v>0</v>
      </c>
      <c r="F124" s="125"/>
      <c r="G124" s="125"/>
      <c r="H124" s="302"/>
      <c r="I124" s="125"/>
      <c r="J124" s="125"/>
      <c r="K124" s="125"/>
      <c r="P124" s="129">
        <f t="shared" si="44"/>
        <v>0</v>
      </c>
      <c r="Q124" s="129">
        <f t="shared" si="44"/>
        <v>0</v>
      </c>
      <c r="R124" s="106">
        <f t="shared" si="44"/>
        <v>0</v>
      </c>
      <c r="T124" s="106" t="str">
        <f t="shared" si="45"/>
        <v/>
      </c>
      <c r="U124" s="106" t="str">
        <f t="shared" si="45"/>
        <v/>
      </c>
      <c r="V124" s="106" t="str">
        <f t="shared" si="45"/>
        <v/>
      </c>
      <c r="X124" s="106" t="str">
        <f t="shared" si="46"/>
        <v/>
      </c>
      <c r="Y124" s="106" t="str">
        <f t="shared" si="46"/>
        <v/>
      </c>
      <c r="Z124" s="106" t="str">
        <f t="shared" si="46"/>
        <v/>
      </c>
      <c r="AA124" s="106" t="str">
        <f t="shared" si="46"/>
        <v/>
      </c>
    </row>
    <row r="125" spans="1:27" outlineLevel="1" x14ac:dyDescent="0.2">
      <c r="C125" s="37" t="s">
        <v>353</v>
      </c>
      <c r="D125" s="285" t="str">
        <f>VLOOKUP($C125,'Typologie détaillée'!$E$4:$H$214,3,0)</f>
        <v>Ne pas utiliser</v>
      </c>
      <c r="E125" s="286">
        <f>VLOOKUP($C125,'Typologie détaillée'!$E$4:$H$214,4,0)</f>
        <v>0</v>
      </c>
      <c r="F125" s="90"/>
      <c r="G125" s="90"/>
      <c r="H125" s="301"/>
      <c r="I125" s="90"/>
      <c r="J125" s="90"/>
      <c r="K125" s="90"/>
      <c r="P125" s="129">
        <f t="shared" si="44"/>
        <v>0</v>
      </c>
      <c r="Q125" s="129">
        <f t="shared" si="44"/>
        <v>0</v>
      </c>
      <c r="R125" s="106">
        <f t="shared" si="44"/>
        <v>0</v>
      </c>
      <c r="T125" s="106" t="str">
        <f t="shared" si="45"/>
        <v/>
      </c>
      <c r="U125" s="106" t="str">
        <f t="shared" si="45"/>
        <v/>
      </c>
      <c r="V125" s="106" t="str">
        <f t="shared" si="45"/>
        <v/>
      </c>
      <c r="X125" s="106" t="str">
        <f t="shared" si="46"/>
        <v/>
      </c>
      <c r="Y125" s="106" t="str">
        <f t="shared" si="46"/>
        <v/>
      </c>
      <c r="Z125" s="106" t="str">
        <f t="shared" si="46"/>
        <v/>
      </c>
      <c r="AA125" s="106" t="str">
        <f t="shared" si="46"/>
        <v/>
      </c>
    </row>
    <row r="126" spans="1:27" outlineLevel="1" x14ac:dyDescent="0.2">
      <c r="C126" s="37" t="s">
        <v>353</v>
      </c>
      <c r="D126" s="285" t="str">
        <f>VLOOKUP($C126,'Typologie détaillée'!$E$4:$H$214,3,0)</f>
        <v>Ne pas utiliser</v>
      </c>
      <c r="E126" s="286">
        <f>VLOOKUP($C126,'Typologie détaillée'!$E$4:$H$214,4,0)</f>
        <v>0</v>
      </c>
      <c r="F126" s="90"/>
      <c r="G126" s="90"/>
      <c r="H126" s="301"/>
      <c r="I126" s="90"/>
      <c r="J126" s="90"/>
      <c r="K126" s="90"/>
      <c r="P126" s="129">
        <f t="shared" si="44"/>
        <v>0</v>
      </c>
      <c r="Q126" s="129">
        <f t="shared" si="44"/>
        <v>0</v>
      </c>
      <c r="R126" s="106">
        <f t="shared" si="44"/>
        <v>0</v>
      </c>
      <c r="T126" s="106" t="str">
        <f t="shared" si="45"/>
        <v/>
      </c>
      <c r="U126" s="106" t="str">
        <f t="shared" si="45"/>
        <v/>
      </c>
      <c r="V126" s="106" t="str">
        <f t="shared" si="45"/>
        <v/>
      </c>
      <c r="X126" s="106" t="str">
        <f t="shared" si="46"/>
        <v/>
      </c>
      <c r="Y126" s="106" t="str">
        <f t="shared" si="46"/>
        <v/>
      </c>
      <c r="Z126" s="106" t="str">
        <f t="shared" si="46"/>
        <v/>
      </c>
      <c r="AA126" s="106" t="str">
        <f t="shared" si="46"/>
        <v/>
      </c>
    </row>
    <row r="127" spans="1:27" outlineLevel="1" x14ac:dyDescent="0.2">
      <c r="C127" s="37" t="s">
        <v>353</v>
      </c>
      <c r="D127" s="285" t="str">
        <f>VLOOKUP($C127,'Typologie détaillée'!$E$4:$H$214,3,0)</f>
        <v>Ne pas utiliser</v>
      </c>
      <c r="E127" s="286">
        <f>VLOOKUP($C127,'Typologie détaillée'!$E$4:$H$214,4,0)</f>
        <v>0</v>
      </c>
      <c r="F127" s="90"/>
      <c r="G127" s="90"/>
      <c r="H127" s="301"/>
      <c r="I127" s="90"/>
      <c r="J127" s="90"/>
      <c r="K127" s="90"/>
      <c r="P127" s="129">
        <f t="shared" si="44"/>
        <v>0</v>
      </c>
      <c r="Q127" s="129">
        <f t="shared" si="44"/>
        <v>0</v>
      </c>
      <c r="R127" s="106">
        <f t="shared" si="44"/>
        <v>0</v>
      </c>
      <c r="T127" s="106" t="str">
        <f t="shared" si="45"/>
        <v/>
      </c>
      <c r="U127" s="106" t="str">
        <f t="shared" si="45"/>
        <v/>
      </c>
      <c r="V127" s="106" t="str">
        <f t="shared" si="45"/>
        <v/>
      </c>
      <c r="X127" s="106" t="str">
        <f t="shared" si="46"/>
        <v/>
      </c>
      <c r="Y127" s="106" t="str">
        <f t="shared" si="46"/>
        <v/>
      </c>
      <c r="Z127" s="106" t="str">
        <f t="shared" si="46"/>
        <v/>
      </c>
      <c r="AA127" s="106" t="str">
        <f t="shared" si="46"/>
        <v/>
      </c>
    </row>
    <row r="128" spans="1:27" s="138" customFormat="1" x14ac:dyDescent="0.2">
      <c r="A128" s="138" t="str">
        <f>A121</f>
        <v>• service 2</v>
      </c>
      <c r="B128" s="138">
        <f>B121</f>
        <v>0</v>
      </c>
      <c r="D128" s="138" t="s">
        <v>97</v>
      </c>
      <c r="E128" s="139"/>
      <c r="F128" s="139"/>
      <c r="G128" s="139"/>
      <c r="H128" s="299"/>
      <c r="I128" s="139"/>
      <c r="J128" s="139"/>
      <c r="K128" s="139"/>
      <c r="P128" s="139">
        <f>SUBTOTAL(9,P121:P127)</f>
        <v>0</v>
      </c>
      <c r="Q128" s="139">
        <f>SUBTOTAL(9,Q121:Q127)</f>
        <v>0</v>
      </c>
      <c r="R128" s="138">
        <f>SUBTOTAL(9,R121:R127)</f>
        <v>0</v>
      </c>
      <c r="T128" s="138">
        <f>SUBTOTAL(9,T121:T127)</f>
        <v>0</v>
      </c>
      <c r="U128" s="138">
        <f>SUBTOTAL(9,U121:U127)</f>
        <v>0</v>
      </c>
      <c r="V128" s="138">
        <f>SUBTOTAL(9,V121:V127)</f>
        <v>0</v>
      </c>
      <c r="X128" s="138">
        <f>SUBTOTAL(9,X121:X127)</f>
        <v>0</v>
      </c>
      <c r="Y128" s="138">
        <f>SUBTOTAL(9,Y121:Y127)</f>
        <v>0</v>
      </c>
      <c r="Z128" s="138">
        <f>SUBTOTAL(9,Z121:Z127)</f>
        <v>0</v>
      </c>
      <c r="AA128" s="138">
        <f>SUBTOTAL(9,AA121:AA127)</f>
        <v>0</v>
      </c>
    </row>
    <row r="129" spans="1:27" outlineLevel="1" x14ac:dyDescent="0.2">
      <c r="A129" t="str">
        <f>'Partie 3 • M.implantation'!C6</f>
        <v>• service 7</v>
      </c>
      <c r="C129" s="37" t="s">
        <v>353</v>
      </c>
      <c r="D129" s="285" t="str">
        <f>VLOOKUP($C129,'Typologie détaillée'!$E$4:$H$214,3,0)</f>
        <v>Ne pas utiliser</v>
      </c>
      <c r="E129" s="286">
        <f>VLOOKUP($C129,'Typologie détaillée'!$E$4:$H$214,4,0)</f>
        <v>0</v>
      </c>
      <c r="F129" s="125"/>
      <c r="G129" s="125"/>
      <c r="H129" s="302"/>
      <c r="I129" s="125"/>
      <c r="J129" s="125"/>
      <c r="K129" s="125"/>
      <c r="P129" s="129">
        <f t="shared" ref="P129:R130" si="47">$G129*I129</f>
        <v>0</v>
      </c>
      <c r="Q129" s="129">
        <f t="shared" si="47"/>
        <v>0</v>
      </c>
      <c r="R129" s="106">
        <f t="shared" si="47"/>
        <v>0</v>
      </c>
      <c r="T129" s="106" t="str">
        <f t="shared" ref="T129:V130" si="48">IF($E129=T$4,$R129,"")</f>
        <v/>
      </c>
      <c r="U129" s="106" t="str">
        <f t="shared" si="48"/>
        <v/>
      </c>
      <c r="V129" s="106" t="str">
        <f t="shared" si="48"/>
        <v/>
      </c>
      <c r="X129" s="106" t="str">
        <f t="shared" ref="X129:AA130" si="49">IF($F129=X$4,$R129,"")</f>
        <v/>
      </c>
      <c r="Y129" s="106" t="str">
        <f t="shared" si="49"/>
        <v/>
      </c>
      <c r="Z129" s="106" t="str">
        <f t="shared" si="49"/>
        <v/>
      </c>
      <c r="AA129" s="106" t="str">
        <f t="shared" si="49"/>
        <v/>
      </c>
    </row>
    <row r="130" spans="1:27" outlineLevel="1" x14ac:dyDescent="0.2">
      <c r="C130" s="37" t="s">
        <v>353</v>
      </c>
      <c r="D130" s="285" t="str">
        <f>VLOOKUP($C130,'Typologie détaillée'!$E$4:$H$214,3,0)</f>
        <v>Ne pas utiliser</v>
      </c>
      <c r="E130" s="286">
        <f>VLOOKUP($C130,'Typologie détaillée'!$E$4:$H$214,4,0)</f>
        <v>0</v>
      </c>
      <c r="F130" s="125"/>
      <c r="G130" s="125"/>
      <c r="H130" s="302"/>
      <c r="I130" s="125"/>
      <c r="J130" s="125"/>
      <c r="K130" s="125"/>
      <c r="P130" s="129">
        <f t="shared" si="47"/>
        <v>0</v>
      </c>
      <c r="Q130" s="129">
        <f t="shared" si="47"/>
        <v>0</v>
      </c>
      <c r="R130" s="106">
        <f t="shared" si="47"/>
        <v>0</v>
      </c>
      <c r="T130" s="106" t="str">
        <f t="shared" si="48"/>
        <v/>
      </c>
      <c r="U130" s="106" t="str">
        <f t="shared" si="48"/>
        <v/>
      </c>
      <c r="V130" s="106" t="str">
        <f t="shared" si="48"/>
        <v/>
      </c>
      <c r="X130" s="106" t="str">
        <f t="shared" si="49"/>
        <v/>
      </c>
      <c r="Y130" s="106" t="str">
        <f t="shared" si="49"/>
        <v/>
      </c>
      <c r="Z130" s="106" t="str">
        <f t="shared" si="49"/>
        <v/>
      </c>
      <c r="AA130" s="106" t="str">
        <f t="shared" si="49"/>
        <v/>
      </c>
    </row>
    <row r="131" spans="1:27" s="138" customFormat="1" x14ac:dyDescent="0.2">
      <c r="A131" s="138" t="str">
        <f>A129</f>
        <v>• service 7</v>
      </c>
      <c r="B131" s="138">
        <f>B129</f>
        <v>0</v>
      </c>
      <c r="D131" s="138" t="s">
        <v>97</v>
      </c>
      <c r="E131" s="139"/>
      <c r="F131" s="139"/>
      <c r="G131" s="139"/>
      <c r="H131" s="299"/>
      <c r="I131" s="139"/>
      <c r="J131" s="139"/>
      <c r="K131" s="139"/>
      <c r="P131" s="139">
        <f>SUBTOTAL(9,P129:P130)</f>
        <v>0</v>
      </c>
      <c r="Q131" s="139">
        <f>SUBTOTAL(9,Q129:Q130)</f>
        <v>0</v>
      </c>
      <c r="R131" s="138">
        <f>SUBTOTAL(9,R129:R130)</f>
        <v>0</v>
      </c>
      <c r="T131" s="138">
        <f>SUBTOTAL(9,T129:T130)</f>
        <v>0</v>
      </c>
      <c r="U131" s="138">
        <f>SUBTOTAL(9,U129:U130)</f>
        <v>0</v>
      </c>
      <c r="V131" s="138">
        <f>SUBTOTAL(9,V129:V130)</f>
        <v>0</v>
      </c>
      <c r="X131" s="138">
        <f>SUBTOTAL(9,X129:X130)</f>
        <v>0</v>
      </c>
      <c r="Y131" s="138">
        <f>SUBTOTAL(9,Y129:Y130)</f>
        <v>0</v>
      </c>
      <c r="Z131" s="138">
        <f>SUBTOTAL(9,Z129:Z130)</f>
        <v>0</v>
      </c>
      <c r="AA131" s="138">
        <f>SUBTOTAL(9,AA129:AA130)</f>
        <v>0</v>
      </c>
    </row>
    <row r="132" spans="1:27" outlineLevel="1" x14ac:dyDescent="0.2">
      <c r="A132" t="str">
        <f>'Partie 3 • M.implantation'!C7</f>
        <v>• service 8</v>
      </c>
      <c r="C132" s="37" t="s">
        <v>353</v>
      </c>
      <c r="D132" s="285" t="str">
        <f>VLOOKUP($C132,'Typologie détaillée'!$E$4:$H$214,3,0)</f>
        <v>Ne pas utiliser</v>
      </c>
      <c r="E132" s="286">
        <f>VLOOKUP($C132,'Typologie détaillée'!$E$4:$H$214,4,0)</f>
        <v>0</v>
      </c>
      <c r="F132" s="125"/>
      <c r="G132" s="125"/>
      <c r="H132" s="302"/>
      <c r="I132" s="125"/>
      <c r="J132" s="125"/>
      <c r="K132" s="125"/>
      <c r="P132" s="129">
        <f t="shared" ref="P132:R135" si="50">$G132*I132</f>
        <v>0</v>
      </c>
      <c r="Q132" s="129">
        <f t="shared" si="50"/>
        <v>0</v>
      </c>
      <c r="R132" s="106">
        <f t="shared" si="50"/>
        <v>0</v>
      </c>
      <c r="T132" s="106" t="str">
        <f t="shared" ref="T132:V135" si="51">IF($E132=T$4,$R132,"")</f>
        <v/>
      </c>
      <c r="U132" s="106" t="str">
        <f t="shared" si="51"/>
        <v/>
      </c>
      <c r="V132" s="106" t="str">
        <f t="shared" si="51"/>
        <v/>
      </c>
      <c r="X132" s="106" t="str">
        <f t="shared" ref="X132:AA135" si="52">IF($F132=X$4,$R132,"")</f>
        <v/>
      </c>
      <c r="Y132" s="106" t="str">
        <f t="shared" si="52"/>
        <v/>
      </c>
      <c r="Z132" s="106" t="str">
        <f t="shared" si="52"/>
        <v/>
      </c>
      <c r="AA132" s="106" t="str">
        <f t="shared" si="52"/>
        <v/>
      </c>
    </row>
    <row r="133" spans="1:27" outlineLevel="1" x14ac:dyDescent="0.2">
      <c r="C133" s="37" t="s">
        <v>353</v>
      </c>
      <c r="D133" s="285" t="str">
        <f>VLOOKUP($C133,'Typologie détaillée'!$E$4:$H$214,3,0)</f>
        <v>Ne pas utiliser</v>
      </c>
      <c r="E133" s="286">
        <f>VLOOKUP($C133,'Typologie détaillée'!$E$4:$H$214,4,0)</f>
        <v>0</v>
      </c>
      <c r="F133" s="125"/>
      <c r="G133" s="125"/>
      <c r="H133" s="302"/>
      <c r="I133" s="125"/>
      <c r="J133" s="125"/>
      <c r="K133" s="125"/>
      <c r="P133" s="129">
        <f t="shared" si="50"/>
        <v>0</v>
      </c>
      <c r="Q133" s="129">
        <f t="shared" si="50"/>
        <v>0</v>
      </c>
      <c r="R133" s="106">
        <f t="shared" si="50"/>
        <v>0</v>
      </c>
      <c r="T133" s="106" t="str">
        <f t="shared" si="51"/>
        <v/>
      </c>
      <c r="U133" s="106" t="str">
        <f t="shared" si="51"/>
        <v/>
      </c>
      <c r="V133" s="106" t="str">
        <f t="shared" si="51"/>
        <v/>
      </c>
      <c r="X133" s="106" t="str">
        <f t="shared" si="52"/>
        <v/>
      </c>
      <c r="Y133" s="106" t="str">
        <f t="shared" si="52"/>
        <v/>
      </c>
      <c r="Z133" s="106" t="str">
        <f t="shared" si="52"/>
        <v/>
      </c>
      <c r="AA133" s="106" t="str">
        <f t="shared" si="52"/>
        <v/>
      </c>
    </row>
    <row r="134" spans="1:27" outlineLevel="1" x14ac:dyDescent="0.2">
      <c r="C134" s="37" t="s">
        <v>353</v>
      </c>
      <c r="D134" s="285" t="str">
        <f>VLOOKUP($C134,'Typologie détaillée'!$E$4:$H$214,3,0)</f>
        <v>Ne pas utiliser</v>
      </c>
      <c r="E134" s="286">
        <f>VLOOKUP($C134,'Typologie détaillée'!$E$4:$H$214,4,0)</f>
        <v>0</v>
      </c>
      <c r="F134" s="90"/>
      <c r="G134" s="90"/>
      <c r="H134" s="301"/>
      <c r="I134" s="90"/>
      <c r="J134" s="90"/>
      <c r="K134" s="90"/>
      <c r="P134" s="129">
        <f t="shared" si="50"/>
        <v>0</v>
      </c>
      <c r="Q134" s="129">
        <f t="shared" si="50"/>
        <v>0</v>
      </c>
      <c r="R134" s="106">
        <f t="shared" si="50"/>
        <v>0</v>
      </c>
      <c r="T134" s="106" t="str">
        <f t="shared" si="51"/>
        <v/>
      </c>
      <c r="U134" s="106" t="str">
        <f t="shared" si="51"/>
        <v/>
      </c>
      <c r="V134" s="106" t="str">
        <f t="shared" si="51"/>
        <v/>
      </c>
      <c r="X134" s="106" t="str">
        <f t="shared" si="52"/>
        <v/>
      </c>
      <c r="Y134" s="106" t="str">
        <f t="shared" si="52"/>
        <v/>
      </c>
      <c r="Z134" s="106" t="str">
        <f t="shared" si="52"/>
        <v/>
      </c>
      <c r="AA134" s="106" t="str">
        <f t="shared" si="52"/>
        <v/>
      </c>
    </row>
    <row r="135" spans="1:27" outlineLevel="1" x14ac:dyDescent="0.2">
      <c r="C135" s="37" t="s">
        <v>353</v>
      </c>
      <c r="D135" s="285" t="str">
        <f>VLOOKUP($C135,'Typologie détaillée'!$E$4:$H$214,3,0)</f>
        <v>Ne pas utiliser</v>
      </c>
      <c r="E135" s="286">
        <f>VLOOKUP($C135,'Typologie détaillée'!$E$4:$H$214,4,0)</f>
        <v>0</v>
      </c>
      <c r="F135" s="90"/>
      <c r="G135" s="90"/>
      <c r="H135" s="301"/>
      <c r="I135" s="90"/>
      <c r="J135" s="90"/>
      <c r="K135" s="90"/>
      <c r="P135" s="129">
        <f t="shared" si="50"/>
        <v>0</v>
      </c>
      <c r="Q135" s="129">
        <f t="shared" si="50"/>
        <v>0</v>
      </c>
      <c r="R135" s="106">
        <f t="shared" si="50"/>
        <v>0</v>
      </c>
      <c r="T135" s="106" t="str">
        <f t="shared" si="51"/>
        <v/>
      </c>
      <c r="U135" s="106" t="str">
        <f t="shared" si="51"/>
        <v/>
      </c>
      <c r="V135" s="106" t="str">
        <f t="shared" si="51"/>
        <v/>
      </c>
      <c r="X135" s="106" t="str">
        <f t="shared" si="52"/>
        <v/>
      </c>
      <c r="Y135" s="106" t="str">
        <f t="shared" si="52"/>
        <v/>
      </c>
      <c r="Z135" s="106" t="str">
        <f t="shared" si="52"/>
        <v/>
      </c>
      <c r="AA135" s="106" t="str">
        <f t="shared" si="52"/>
        <v/>
      </c>
    </row>
    <row r="136" spans="1:27" s="138" customFormat="1" x14ac:dyDescent="0.2">
      <c r="A136" s="138" t="str">
        <f>A132</f>
        <v>• service 8</v>
      </c>
      <c r="B136" s="138">
        <f>B132</f>
        <v>0</v>
      </c>
      <c r="D136" s="138" t="s">
        <v>97</v>
      </c>
      <c r="E136" s="139"/>
      <c r="F136" s="139"/>
      <c r="G136" s="139"/>
      <c r="H136" s="299"/>
      <c r="I136" s="139"/>
      <c r="J136" s="139"/>
      <c r="K136" s="139"/>
      <c r="P136" s="139">
        <f>SUBTOTAL(9,P132:P135)</f>
        <v>0</v>
      </c>
      <c r="Q136" s="139">
        <f>SUBTOTAL(9,Q132:Q135)</f>
        <v>0</v>
      </c>
      <c r="R136" s="138">
        <f>SUBTOTAL(9,R132:R135)</f>
        <v>0</v>
      </c>
      <c r="T136" s="138">
        <f>SUBTOTAL(9,T132:T135)</f>
        <v>0</v>
      </c>
      <c r="U136" s="138">
        <f>SUBTOTAL(9,U132:U135)</f>
        <v>0</v>
      </c>
      <c r="V136" s="138">
        <f>SUBTOTAL(9,V132:V135)</f>
        <v>0</v>
      </c>
      <c r="X136" s="138">
        <f>SUBTOTAL(9,X132:X135)</f>
        <v>0</v>
      </c>
      <c r="Y136" s="138">
        <f>SUBTOTAL(9,Y132:Y135)</f>
        <v>0</v>
      </c>
      <c r="Z136" s="138">
        <f>SUBTOTAL(9,Z132:Z135)</f>
        <v>0</v>
      </c>
      <c r="AA136" s="138">
        <f>SUBTOTAL(9,AA132:AA135)</f>
        <v>0</v>
      </c>
    </row>
    <row r="137" spans="1:27" outlineLevel="1" x14ac:dyDescent="0.2">
      <c r="A137" t="str">
        <f>'Partie 3 • M.implantation'!C8</f>
        <v>• service 9</v>
      </c>
      <c r="C137" s="37" t="s">
        <v>353</v>
      </c>
      <c r="D137" s="285" t="str">
        <f>VLOOKUP($C137,'Typologie détaillée'!$E$4:$H$214,3,0)</f>
        <v>Ne pas utiliser</v>
      </c>
      <c r="E137" s="286">
        <f>VLOOKUP($C137,'Typologie détaillée'!$E$4:$H$214,4,0)</f>
        <v>0</v>
      </c>
      <c r="F137" s="125"/>
      <c r="G137" s="125"/>
      <c r="H137" s="302"/>
      <c r="I137" s="125"/>
      <c r="J137" s="125"/>
      <c r="K137" s="125"/>
      <c r="P137" s="129">
        <f t="shared" ref="P137:R139" si="53">$G137*I137</f>
        <v>0</v>
      </c>
      <c r="Q137" s="129">
        <f t="shared" si="53"/>
        <v>0</v>
      </c>
      <c r="R137" s="106">
        <f t="shared" si="53"/>
        <v>0</v>
      </c>
      <c r="T137" s="106" t="str">
        <f t="shared" ref="T137:V139" si="54">IF($E137=T$4,$R137,"")</f>
        <v/>
      </c>
      <c r="U137" s="106" t="str">
        <f t="shared" si="54"/>
        <v/>
      </c>
      <c r="V137" s="106" t="str">
        <f t="shared" si="54"/>
        <v/>
      </c>
      <c r="X137" s="106" t="str">
        <f t="shared" ref="X137:AA139" si="55">IF($F137=X$4,$R137,"")</f>
        <v/>
      </c>
      <c r="Y137" s="106" t="str">
        <f t="shared" si="55"/>
        <v/>
      </c>
      <c r="Z137" s="106" t="str">
        <f t="shared" si="55"/>
        <v/>
      </c>
      <c r="AA137" s="106" t="str">
        <f t="shared" si="55"/>
        <v/>
      </c>
    </row>
    <row r="138" spans="1:27" outlineLevel="1" x14ac:dyDescent="0.2">
      <c r="C138" s="37" t="s">
        <v>353</v>
      </c>
      <c r="D138" s="285" t="str">
        <f>VLOOKUP($C138,'Typologie détaillée'!$E$4:$H$214,3,0)</f>
        <v>Ne pas utiliser</v>
      </c>
      <c r="E138" s="286">
        <f>VLOOKUP($C138,'Typologie détaillée'!$E$4:$H$214,4,0)</f>
        <v>0</v>
      </c>
      <c r="F138" s="90"/>
      <c r="G138" s="90"/>
      <c r="H138" s="301"/>
      <c r="I138" s="90"/>
      <c r="J138" s="90"/>
      <c r="K138" s="90"/>
      <c r="P138" s="129">
        <f t="shared" si="53"/>
        <v>0</v>
      </c>
      <c r="Q138" s="129">
        <f t="shared" si="53"/>
        <v>0</v>
      </c>
      <c r="R138" s="106">
        <f t="shared" si="53"/>
        <v>0</v>
      </c>
      <c r="T138" s="106" t="str">
        <f t="shared" si="54"/>
        <v/>
      </c>
      <c r="U138" s="106" t="str">
        <f t="shared" si="54"/>
        <v/>
      </c>
      <c r="V138" s="106" t="str">
        <f t="shared" si="54"/>
        <v/>
      </c>
      <c r="X138" s="106" t="str">
        <f t="shared" si="55"/>
        <v/>
      </c>
      <c r="Y138" s="106" t="str">
        <f t="shared" si="55"/>
        <v/>
      </c>
      <c r="Z138" s="106" t="str">
        <f t="shared" si="55"/>
        <v/>
      </c>
      <c r="AA138" s="106" t="str">
        <f t="shared" si="55"/>
        <v/>
      </c>
    </row>
    <row r="139" spans="1:27" outlineLevel="1" x14ac:dyDescent="0.2">
      <c r="C139" s="37" t="s">
        <v>353</v>
      </c>
      <c r="D139" s="285" t="str">
        <f>VLOOKUP($C139,'Typologie détaillée'!$E$4:$H$214,3,0)</f>
        <v>Ne pas utiliser</v>
      </c>
      <c r="E139" s="286">
        <f>VLOOKUP($C139,'Typologie détaillée'!$E$4:$H$214,4,0)</f>
        <v>0</v>
      </c>
      <c r="F139" s="90"/>
      <c r="G139" s="90"/>
      <c r="H139" s="301"/>
      <c r="I139" s="90"/>
      <c r="J139" s="90"/>
      <c r="K139" s="90"/>
      <c r="P139" s="129">
        <f t="shared" si="53"/>
        <v>0</v>
      </c>
      <c r="Q139" s="129">
        <f t="shared" si="53"/>
        <v>0</v>
      </c>
      <c r="R139" s="106">
        <f t="shared" si="53"/>
        <v>0</v>
      </c>
      <c r="T139" s="106" t="str">
        <f t="shared" si="54"/>
        <v/>
      </c>
      <c r="U139" s="106" t="str">
        <f t="shared" si="54"/>
        <v/>
      </c>
      <c r="V139" s="106" t="str">
        <f t="shared" si="54"/>
        <v/>
      </c>
      <c r="X139" s="106" t="str">
        <f t="shared" si="55"/>
        <v/>
      </c>
      <c r="Y139" s="106" t="str">
        <f t="shared" si="55"/>
        <v/>
      </c>
      <c r="Z139" s="106" t="str">
        <f t="shared" si="55"/>
        <v/>
      </c>
      <c r="AA139" s="106" t="str">
        <f t="shared" si="55"/>
        <v/>
      </c>
    </row>
    <row r="140" spans="1:27" s="138" customFormat="1" x14ac:dyDescent="0.2">
      <c r="A140" s="138" t="str">
        <f>A137</f>
        <v>• service 9</v>
      </c>
      <c r="B140" s="138">
        <f>B137</f>
        <v>0</v>
      </c>
      <c r="D140" s="138" t="s">
        <v>97</v>
      </c>
      <c r="E140" s="139"/>
      <c r="F140" s="139"/>
      <c r="G140" s="139"/>
      <c r="H140" s="299"/>
      <c r="I140" s="139"/>
      <c r="J140" s="139"/>
      <c r="K140" s="139"/>
      <c r="P140" s="139">
        <f>SUBTOTAL(9,P137:P139)</f>
        <v>0</v>
      </c>
      <c r="Q140" s="139">
        <f>SUBTOTAL(9,Q137:Q139)</f>
        <v>0</v>
      </c>
      <c r="R140" s="138">
        <f>SUBTOTAL(9,R137:R139)</f>
        <v>0</v>
      </c>
      <c r="T140" s="138">
        <f>SUBTOTAL(9,T137:T139)</f>
        <v>0</v>
      </c>
      <c r="U140" s="138">
        <f>SUBTOTAL(9,U137:U139)</f>
        <v>0</v>
      </c>
      <c r="V140" s="138">
        <f>SUBTOTAL(9,V137:V139)</f>
        <v>0</v>
      </c>
      <c r="X140" s="138">
        <f>SUBTOTAL(9,X137:X139)</f>
        <v>0</v>
      </c>
      <c r="Y140" s="138">
        <f>SUBTOTAL(9,Y137:Y139)</f>
        <v>0</v>
      </c>
      <c r="Z140" s="138">
        <f>SUBTOTAL(9,Z137:Z139)</f>
        <v>0</v>
      </c>
      <c r="AA140" s="138">
        <f>SUBTOTAL(9,AA137:AA139)</f>
        <v>0</v>
      </c>
    </row>
    <row r="141" spans="1:27" outlineLevel="1" x14ac:dyDescent="0.2">
      <c r="A141" t="str">
        <f>'Partie 3 • M.implantation'!C9</f>
        <v>• service 10</v>
      </c>
      <c r="C141" s="37" t="s">
        <v>353</v>
      </c>
      <c r="D141" s="285" t="str">
        <f>VLOOKUP($C141,'Typologie détaillée'!$E$4:$H$214,3,0)</f>
        <v>Ne pas utiliser</v>
      </c>
      <c r="E141" s="286">
        <f>VLOOKUP($C141,'Typologie détaillée'!$E$4:$H$214,4,0)</f>
        <v>0</v>
      </c>
      <c r="F141" s="125"/>
      <c r="G141" s="125"/>
      <c r="H141" s="302"/>
      <c r="I141" s="125"/>
      <c r="J141" s="125"/>
      <c r="K141" s="125"/>
      <c r="P141" s="129">
        <f t="shared" ref="P141:R147" si="56">$G141*I141</f>
        <v>0</v>
      </c>
      <c r="Q141" s="129">
        <f t="shared" si="56"/>
        <v>0</v>
      </c>
      <c r="R141" s="106">
        <f t="shared" si="56"/>
        <v>0</v>
      </c>
      <c r="T141" s="106" t="str">
        <f t="shared" ref="T141:V147" si="57">IF($E141=T$4,$R141,"")</f>
        <v/>
      </c>
      <c r="U141" s="106" t="str">
        <f t="shared" si="57"/>
        <v/>
      </c>
      <c r="V141" s="106" t="str">
        <f t="shared" si="57"/>
        <v/>
      </c>
      <c r="X141" s="106" t="str">
        <f t="shared" ref="X141:AA147" si="58">IF($F141=X$4,$R141,"")</f>
        <v/>
      </c>
      <c r="Y141" s="106" t="str">
        <f t="shared" si="58"/>
        <v/>
      </c>
      <c r="Z141" s="106" t="str">
        <f t="shared" si="58"/>
        <v/>
      </c>
      <c r="AA141" s="106" t="str">
        <f t="shared" si="58"/>
        <v/>
      </c>
    </row>
    <row r="142" spans="1:27" outlineLevel="1" x14ac:dyDescent="0.2">
      <c r="C142" s="37" t="s">
        <v>353</v>
      </c>
      <c r="D142" s="285" t="str">
        <f>VLOOKUP($C142,'Typologie détaillée'!$E$4:$H$214,3,0)</f>
        <v>Ne pas utiliser</v>
      </c>
      <c r="E142" s="286">
        <f>VLOOKUP($C142,'Typologie détaillée'!$E$4:$H$214,4,0)</f>
        <v>0</v>
      </c>
      <c r="F142" s="90"/>
      <c r="G142" s="90"/>
      <c r="H142" s="301"/>
      <c r="I142" s="90"/>
      <c r="J142" s="90"/>
      <c r="K142" s="90"/>
      <c r="P142" s="129">
        <f t="shared" si="56"/>
        <v>0</v>
      </c>
      <c r="Q142" s="129">
        <f t="shared" si="56"/>
        <v>0</v>
      </c>
      <c r="R142" s="106">
        <f t="shared" si="56"/>
        <v>0</v>
      </c>
      <c r="T142" s="106" t="str">
        <f t="shared" si="57"/>
        <v/>
      </c>
      <c r="U142" s="106" t="str">
        <f t="shared" si="57"/>
        <v/>
      </c>
      <c r="V142" s="106" t="str">
        <f t="shared" si="57"/>
        <v/>
      </c>
      <c r="X142" s="106" t="str">
        <f t="shared" si="58"/>
        <v/>
      </c>
      <c r="Y142" s="106" t="str">
        <f t="shared" si="58"/>
        <v/>
      </c>
      <c r="Z142" s="106" t="str">
        <f t="shared" si="58"/>
        <v/>
      </c>
      <c r="AA142" s="106" t="str">
        <f t="shared" si="58"/>
        <v/>
      </c>
    </row>
    <row r="143" spans="1:27" outlineLevel="1" x14ac:dyDescent="0.2">
      <c r="C143" s="37" t="s">
        <v>353</v>
      </c>
      <c r="D143" s="285" t="str">
        <f>VLOOKUP($C143,'Typologie détaillée'!$E$4:$H$214,3,0)</f>
        <v>Ne pas utiliser</v>
      </c>
      <c r="E143" s="286">
        <f>VLOOKUP($C143,'Typologie détaillée'!$E$4:$H$214,4,0)</f>
        <v>0</v>
      </c>
      <c r="F143" s="90"/>
      <c r="G143" s="90"/>
      <c r="H143" s="301"/>
      <c r="I143" s="90"/>
      <c r="J143" s="90"/>
      <c r="K143" s="90"/>
      <c r="P143" s="129">
        <f t="shared" si="56"/>
        <v>0</v>
      </c>
      <c r="Q143" s="129">
        <f t="shared" si="56"/>
        <v>0</v>
      </c>
      <c r="R143" s="106">
        <f t="shared" si="56"/>
        <v>0</v>
      </c>
      <c r="T143" s="106" t="str">
        <f t="shared" si="57"/>
        <v/>
      </c>
      <c r="U143" s="106" t="str">
        <f t="shared" si="57"/>
        <v/>
      </c>
      <c r="V143" s="106" t="str">
        <f t="shared" si="57"/>
        <v/>
      </c>
      <c r="X143" s="106" t="str">
        <f t="shared" si="58"/>
        <v/>
      </c>
      <c r="Y143" s="106" t="str">
        <f t="shared" si="58"/>
        <v/>
      </c>
      <c r="Z143" s="106" t="str">
        <f t="shared" si="58"/>
        <v/>
      </c>
      <c r="AA143" s="106" t="str">
        <f t="shared" si="58"/>
        <v/>
      </c>
    </row>
    <row r="144" spans="1:27" outlineLevel="1" x14ac:dyDescent="0.2">
      <c r="C144" s="37" t="s">
        <v>353</v>
      </c>
      <c r="D144" s="285" t="str">
        <f>VLOOKUP($C144,'Typologie détaillée'!$E$4:$H$214,3,0)</f>
        <v>Ne pas utiliser</v>
      </c>
      <c r="E144" s="286">
        <f>VLOOKUP($C144,'Typologie détaillée'!$E$4:$H$214,4,0)</f>
        <v>0</v>
      </c>
      <c r="F144" s="90"/>
      <c r="G144" s="90"/>
      <c r="H144" s="301"/>
      <c r="I144" s="90"/>
      <c r="J144" s="90"/>
      <c r="K144" s="90"/>
      <c r="P144" s="129">
        <f t="shared" si="56"/>
        <v>0</v>
      </c>
      <c r="Q144" s="129">
        <f t="shared" si="56"/>
        <v>0</v>
      </c>
      <c r="R144" s="106">
        <f t="shared" si="56"/>
        <v>0</v>
      </c>
      <c r="T144" s="106" t="str">
        <f t="shared" si="57"/>
        <v/>
      </c>
      <c r="U144" s="106" t="str">
        <f t="shared" si="57"/>
        <v/>
      </c>
      <c r="V144" s="106" t="str">
        <f t="shared" si="57"/>
        <v/>
      </c>
      <c r="X144" s="106" t="str">
        <f t="shared" si="58"/>
        <v/>
      </c>
      <c r="Y144" s="106" t="str">
        <f t="shared" si="58"/>
        <v/>
      </c>
      <c r="Z144" s="106" t="str">
        <f t="shared" si="58"/>
        <v/>
      </c>
      <c r="AA144" s="106" t="str">
        <f t="shared" si="58"/>
        <v/>
      </c>
    </row>
    <row r="145" spans="1:27" outlineLevel="1" x14ac:dyDescent="0.2">
      <c r="C145" s="37" t="s">
        <v>353</v>
      </c>
      <c r="D145" s="285" t="str">
        <f>VLOOKUP($C145,'Typologie détaillée'!$E$4:$H$214,3,0)</f>
        <v>Ne pas utiliser</v>
      </c>
      <c r="E145" s="286">
        <f>VLOOKUP($C145,'Typologie détaillée'!$E$4:$H$214,4,0)</f>
        <v>0</v>
      </c>
      <c r="F145" s="90"/>
      <c r="G145" s="90"/>
      <c r="H145" s="301"/>
      <c r="I145" s="90"/>
      <c r="J145" s="90"/>
      <c r="K145" s="90"/>
      <c r="P145" s="129">
        <f t="shared" si="56"/>
        <v>0</v>
      </c>
      <c r="Q145" s="129">
        <f t="shared" si="56"/>
        <v>0</v>
      </c>
      <c r="R145" s="106">
        <f t="shared" si="56"/>
        <v>0</v>
      </c>
      <c r="T145" s="106" t="str">
        <f t="shared" si="57"/>
        <v/>
      </c>
      <c r="U145" s="106" t="str">
        <f t="shared" si="57"/>
        <v/>
      </c>
      <c r="V145" s="106" t="str">
        <f t="shared" si="57"/>
        <v/>
      </c>
      <c r="X145" s="106" t="str">
        <f t="shared" si="58"/>
        <v/>
      </c>
      <c r="Y145" s="106" t="str">
        <f t="shared" si="58"/>
        <v/>
      </c>
      <c r="Z145" s="106" t="str">
        <f t="shared" si="58"/>
        <v/>
      </c>
      <c r="AA145" s="106" t="str">
        <f t="shared" si="58"/>
        <v/>
      </c>
    </row>
    <row r="146" spans="1:27" outlineLevel="1" x14ac:dyDescent="0.2">
      <c r="C146" s="37" t="s">
        <v>353</v>
      </c>
      <c r="D146" s="285" t="str">
        <f>VLOOKUP($C146,'Typologie détaillée'!$E$4:$H$214,3,0)</f>
        <v>Ne pas utiliser</v>
      </c>
      <c r="E146" s="286">
        <f>VLOOKUP($C146,'Typologie détaillée'!$E$4:$H$214,4,0)</f>
        <v>0</v>
      </c>
      <c r="F146" s="90"/>
      <c r="G146" s="90"/>
      <c r="H146" s="301"/>
      <c r="I146" s="90"/>
      <c r="J146" s="90"/>
      <c r="K146" s="90"/>
      <c r="P146" s="129">
        <f t="shared" si="56"/>
        <v>0</v>
      </c>
      <c r="Q146" s="129">
        <f t="shared" si="56"/>
        <v>0</v>
      </c>
      <c r="R146" s="106">
        <f t="shared" si="56"/>
        <v>0</v>
      </c>
      <c r="T146" s="106" t="str">
        <f t="shared" si="57"/>
        <v/>
      </c>
      <c r="U146" s="106" t="str">
        <f t="shared" si="57"/>
        <v/>
      </c>
      <c r="V146" s="106" t="str">
        <f t="shared" si="57"/>
        <v/>
      </c>
      <c r="X146" s="106" t="str">
        <f t="shared" si="58"/>
        <v/>
      </c>
      <c r="Y146" s="106" t="str">
        <f t="shared" si="58"/>
        <v/>
      </c>
      <c r="Z146" s="106" t="str">
        <f t="shared" si="58"/>
        <v/>
      </c>
      <c r="AA146" s="106" t="str">
        <f t="shared" si="58"/>
        <v/>
      </c>
    </row>
    <row r="147" spans="1:27" outlineLevel="1" x14ac:dyDescent="0.2">
      <c r="C147" s="37" t="s">
        <v>353</v>
      </c>
      <c r="D147" s="285" t="str">
        <f>VLOOKUP($C147,'Typologie détaillée'!$E$4:$H$214,3,0)</f>
        <v>Ne pas utiliser</v>
      </c>
      <c r="E147" s="286">
        <f>VLOOKUP($C147,'Typologie détaillée'!$E$4:$H$214,4,0)</f>
        <v>0</v>
      </c>
      <c r="F147" s="90"/>
      <c r="G147" s="90"/>
      <c r="H147" s="301"/>
      <c r="I147" s="90"/>
      <c r="J147" s="90"/>
      <c r="K147" s="90"/>
      <c r="P147" s="129">
        <f t="shared" si="56"/>
        <v>0</v>
      </c>
      <c r="Q147" s="129">
        <f t="shared" si="56"/>
        <v>0</v>
      </c>
      <c r="R147" s="106">
        <f t="shared" si="56"/>
        <v>0</v>
      </c>
      <c r="T147" s="106" t="str">
        <f t="shared" si="57"/>
        <v/>
      </c>
      <c r="U147" s="106" t="str">
        <f t="shared" si="57"/>
        <v/>
      </c>
      <c r="V147" s="106" t="str">
        <f t="shared" si="57"/>
        <v/>
      </c>
      <c r="X147" s="106" t="str">
        <f t="shared" si="58"/>
        <v/>
      </c>
      <c r="Y147" s="106" t="str">
        <f t="shared" si="58"/>
        <v/>
      </c>
      <c r="Z147" s="106" t="str">
        <f t="shared" si="58"/>
        <v/>
      </c>
      <c r="AA147" s="106" t="str">
        <f t="shared" si="58"/>
        <v/>
      </c>
    </row>
    <row r="148" spans="1:27" s="138" customFormat="1" x14ac:dyDescent="0.2">
      <c r="A148" s="138" t="str">
        <f>A141</f>
        <v>• service 10</v>
      </c>
      <c r="B148" s="138">
        <f>B141</f>
        <v>0</v>
      </c>
      <c r="D148" s="138" t="s">
        <v>97</v>
      </c>
      <c r="E148" s="139"/>
      <c r="F148" s="139"/>
      <c r="G148" s="139"/>
      <c r="H148" s="299"/>
      <c r="I148" s="139"/>
      <c r="J148" s="139"/>
      <c r="K148" s="139"/>
      <c r="P148" s="139">
        <f>SUBTOTAL(9,P141:P147)</f>
        <v>0</v>
      </c>
      <c r="Q148" s="139">
        <f>SUBTOTAL(9,Q141:Q147)</f>
        <v>0</v>
      </c>
      <c r="R148" s="138">
        <f>SUBTOTAL(9,R141:R147)</f>
        <v>0</v>
      </c>
      <c r="T148" s="138">
        <f>SUBTOTAL(9,T141:T147)</f>
        <v>0</v>
      </c>
      <c r="U148" s="138">
        <f>SUBTOTAL(9,U141:U147)</f>
        <v>0</v>
      </c>
      <c r="V148" s="138">
        <f>SUBTOTAL(9,V141:V147)</f>
        <v>0</v>
      </c>
      <c r="X148" s="138">
        <f>SUBTOTAL(9,X141:X147)</f>
        <v>0</v>
      </c>
      <c r="Y148" s="138">
        <f>SUBTOTAL(9,Y141:Y147)</f>
        <v>0</v>
      </c>
      <c r="Z148" s="138">
        <f>SUBTOTAL(9,Z141:Z147)</f>
        <v>0</v>
      </c>
      <c r="AA148" s="138">
        <f>SUBTOTAL(9,AA141:AA147)</f>
        <v>0</v>
      </c>
    </row>
    <row r="149" spans="1:27" outlineLevel="1" x14ac:dyDescent="0.2">
      <c r="A149" t="str">
        <f>'Partie 3 • M.implantation'!C10</f>
        <v>• service 11</v>
      </c>
      <c r="C149" s="37" t="s">
        <v>353</v>
      </c>
      <c r="D149" s="285" t="str">
        <f>VLOOKUP($C149,'Typologie détaillée'!$E$4:$H$214,3,0)</f>
        <v>Ne pas utiliser</v>
      </c>
      <c r="E149" s="286">
        <f>VLOOKUP($C149,'Typologie détaillée'!$E$4:$H$214,4,0)</f>
        <v>0</v>
      </c>
      <c r="F149" s="125"/>
      <c r="G149" s="125"/>
      <c r="H149" s="302"/>
      <c r="I149" s="125"/>
      <c r="J149" s="125"/>
      <c r="K149" s="125"/>
      <c r="P149" s="129">
        <f t="shared" ref="P149:R157" si="59">$G149*I149</f>
        <v>0</v>
      </c>
      <c r="Q149" s="129">
        <f t="shared" si="59"/>
        <v>0</v>
      </c>
      <c r="R149" s="106">
        <f t="shared" si="59"/>
        <v>0</v>
      </c>
      <c r="T149" s="106" t="str">
        <f t="shared" ref="T149:V157" si="60">IF($E149=T$4,$R149,"")</f>
        <v/>
      </c>
      <c r="U149" s="106" t="str">
        <f t="shared" si="60"/>
        <v/>
      </c>
      <c r="V149" s="106" t="str">
        <f t="shared" si="60"/>
        <v/>
      </c>
      <c r="X149" s="106" t="str">
        <f t="shared" ref="X149:AA157" si="61">IF($F149=X$4,$R149,"")</f>
        <v/>
      </c>
      <c r="Y149" s="106" t="str">
        <f t="shared" si="61"/>
        <v/>
      </c>
      <c r="Z149" s="106" t="str">
        <f t="shared" si="61"/>
        <v/>
      </c>
      <c r="AA149" s="106" t="str">
        <f t="shared" si="61"/>
        <v/>
      </c>
    </row>
    <row r="150" spans="1:27" outlineLevel="1" x14ac:dyDescent="0.2">
      <c r="C150" s="37" t="s">
        <v>353</v>
      </c>
      <c r="D150" s="285" t="str">
        <f>VLOOKUP($C150,'Typologie détaillée'!$E$4:$H$214,3,0)</f>
        <v>Ne pas utiliser</v>
      </c>
      <c r="E150" s="286">
        <f>VLOOKUP($C150,'Typologie détaillée'!$E$4:$H$214,4,0)</f>
        <v>0</v>
      </c>
      <c r="F150" s="90"/>
      <c r="G150" s="90"/>
      <c r="H150" s="301"/>
      <c r="I150" s="90"/>
      <c r="J150" s="90"/>
      <c r="K150" s="90"/>
      <c r="P150" s="129">
        <f t="shared" si="59"/>
        <v>0</v>
      </c>
      <c r="Q150" s="129">
        <f t="shared" si="59"/>
        <v>0</v>
      </c>
      <c r="R150" s="106">
        <f t="shared" si="59"/>
        <v>0</v>
      </c>
      <c r="T150" s="106" t="str">
        <f t="shared" si="60"/>
        <v/>
      </c>
      <c r="U150" s="106" t="str">
        <f t="shared" si="60"/>
        <v/>
      </c>
      <c r="V150" s="106" t="str">
        <f t="shared" si="60"/>
        <v/>
      </c>
      <c r="X150" s="106" t="str">
        <f t="shared" si="61"/>
        <v/>
      </c>
      <c r="Y150" s="106" t="str">
        <f t="shared" si="61"/>
        <v/>
      </c>
      <c r="Z150" s="106" t="str">
        <f t="shared" si="61"/>
        <v/>
      </c>
      <c r="AA150" s="106" t="str">
        <f t="shared" si="61"/>
        <v/>
      </c>
    </row>
    <row r="151" spans="1:27" outlineLevel="1" x14ac:dyDescent="0.2">
      <c r="C151" s="37" t="s">
        <v>353</v>
      </c>
      <c r="D151" s="285" t="str">
        <f>VLOOKUP($C151,'Typologie détaillée'!$E$4:$H$214,3,0)</f>
        <v>Ne pas utiliser</v>
      </c>
      <c r="E151" s="286">
        <f>VLOOKUP($C151,'Typologie détaillée'!$E$4:$H$214,4,0)</f>
        <v>0</v>
      </c>
      <c r="F151" s="90"/>
      <c r="G151" s="90"/>
      <c r="H151" s="301"/>
      <c r="I151" s="90"/>
      <c r="J151" s="90"/>
      <c r="K151" s="90"/>
      <c r="P151" s="129">
        <f t="shared" si="59"/>
        <v>0</v>
      </c>
      <c r="Q151" s="129">
        <f t="shared" si="59"/>
        <v>0</v>
      </c>
      <c r="R151" s="106">
        <f t="shared" si="59"/>
        <v>0</v>
      </c>
      <c r="T151" s="106" t="str">
        <f t="shared" si="60"/>
        <v/>
      </c>
      <c r="U151" s="106" t="str">
        <f t="shared" si="60"/>
        <v/>
      </c>
      <c r="V151" s="106" t="str">
        <f t="shared" si="60"/>
        <v/>
      </c>
      <c r="X151" s="106" t="str">
        <f t="shared" si="61"/>
        <v/>
      </c>
      <c r="Y151" s="106" t="str">
        <f t="shared" si="61"/>
        <v/>
      </c>
      <c r="Z151" s="106" t="str">
        <f t="shared" si="61"/>
        <v/>
      </c>
      <c r="AA151" s="106" t="str">
        <f t="shared" si="61"/>
        <v/>
      </c>
    </row>
    <row r="152" spans="1:27" outlineLevel="1" x14ac:dyDescent="0.2">
      <c r="C152" s="37" t="s">
        <v>353</v>
      </c>
      <c r="D152" s="285" t="str">
        <f>VLOOKUP($C152,'Typologie détaillée'!$E$4:$H$214,3,0)</f>
        <v>Ne pas utiliser</v>
      </c>
      <c r="E152" s="286">
        <f>VLOOKUP($C152,'Typologie détaillée'!$E$4:$H$214,4,0)</f>
        <v>0</v>
      </c>
      <c r="F152" s="90"/>
      <c r="G152" s="90"/>
      <c r="H152" s="301"/>
      <c r="I152" s="90"/>
      <c r="J152" s="90"/>
      <c r="K152" s="90"/>
      <c r="P152" s="129">
        <f t="shared" si="59"/>
        <v>0</v>
      </c>
      <c r="Q152" s="129">
        <f t="shared" si="59"/>
        <v>0</v>
      </c>
      <c r="R152" s="106">
        <f t="shared" si="59"/>
        <v>0</v>
      </c>
      <c r="T152" s="106" t="str">
        <f t="shared" si="60"/>
        <v/>
      </c>
      <c r="U152" s="106" t="str">
        <f t="shared" si="60"/>
        <v/>
      </c>
      <c r="V152" s="106" t="str">
        <f t="shared" si="60"/>
        <v/>
      </c>
      <c r="X152" s="106" t="str">
        <f t="shared" si="61"/>
        <v/>
      </c>
      <c r="Y152" s="106" t="str">
        <f t="shared" si="61"/>
        <v/>
      </c>
      <c r="Z152" s="106" t="str">
        <f t="shared" si="61"/>
        <v/>
      </c>
      <c r="AA152" s="106" t="str">
        <f t="shared" si="61"/>
        <v/>
      </c>
    </row>
    <row r="153" spans="1:27" outlineLevel="1" x14ac:dyDescent="0.2">
      <c r="C153" s="37" t="s">
        <v>353</v>
      </c>
      <c r="D153" s="285" t="str">
        <f>VLOOKUP($C153,'Typologie détaillée'!$E$4:$H$214,3,0)</f>
        <v>Ne pas utiliser</v>
      </c>
      <c r="E153" s="286">
        <f>VLOOKUP($C153,'Typologie détaillée'!$E$4:$H$214,4,0)</f>
        <v>0</v>
      </c>
      <c r="F153" s="90"/>
      <c r="G153" s="90"/>
      <c r="H153" s="301"/>
      <c r="I153" s="90"/>
      <c r="J153" s="90"/>
      <c r="K153" s="90"/>
      <c r="P153" s="129">
        <f t="shared" si="59"/>
        <v>0</v>
      </c>
      <c r="Q153" s="129">
        <f t="shared" si="59"/>
        <v>0</v>
      </c>
      <c r="R153" s="106">
        <f t="shared" si="59"/>
        <v>0</v>
      </c>
      <c r="T153" s="106" t="str">
        <f t="shared" si="60"/>
        <v/>
      </c>
      <c r="U153" s="106" t="str">
        <f t="shared" si="60"/>
        <v/>
      </c>
      <c r="V153" s="106" t="str">
        <f t="shared" si="60"/>
        <v/>
      </c>
      <c r="X153" s="106" t="str">
        <f t="shared" si="61"/>
        <v/>
      </c>
      <c r="Y153" s="106" t="str">
        <f t="shared" si="61"/>
        <v/>
      </c>
      <c r="Z153" s="106" t="str">
        <f t="shared" si="61"/>
        <v/>
      </c>
      <c r="AA153" s="106" t="str">
        <f t="shared" si="61"/>
        <v/>
      </c>
    </row>
    <row r="154" spans="1:27" outlineLevel="1" x14ac:dyDescent="0.2">
      <c r="C154" s="37" t="s">
        <v>353</v>
      </c>
      <c r="D154" s="285" t="str">
        <f>VLOOKUP($C154,'Typologie détaillée'!$E$4:$H$214,3,0)</f>
        <v>Ne pas utiliser</v>
      </c>
      <c r="E154" s="286">
        <f>VLOOKUP($C154,'Typologie détaillée'!$E$4:$H$214,4,0)</f>
        <v>0</v>
      </c>
      <c r="F154" s="90"/>
      <c r="G154" s="90"/>
      <c r="H154" s="301"/>
      <c r="I154" s="90"/>
      <c r="J154" s="90"/>
      <c r="K154" s="90"/>
      <c r="P154" s="129">
        <f t="shared" si="59"/>
        <v>0</v>
      </c>
      <c r="Q154" s="129">
        <f t="shared" si="59"/>
        <v>0</v>
      </c>
      <c r="R154" s="106">
        <f t="shared" si="59"/>
        <v>0</v>
      </c>
      <c r="T154" s="106" t="str">
        <f t="shared" si="60"/>
        <v/>
      </c>
      <c r="U154" s="106" t="str">
        <f t="shared" si="60"/>
        <v/>
      </c>
      <c r="V154" s="106" t="str">
        <f t="shared" si="60"/>
        <v/>
      </c>
      <c r="X154" s="106" t="str">
        <f t="shared" si="61"/>
        <v/>
      </c>
      <c r="Y154" s="106" t="str">
        <f t="shared" si="61"/>
        <v/>
      </c>
      <c r="Z154" s="106" t="str">
        <f t="shared" si="61"/>
        <v/>
      </c>
      <c r="AA154" s="106" t="str">
        <f t="shared" si="61"/>
        <v/>
      </c>
    </row>
    <row r="155" spans="1:27" outlineLevel="1" x14ac:dyDescent="0.2">
      <c r="C155" s="37" t="s">
        <v>353</v>
      </c>
      <c r="D155" s="285" t="str">
        <f>VLOOKUP($C155,'Typologie détaillée'!$E$4:$H$214,3,0)</f>
        <v>Ne pas utiliser</v>
      </c>
      <c r="E155" s="286">
        <f>VLOOKUP($C155,'Typologie détaillée'!$E$4:$H$214,4,0)</f>
        <v>0</v>
      </c>
      <c r="F155" s="90"/>
      <c r="G155" s="90"/>
      <c r="H155" s="301"/>
      <c r="I155" s="90"/>
      <c r="J155" s="90"/>
      <c r="K155" s="90"/>
      <c r="P155" s="129">
        <f t="shared" si="59"/>
        <v>0</v>
      </c>
      <c r="Q155" s="129">
        <f t="shared" si="59"/>
        <v>0</v>
      </c>
      <c r="R155" s="106">
        <f t="shared" si="59"/>
        <v>0</v>
      </c>
      <c r="T155" s="106" t="str">
        <f t="shared" si="60"/>
        <v/>
      </c>
      <c r="U155" s="106" t="str">
        <f t="shared" si="60"/>
        <v/>
      </c>
      <c r="V155" s="106" t="str">
        <f t="shared" si="60"/>
        <v/>
      </c>
      <c r="X155" s="106" t="str">
        <f t="shared" si="61"/>
        <v/>
      </c>
      <c r="Y155" s="106" t="str">
        <f t="shared" si="61"/>
        <v/>
      </c>
      <c r="Z155" s="106" t="str">
        <f t="shared" si="61"/>
        <v/>
      </c>
      <c r="AA155" s="106" t="str">
        <f t="shared" si="61"/>
        <v/>
      </c>
    </row>
    <row r="156" spans="1:27" outlineLevel="1" x14ac:dyDescent="0.2">
      <c r="C156" s="37" t="s">
        <v>353</v>
      </c>
      <c r="D156" s="285" t="str">
        <f>VLOOKUP($C156,'Typologie détaillée'!$E$4:$H$214,3,0)</f>
        <v>Ne pas utiliser</v>
      </c>
      <c r="E156" s="286">
        <f>VLOOKUP($C156,'Typologie détaillée'!$E$4:$H$214,4,0)</f>
        <v>0</v>
      </c>
      <c r="F156" s="90"/>
      <c r="G156" s="90"/>
      <c r="H156" s="301"/>
      <c r="I156" s="90"/>
      <c r="J156" s="90"/>
      <c r="K156" s="90"/>
      <c r="P156" s="129">
        <f t="shared" si="59"/>
        <v>0</v>
      </c>
      <c r="Q156" s="129">
        <f t="shared" si="59"/>
        <v>0</v>
      </c>
      <c r="R156" s="106">
        <f t="shared" si="59"/>
        <v>0</v>
      </c>
      <c r="T156" s="106" t="str">
        <f t="shared" si="60"/>
        <v/>
      </c>
      <c r="U156" s="106" t="str">
        <f t="shared" si="60"/>
        <v/>
      </c>
      <c r="V156" s="106" t="str">
        <f t="shared" si="60"/>
        <v/>
      </c>
      <c r="X156" s="106" t="str">
        <f t="shared" si="61"/>
        <v/>
      </c>
      <c r="Y156" s="106" t="str">
        <f t="shared" si="61"/>
        <v/>
      </c>
      <c r="Z156" s="106" t="str">
        <f t="shared" si="61"/>
        <v/>
      </c>
      <c r="AA156" s="106" t="str">
        <f t="shared" si="61"/>
        <v/>
      </c>
    </row>
    <row r="157" spans="1:27" outlineLevel="1" x14ac:dyDescent="0.2">
      <c r="C157" s="37" t="s">
        <v>353</v>
      </c>
      <c r="D157" s="285" t="str">
        <f>VLOOKUP($C157,'Typologie détaillée'!$E$4:$H$214,3,0)</f>
        <v>Ne pas utiliser</v>
      </c>
      <c r="E157" s="286">
        <f>VLOOKUP($C157,'Typologie détaillée'!$E$4:$H$214,4,0)</f>
        <v>0</v>
      </c>
      <c r="F157" s="90"/>
      <c r="G157" s="90"/>
      <c r="H157" s="301"/>
      <c r="I157" s="90"/>
      <c r="J157" s="90"/>
      <c r="K157" s="90"/>
      <c r="P157" s="129">
        <f t="shared" si="59"/>
        <v>0</v>
      </c>
      <c r="Q157" s="129">
        <f t="shared" si="59"/>
        <v>0</v>
      </c>
      <c r="R157" s="106">
        <f t="shared" si="59"/>
        <v>0</v>
      </c>
      <c r="T157" s="106" t="str">
        <f t="shared" si="60"/>
        <v/>
      </c>
      <c r="U157" s="106" t="str">
        <f t="shared" si="60"/>
        <v/>
      </c>
      <c r="V157" s="106" t="str">
        <f t="shared" si="60"/>
        <v/>
      </c>
      <c r="X157" s="106" t="str">
        <f t="shared" si="61"/>
        <v/>
      </c>
      <c r="Y157" s="106" t="str">
        <f t="shared" si="61"/>
        <v/>
      </c>
      <c r="Z157" s="106" t="str">
        <f t="shared" si="61"/>
        <v/>
      </c>
      <c r="AA157" s="106" t="str">
        <f t="shared" si="61"/>
        <v/>
      </c>
    </row>
    <row r="158" spans="1:27" s="138" customFormat="1" x14ac:dyDescent="0.2">
      <c r="A158" s="138" t="str">
        <f>A149</f>
        <v>• service 11</v>
      </c>
      <c r="B158" s="138">
        <f>B149</f>
        <v>0</v>
      </c>
      <c r="D158" s="138" t="s">
        <v>97</v>
      </c>
      <c r="E158" s="139"/>
      <c r="F158" s="139"/>
      <c r="G158" s="139"/>
      <c r="H158" s="299"/>
      <c r="I158" s="139"/>
      <c r="J158" s="139"/>
      <c r="K158" s="139"/>
      <c r="P158" s="139">
        <f>SUBTOTAL(9,P149:P157)</f>
        <v>0</v>
      </c>
      <c r="Q158" s="139">
        <f>SUBTOTAL(9,Q149:Q157)</f>
        <v>0</v>
      </c>
      <c r="R158" s="138">
        <f>SUBTOTAL(9,R149:R157)</f>
        <v>0</v>
      </c>
      <c r="T158" s="138">
        <f>SUBTOTAL(9,T149:T157)</f>
        <v>0</v>
      </c>
      <c r="U158" s="138">
        <f>SUBTOTAL(9,U149:U157)</f>
        <v>0</v>
      </c>
      <c r="V158" s="138">
        <f>SUBTOTAL(9,V149:V157)</f>
        <v>0</v>
      </c>
      <c r="X158" s="138">
        <f>SUBTOTAL(9,X149:X157)</f>
        <v>0</v>
      </c>
      <c r="Y158" s="138">
        <f>SUBTOTAL(9,Y149:Y157)</f>
        <v>0</v>
      </c>
      <c r="Z158" s="138">
        <f>SUBTOTAL(9,Z149:Z157)</f>
        <v>0</v>
      </c>
      <c r="AA158" s="138">
        <f>SUBTOTAL(9,AA149:AA157)</f>
        <v>0</v>
      </c>
    </row>
    <row r="159" spans="1:27" outlineLevel="1" x14ac:dyDescent="0.2">
      <c r="A159" t="str">
        <f>'Partie 3 • M.implantation'!C11</f>
        <v>• service 12</v>
      </c>
      <c r="C159" s="37" t="s">
        <v>353</v>
      </c>
      <c r="D159" s="285" t="str">
        <f>VLOOKUP($C159,'Typologie détaillée'!$E$4:$H$214,3,0)</f>
        <v>Ne pas utiliser</v>
      </c>
      <c r="E159" s="286">
        <f>VLOOKUP($C159,'Typologie détaillée'!$E$4:$H$214,4,0)</f>
        <v>0</v>
      </c>
      <c r="F159" s="125"/>
      <c r="G159" s="125"/>
      <c r="H159" s="302"/>
      <c r="I159" s="125"/>
      <c r="J159" s="125"/>
      <c r="K159" s="125"/>
      <c r="P159" s="129">
        <f t="shared" ref="P159:R168" si="62">$G159*I159</f>
        <v>0</v>
      </c>
      <c r="Q159" s="129">
        <f t="shared" si="62"/>
        <v>0</v>
      </c>
      <c r="R159" s="106">
        <f t="shared" si="62"/>
        <v>0</v>
      </c>
      <c r="T159" s="106" t="str">
        <f t="shared" ref="T159:V168" si="63">IF($E159=T$4,$R159,"")</f>
        <v/>
      </c>
      <c r="U159" s="106" t="str">
        <f t="shared" si="63"/>
        <v/>
      </c>
      <c r="V159" s="106" t="str">
        <f t="shared" si="63"/>
        <v/>
      </c>
      <c r="X159" s="106" t="str">
        <f t="shared" ref="X159:AA168" si="64">IF($F159=X$4,$R159,"")</f>
        <v/>
      </c>
      <c r="Y159" s="106" t="str">
        <f t="shared" si="64"/>
        <v/>
      </c>
      <c r="Z159" s="106" t="str">
        <f t="shared" si="64"/>
        <v/>
      </c>
      <c r="AA159" s="106" t="str">
        <f t="shared" si="64"/>
        <v/>
      </c>
    </row>
    <row r="160" spans="1:27" outlineLevel="1" x14ac:dyDescent="0.2">
      <c r="C160" s="37" t="s">
        <v>353</v>
      </c>
      <c r="D160" s="285" t="str">
        <f>VLOOKUP($C160,'Typologie détaillée'!$E$4:$H$214,3,0)</f>
        <v>Ne pas utiliser</v>
      </c>
      <c r="E160" s="286">
        <f>VLOOKUP($C160,'Typologie détaillée'!$E$4:$H$214,4,0)</f>
        <v>0</v>
      </c>
      <c r="F160" s="90"/>
      <c r="G160" s="90"/>
      <c r="H160" s="301"/>
      <c r="I160" s="90"/>
      <c r="J160" s="90"/>
      <c r="K160" s="90"/>
      <c r="P160" s="129">
        <f t="shared" si="62"/>
        <v>0</v>
      </c>
      <c r="Q160" s="129">
        <f t="shared" si="62"/>
        <v>0</v>
      </c>
      <c r="R160" s="106">
        <f t="shared" si="62"/>
        <v>0</v>
      </c>
      <c r="T160" s="106" t="str">
        <f t="shared" si="63"/>
        <v/>
      </c>
      <c r="U160" s="106" t="str">
        <f t="shared" si="63"/>
        <v/>
      </c>
      <c r="V160" s="106" t="str">
        <f t="shared" si="63"/>
        <v/>
      </c>
      <c r="X160" s="106" t="str">
        <f t="shared" si="64"/>
        <v/>
      </c>
      <c r="Y160" s="106" t="str">
        <f t="shared" si="64"/>
        <v/>
      </c>
      <c r="Z160" s="106" t="str">
        <f t="shared" si="64"/>
        <v/>
      </c>
      <c r="AA160" s="106" t="str">
        <f t="shared" si="64"/>
        <v/>
      </c>
    </row>
    <row r="161" spans="1:27" outlineLevel="1" x14ac:dyDescent="0.2">
      <c r="C161" s="37" t="s">
        <v>353</v>
      </c>
      <c r="D161" s="285" t="str">
        <f>VLOOKUP($C161,'Typologie détaillée'!$E$4:$H$214,3,0)</f>
        <v>Ne pas utiliser</v>
      </c>
      <c r="E161" s="286">
        <f>VLOOKUP($C161,'Typologie détaillée'!$E$4:$H$214,4,0)</f>
        <v>0</v>
      </c>
      <c r="F161" s="90"/>
      <c r="G161" s="90"/>
      <c r="H161" s="301"/>
      <c r="I161" s="90"/>
      <c r="J161" s="90"/>
      <c r="K161" s="90"/>
      <c r="P161" s="129">
        <f t="shared" si="62"/>
        <v>0</v>
      </c>
      <c r="Q161" s="129">
        <f t="shared" si="62"/>
        <v>0</v>
      </c>
      <c r="R161" s="106">
        <f t="shared" si="62"/>
        <v>0</v>
      </c>
      <c r="T161" s="106" t="str">
        <f t="shared" si="63"/>
        <v/>
      </c>
      <c r="U161" s="106" t="str">
        <f t="shared" si="63"/>
        <v/>
      </c>
      <c r="V161" s="106" t="str">
        <f t="shared" si="63"/>
        <v/>
      </c>
      <c r="X161" s="106" t="str">
        <f t="shared" si="64"/>
        <v/>
      </c>
      <c r="Y161" s="106" t="str">
        <f t="shared" si="64"/>
        <v/>
      </c>
      <c r="Z161" s="106" t="str">
        <f t="shared" si="64"/>
        <v/>
      </c>
      <c r="AA161" s="106" t="str">
        <f t="shared" si="64"/>
        <v/>
      </c>
    </row>
    <row r="162" spans="1:27" outlineLevel="1" x14ac:dyDescent="0.2">
      <c r="C162" s="37" t="s">
        <v>353</v>
      </c>
      <c r="D162" s="285" t="str">
        <f>VLOOKUP($C162,'Typologie détaillée'!$E$4:$H$214,3,0)</f>
        <v>Ne pas utiliser</v>
      </c>
      <c r="E162" s="286">
        <f>VLOOKUP($C162,'Typologie détaillée'!$E$4:$H$214,4,0)</f>
        <v>0</v>
      </c>
      <c r="F162" s="90"/>
      <c r="G162" s="90"/>
      <c r="H162" s="301"/>
      <c r="I162" s="90"/>
      <c r="J162" s="90"/>
      <c r="K162" s="90"/>
      <c r="P162" s="129">
        <f t="shared" si="62"/>
        <v>0</v>
      </c>
      <c r="Q162" s="129">
        <f t="shared" si="62"/>
        <v>0</v>
      </c>
      <c r="R162" s="106">
        <f t="shared" si="62"/>
        <v>0</v>
      </c>
      <c r="T162" s="106" t="str">
        <f t="shared" si="63"/>
        <v/>
      </c>
      <c r="U162" s="106" t="str">
        <f t="shared" si="63"/>
        <v/>
      </c>
      <c r="V162" s="106" t="str">
        <f t="shared" si="63"/>
        <v/>
      </c>
      <c r="X162" s="106" t="str">
        <f t="shared" si="64"/>
        <v/>
      </c>
      <c r="Y162" s="106" t="str">
        <f t="shared" si="64"/>
        <v/>
      </c>
      <c r="Z162" s="106" t="str">
        <f t="shared" si="64"/>
        <v/>
      </c>
      <c r="AA162" s="106" t="str">
        <f t="shared" si="64"/>
        <v/>
      </c>
    </row>
    <row r="163" spans="1:27" outlineLevel="1" x14ac:dyDescent="0.2">
      <c r="C163" s="37" t="s">
        <v>353</v>
      </c>
      <c r="D163" s="285" t="str">
        <f>VLOOKUP($C163,'Typologie détaillée'!$E$4:$H$214,3,0)</f>
        <v>Ne pas utiliser</v>
      </c>
      <c r="E163" s="286">
        <f>VLOOKUP($C163,'Typologie détaillée'!$E$4:$H$214,4,0)</f>
        <v>0</v>
      </c>
      <c r="F163" s="90"/>
      <c r="G163" s="90"/>
      <c r="H163" s="301"/>
      <c r="I163" s="90"/>
      <c r="J163" s="90"/>
      <c r="K163" s="90"/>
      <c r="P163" s="129">
        <f t="shared" si="62"/>
        <v>0</v>
      </c>
      <c r="Q163" s="129">
        <f t="shared" si="62"/>
        <v>0</v>
      </c>
      <c r="R163" s="106">
        <f t="shared" si="62"/>
        <v>0</v>
      </c>
      <c r="T163" s="106" t="str">
        <f t="shared" si="63"/>
        <v/>
      </c>
      <c r="U163" s="106" t="str">
        <f t="shared" si="63"/>
        <v/>
      </c>
      <c r="V163" s="106" t="str">
        <f t="shared" si="63"/>
        <v/>
      </c>
      <c r="X163" s="106" t="str">
        <f t="shared" si="64"/>
        <v/>
      </c>
      <c r="Y163" s="106" t="str">
        <f t="shared" si="64"/>
        <v/>
      </c>
      <c r="Z163" s="106" t="str">
        <f t="shared" si="64"/>
        <v/>
      </c>
      <c r="AA163" s="106" t="str">
        <f t="shared" si="64"/>
        <v/>
      </c>
    </row>
    <row r="164" spans="1:27" outlineLevel="1" x14ac:dyDescent="0.2">
      <c r="C164" s="37" t="s">
        <v>353</v>
      </c>
      <c r="D164" s="285" t="str">
        <f>VLOOKUP($C164,'Typologie détaillée'!$E$4:$H$214,3,0)</f>
        <v>Ne pas utiliser</v>
      </c>
      <c r="E164" s="286">
        <f>VLOOKUP($C164,'Typologie détaillée'!$E$4:$H$214,4,0)</f>
        <v>0</v>
      </c>
      <c r="F164" s="90"/>
      <c r="G164" s="90"/>
      <c r="H164" s="301"/>
      <c r="I164" s="90"/>
      <c r="J164" s="90"/>
      <c r="K164" s="90"/>
      <c r="P164" s="129">
        <f t="shared" si="62"/>
        <v>0</v>
      </c>
      <c r="Q164" s="129">
        <f t="shared" si="62"/>
        <v>0</v>
      </c>
      <c r="R164" s="106">
        <f t="shared" si="62"/>
        <v>0</v>
      </c>
      <c r="T164" s="106" t="str">
        <f t="shared" si="63"/>
        <v/>
      </c>
      <c r="U164" s="106" t="str">
        <f t="shared" si="63"/>
        <v/>
      </c>
      <c r="V164" s="106" t="str">
        <f t="shared" si="63"/>
        <v/>
      </c>
      <c r="X164" s="106" t="str">
        <f t="shared" si="64"/>
        <v/>
      </c>
      <c r="Y164" s="106" t="str">
        <f t="shared" si="64"/>
        <v/>
      </c>
      <c r="Z164" s="106" t="str">
        <f t="shared" si="64"/>
        <v/>
      </c>
      <c r="AA164" s="106" t="str">
        <f t="shared" si="64"/>
        <v/>
      </c>
    </row>
    <row r="165" spans="1:27" outlineLevel="1" x14ac:dyDescent="0.2">
      <c r="C165" s="37" t="s">
        <v>353</v>
      </c>
      <c r="D165" s="285" t="str">
        <f>VLOOKUP($C165,'Typologie détaillée'!$E$4:$H$214,3,0)</f>
        <v>Ne pas utiliser</v>
      </c>
      <c r="E165" s="286">
        <f>VLOOKUP($C165,'Typologie détaillée'!$E$4:$H$214,4,0)</f>
        <v>0</v>
      </c>
      <c r="F165" s="90"/>
      <c r="G165" s="90"/>
      <c r="H165" s="301"/>
      <c r="I165" s="90"/>
      <c r="J165" s="90"/>
      <c r="K165" s="90"/>
      <c r="P165" s="129">
        <f t="shared" si="62"/>
        <v>0</v>
      </c>
      <c r="Q165" s="129">
        <f t="shared" si="62"/>
        <v>0</v>
      </c>
      <c r="R165" s="106">
        <f t="shared" si="62"/>
        <v>0</v>
      </c>
      <c r="T165" s="106" t="str">
        <f t="shared" si="63"/>
        <v/>
      </c>
      <c r="U165" s="106" t="str">
        <f t="shared" si="63"/>
        <v/>
      </c>
      <c r="V165" s="106" t="str">
        <f t="shared" si="63"/>
        <v/>
      </c>
      <c r="X165" s="106" t="str">
        <f t="shared" si="64"/>
        <v/>
      </c>
      <c r="Y165" s="106" t="str">
        <f t="shared" si="64"/>
        <v/>
      </c>
      <c r="Z165" s="106" t="str">
        <f t="shared" si="64"/>
        <v/>
      </c>
      <c r="AA165" s="106" t="str">
        <f t="shared" si="64"/>
        <v/>
      </c>
    </row>
    <row r="166" spans="1:27" outlineLevel="1" x14ac:dyDescent="0.2">
      <c r="C166" s="37" t="s">
        <v>353</v>
      </c>
      <c r="D166" s="285" t="str">
        <f>VLOOKUP($C166,'Typologie détaillée'!$E$4:$H$214,3,0)</f>
        <v>Ne pas utiliser</v>
      </c>
      <c r="E166" s="286">
        <f>VLOOKUP($C166,'Typologie détaillée'!$E$4:$H$214,4,0)</f>
        <v>0</v>
      </c>
      <c r="F166" s="90"/>
      <c r="G166" s="90"/>
      <c r="H166" s="301"/>
      <c r="I166" s="90"/>
      <c r="J166" s="90"/>
      <c r="K166" s="90"/>
      <c r="P166" s="129">
        <f t="shared" si="62"/>
        <v>0</v>
      </c>
      <c r="Q166" s="129">
        <f t="shared" si="62"/>
        <v>0</v>
      </c>
      <c r="R166" s="106">
        <f t="shared" si="62"/>
        <v>0</v>
      </c>
      <c r="T166" s="106" t="str">
        <f t="shared" si="63"/>
        <v/>
      </c>
      <c r="U166" s="106" t="str">
        <f t="shared" si="63"/>
        <v/>
      </c>
      <c r="V166" s="106" t="str">
        <f t="shared" si="63"/>
        <v/>
      </c>
      <c r="X166" s="106" t="str">
        <f t="shared" si="64"/>
        <v/>
      </c>
      <c r="Y166" s="106" t="str">
        <f t="shared" si="64"/>
        <v/>
      </c>
      <c r="Z166" s="106" t="str">
        <f t="shared" si="64"/>
        <v/>
      </c>
      <c r="AA166" s="106" t="str">
        <f t="shared" si="64"/>
        <v/>
      </c>
    </row>
    <row r="167" spans="1:27" outlineLevel="1" x14ac:dyDescent="0.2">
      <c r="C167" s="37" t="s">
        <v>353</v>
      </c>
      <c r="D167" s="285" t="str">
        <f>VLOOKUP($C167,'Typologie détaillée'!$E$4:$H$214,3,0)</f>
        <v>Ne pas utiliser</v>
      </c>
      <c r="E167" s="286">
        <f>VLOOKUP($C167,'Typologie détaillée'!$E$4:$H$214,4,0)</f>
        <v>0</v>
      </c>
      <c r="F167" s="90"/>
      <c r="G167" s="90"/>
      <c r="H167" s="301"/>
      <c r="I167" s="90"/>
      <c r="J167" s="90"/>
      <c r="K167" s="90"/>
      <c r="P167" s="129">
        <f t="shared" si="62"/>
        <v>0</v>
      </c>
      <c r="Q167" s="129">
        <f t="shared" si="62"/>
        <v>0</v>
      </c>
      <c r="R167" s="106">
        <f t="shared" si="62"/>
        <v>0</v>
      </c>
      <c r="T167" s="106" t="str">
        <f t="shared" si="63"/>
        <v/>
      </c>
      <c r="U167" s="106" t="str">
        <f t="shared" si="63"/>
        <v/>
      </c>
      <c r="V167" s="106" t="str">
        <f t="shared" si="63"/>
        <v/>
      </c>
      <c r="X167" s="106" t="str">
        <f t="shared" si="64"/>
        <v/>
      </c>
      <c r="Y167" s="106" t="str">
        <f t="shared" si="64"/>
        <v/>
      </c>
      <c r="Z167" s="106" t="str">
        <f t="shared" si="64"/>
        <v/>
      </c>
      <c r="AA167" s="106" t="str">
        <f t="shared" si="64"/>
        <v/>
      </c>
    </row>
    <row r="168" spans="1:27" outlineLevel="1" x14ac:dyDescent="0.2">
      <c r="C168" s="37" t="s">
        <v>353</v>
      </c>
      <c r="D168" s="285" t="str">
        <f>VLOOKUP($C168,'Typologie détaillée'!$E$4:$H$214,3,0)</f>
        <v>Ne pas utiliser</v>
      </c>
      <c r="E168" s="286">
        <f>VLOOKUP($C168,'Typologie détaillée'!$E$4:$H$214,4,0)</f>
        <v>0</v>
      </c>
      <c r="F168" s="90"/>
      <c r="G168" s="90"/>
      <c r="H168" s="301"/>
      <c r="I168" s="90"/>
      <c r="J168" s="90"/>
      <c r="K168" s="90"/>
      <c r="P168" s="129">
        <f t="shared" si="62"/>
        <v>0</v>
      </c>
      <c r="Q168" s="129">
        <f t="shared" si="62"/>
        <v>0</v>
      </c>
      <c r="R168" s="106">
        <f t="shared" si="62"/>
        <v>0</v>
      </c>
      <c r="T168" s="106" t="str">
        <f t="shared" si="63"/>
        <v/>
      </c>
      <c r="U168" s="106" t="str">
        <f t="shared" si="63"/>
        <v/>
      </c>
      <c r="V168" s="106" t="str">
        <f t="shared" si="63"/>
        <v/>
      </c>
      <c r="X168" s="106" t="str">
        <f t="shared" si="64"/>
        <v/>
      </c>
      <c r="Y168" s="106" t="str">
        <f t="shared" si="64"/>
        <v/>
      </c>
      <c r="Z168" s="106" t="str">
        <f t="shared" si="64"/>
        <v/>
      </c>
      <c r="AA168" s="106" t="str">
        <f t="shared" si="64"/>
        <v/>
      </c>
    </row>
    <row r="169" spans="1:27" s="138" customFormat="1" x14ac:dyDescent="0.2">
      <c r="A169" s="138" t="str">
        <f>A159</f>
        <v>• service 12</v>
      </c>
      <c r="B169" s="138">
        <f>B159</f>
        <v>0</v>
      </c>
      <c r="D169" s="138" t="s">
        <v>97</v>
      </c>
      <c r="E169" s="139"/>
      <c r="F169" s="139"/>
      <c r="G169" s="139"/>
      <c r="H169" s="299"/>
      <c r="I169" s="139"/>
      <c r="J169" s="139"/>
      <c r="K169" s="139"/>
      <c r="P169" s="139">
        <f>SUBTOTAL(9,P159:P168)</f>
        <v>0</v>
      </c>
      <c r="Q169" s="139">
        <f>SUBTOTAL(9,Q159:Q168)</f>
        <v>0</v>
      </c>
      <c r="R169" s="138">
        <f>SUBTOTAL(9,R159:R168)</f>
        <v>0</v>
      </c>
      <c r="T169" s="138">
        <f>SUBTOTAL(9,T159:T168)</f>
        <v>0</v>
      </c>
      <c r="U169" s="138">
        <f>SUBTOTAL(9,U159:U168)</f>
        <v>0</v>
      </c>
      <c r="V169" s="138">
        <f>SUBTOTAL(9,V159:V168)</f>
        <v>0</v>
      </c>
      <c r="X169" s="138">
        <f>SUBTOTAL(9,X159:X168)</f>
        <v>0</v>
      </c>
      <c r="Y169" s="138">
        <f>SUBTOTAL(9,Y159:Y168)</f>
        <v>0</v>
      </c>
      <c r="Z169" s="138">
        <f>SUBTOTAL(9,Z159:Z168)</f>
        <v>0</v>
      </c>
      <c r="AA169" s="138">
        <f>SUBTOTAL(9,AA159:AA168)</f>
        <v>0</v>
      </c>
    </row>
    <row r="170" spans="1:27" outlineLevel="1" x14ac:dyDescent="0.2">
      <c r="A170" t="str">
        <f>'Partie 3 • M.implantation'!C12</f>
        <v>• service 13</v>
      </c>
      <c r="B170" s="126"/>
      <c r="C170" s="37" t="s">
        <v>353</v>
      </c>
      <c r="D170" s="285" t="str">
        <f>VLOOKUP($C170,'Typologie détaillée'!$E$4:$H$214,3,0)</f>
        <v>Ne pas utiliser</v>
      </c>
      <c r="E170" s="286">
        <f>VLOOKUP($C170,'Typologie détaillée'!$E$4:$H$214,4,0)</f>
        <v>0</v>
      </c>
      <c r="F170" s="125"/>
      <c r="G170" s="125"/>
      <c r="H170" s="302"/>
      <c r="I170" s="125"/>
      <c r="J170" s="125"/>
      <c r="K170" s="125"/>
      <c r="P170" s="129">
        <f t="shared" ref="P170:R176" si="65">$G170*I170</f>
        <v>0</v>
      </c>
      <c r="Q170" s="129">
        <f t="shared" si="65"/>
        <v>0</v>
      </c>
      <c r="R170" s="106">
        <f t="shared" si="65"/>
        <v>0</v>
      </c>
      <c r="T170" s="106" t="str">
        <f t="shared" ref="T170:V176" si="66">IF($E170=T$4,$R170,"")</f>
        <v/>
      </c>
      <c r="U170" s="106" t="str">
        <f t="shared" si="66"/>
        <v/>
      </c>
      <c r="V170" s="106" t="str">
        <f t="shared" si="66"/>
        <v/>
      </c>
      <c r="X170" s="106" t="str">
        <f t="shared" ref="X170:AA176" si="67">IF($F170=X$4,$R170,"")</f>
        <v/>
      </c>
      <c r="Y170" s="106" t="str">
        <f t="shared" si="67"/>
        <v/>
      </c>
      <c r="Z170" s="106" t="str">
        <f t="shared" si="67"/>
        <v/>
      </c>
      <c r="AA170" s="106" t="str">
        <f t="shared" si="67"/>
        <v/>
      </c>
    </row>
    <row r="171" spans="1:27" outlineLevel="1" x14ac:dyDescent="0.2">
      <c r="C171" s="37" t="s">
        <v>353</v>
      </c>
      <c r="D171" s="285" t="str">
        <f>VLOOKUP($C171,'Typologie détaillée'!$E$4:$H$214,3,0)</f>
        <v>Ne pas utiliser</v>
      </c>
      <c r="E171" s="286">
        <f>VLOOKUP($C171,'Typologie détaillée'!$E$4:$H$214,4,0)</f>
        <v>0</v>
      </c>
      <c r="F171" s="90"/>
      <c r="G171" s="90"/>
      <c r="H171" s="301"/>
      <c r="I171" s="90"/>
      <c r="J171" s="90"/>
      <c r="K171" s="90"/>
      <c r="P171" s="129">
        <f t="shared" si="65"/>
        <v>0</v>
      </c>
      <c r="Q171" s="129">
        <f t="shared" si="65"/>
        <v>0</v>
      </c>
      <c r="R171" s="106">
        <f t="shared" si="65"/>
        <v>0</v>
      </c>
      <c r="T171" s="106" t="str">
        <f t="shared" si="66"/>
        <v/>
      </c>
      <c r="U171" s="106" t="str">
        <f t="shared" si="66"/>
        <v/>
      </c>
      <c r="V171" s="106" t="str">
        <f t="shared" si="66"/>
        <v/>
      </c>
      <c r="X171" s="106" t="str">
        <f t="shared" si="67"/>
        <v/>
      </c>
      <c r="Y171" s="106" t="str">
        <f t="shared" si="67"/>
        <v/>
      </c>
      <c r="Z171" s="106" t="str">
        <f t="shared" si="67"/>
        <v/>
      </c>
      <c r="AA171" s="106" t="str">
        <f t="shared" si="67"/>
        <v/>
      </c>
    </row>
    <row r="172" spans="1:27" outlineLevel="1" x14ac:dyDescent="0.2">
      <c r="C172" s="37" t="s">
        <v>353</v>
      </c>
      <c r="D172" s="285" t="str">
        <f>VLOOKUP($C172,'Typologie détaillée'!$E$4:$H$214,3,0)</f>
        <v>Ne pas utiliser</v>
      </c>
      <c r="E172" s="286">
        <f>VLOOKUP($C172,'Typologie détaillée'!$E$4:$H$214,4,0)</f>
        <v>0</v>
      </c>
      <c r="F172" s="90"/>
      <c r="G172" s="90"/>
      <c r="H172" s="301"/>
      <c r="I172" s="90"/>
      <c r="J172" s="90"/>
      <c r="K172" s="90"/>
      <c r="P172" s="129">
        <f t="shared" si="65"/>
        <v>0</v>
      </c>
      <c r="Q172" s="129">
        <f t="shared" si="65"/>
        <v>0</v>
      </c>
      <c r="R172" s="106">
        <f t="shared" si="65"/>
        <v>0</v>
      </c>
      <c r="T172" s="106" t="str">
        <f t="shared" si="66"/>
        <v/>
      </c>
      <c r="U172" s="106" t="str">
        <f t="shared" si="66"/>
        <v/>
      </c>
      <c r="V172" s="106" t="str">
        <f t="shared" si="66"/>
        <v/>
      </c>
      <c r="X172" s="106" t="str">
        <f t="shared" si="67"/>
        <v/>
      </c>
      <c r="Y172" s="106" t="str">
        <f t="shared" si="67"/>
        <v/>
      </c>
      <c r="Z172" s="106" t="str">
        <f t="shared" si="67"/>
        <v/>
      </c>
      <c r="AA172" s="106" t="str">
        <f t="shared" si="67"/>
        <v/>
      </c>
    </row>
    <row r="173" spans="1:27" outlineLevel="1" x14ac:dyDescent="0.2">
      <c r="C173" s="37" t="s">
        <v>353</v>
      </c>
      <c r="D173" s="285" t="str">
        <f>VLOOKUP($C173,'Typologie détaillée'!$E$4:$H$214,3,0)</f>
        <v>Ne pas utiliser</v>
      </c>
      <c r="E173" s="286">
        <f>VLOOKUP($C173,'Typologie détaillée'!$E$4:$H$214,4,0)</f>
        <v>0</v>
      </c>
      <c r="F173" s="90"/>
      <c r="G173" s="90"/>
      <c r="H173" s="301"/>
      <c r="I173" s="90"/>
      <c r="J173" s="90"/>
      <c r="K173" s="90"/>
      <c r="P173" s="129">
        <f t="shared" si="65"/>
        <v>0</v>
      </c>
      <c r="Q173" s="129">
        <f t="shared" si="65"/>
        <v>0</v>
      </c>
      <c r="R173" s="106">
        <f t="shared" si="65"/>
        <v>0</v>
      </c>
      <c r="T173" s="106" t="str">
        <f t="shared" si="66"/>
        <v/>
      </c>
      <c r="U173" s="106" t="str">
        <f t="shared" si="66"/>
        <v/>
      </c>
      <c r="V173" s="106" t="str">
        <f t="shared" si="66"/>
        <v/>
      </c>
      <c r="X173" s="106" t="str">
        <f t="shared" si="67"/>
        <v/>
      </c>
      <c r="Y173" s="106" t="str">
        <f t="shared" si="67"/>
        <v/>
      </c>
      <c r="Z173" s="106" t="str">
        <f t="shared" si="67"/>
        <v/>
      </c>
      <c r="AA173" s="106" t="str">
        <f t="shared" si="67"/>
        <v/>
      </c>
    </row>
    <row r="174" spans="1:27" outlineLevel="1" x14ac:dyDescent="0.2">
      <c r="C174" s="37" t="s">
        <v>353</v>
      </c>
      <c r="D174" s="285" t="str">
        <f>VLOOKUP($C174,'Typologie détaillée'!$E$4:$H$214,3,0)</f>
        <v>Ne pas utiliser</v>
      </c>
      <c r="E174" s="286">
        <f>VLOOKUP($C174,'Typologie détaillée'!$E$4:$H$214,4,0)</f>
        <v>0</v>
      </c>
      <c r="F174" s="90"/>
      <c r="G174" s="90"/>
      <c r="H174" s="301"/>
      <c r="I174" s="90"/>
      <c r="J174" s="90"/>
      <c r="K174" s="90"/>
      <c r="P174" s="129">
        <f t="shared" si="65"/>
        <v>0</v>
      </c>
      <c r="Q174" s="129">
        <f t="shared" si="65"/>
        <v>0</v>
      </c>
      <c r="R174" s="106">
        <f t="shared" si="65"/>
        <v>0</v>
      </c>
      <c r="T174" s="106" t="str">
        <f t="shared" si="66"/>
        <v/>
      </c>
      <c r="U174" s="106" t="str">
        <f t="shared" si="66"/>
        <v/>
      </c>
      <c r="V174" s="106" t="str">
        <f t="shared" si="66"/>
        <v/>
      </c>
      <c r="X174" s="106" t="str">
        <f t="shared" si="67"/>
        <v/>
      </c>
      <c r="Y174" s="106" t="str">
        <f t="shared" si="67"/>
        <v/>
      </c>
      <c r="Z174" s="106" t="str">
        <f t="shared" si="67"/>
        <v/>
      </c>
      <c r="AA174" s="106" t="str">
        <f t="shared" si="67"/>
        <v/>
      </c>
    </row>
    <row r="175" spans="1:27" outlineLevel="1" x14ac:dyDescent="0.2">
      <c r="C175" s="37" t="s">
        <v>353</v>
      </c>
      <c r="D175" s="285" t="str">
        <f>VLOOKUP($C175,'Typologie détaillée'!$E$4:$H$214,3,0)</f>
        <v>Ne pas utiliser</v>
      </c>
      <c r="E175" s="286">
        <f>VLOOKUP($C175,'Typologie détaillée'!$E$4:$H$214,4,0)</f>
        <v>0</v>
      </c>
      <c r="F175" s="90"/>
      <c r="G175" s="90"/>
      <c r="H175" s="301"/>
      <c r="I175" s="90"/>
      <c r="J175" s="90"/>
      <c r="K175" s="90"/>
      <c r="P175" s="129">
        <f t="shared" si="65"/>
        <v>0</v>
      </c>
      <c r="Q175" s="129">
        <f t="shared" si="65"/>
        <v>0</v>
      </c>
      <c r="R175" s="106">
        <f t="shared" si="65"/>
        <v>0</v>
      </c>
      <c r="T175" s="106" t="str">
        <f t="shared" si="66"/>
        <v/>
      </c>
      <c r="U175" s="106" t="str">
        <f t="shared" si="66"/>
        <v/>
      </c>
      <c r="V175" s="106" t="str">
        <f t="shared" si="66"/>
        <v/>
      </c>
      <c r="X175" s="106" t="str">
        <f t="shared" si="67"/>
        <v/>
      </c>
      <c r="Y175" s="106" t="str">
        <f t="shared" si="67"/>
        <v/>
      </c>
      <c r="Z175" s="106" t="str">
        <f t="shared" si="67"/>
        <v/>
      </c>
      <c r="AA175" s="106" t="str">
        <f t="shared" si="67"/>
        <v/>
      </c>
    </row>
    <row r="176" spans="1:27" outlineLevel="1" x14ac:dyDescent="0.2">
      <c r="C176" s="37" t="s">
        <v>353</v>
      </c>
      <c r="D176" s="285" t="str">
        <f>VLOOKUP($C176,'Typologie détaillée'!$E$4:$H$214,3,0)</f>
        <v>Ne pas utiliser</v>
      </c>
      <c r="E176" s="286">
        <f>VLOOKUP($C176,'Typologie détaillée'!$E$4:$H$214,4,0)</f>
        <v>0</v>
      </c>
      <c r="F176" s="90"/>
      <c r="G176" s="90"/>
      <c r="H176" s="301"/>
      <c r="I176" s="90"/>
      <c r="J176" s="90"/>
      <c r="K176" s="90"/>
      <c r="P176" s="129">
        <f t="shared" si="65"/>
        <v>0</v>
      </c>
      <c r="Q176" s="129">
        <f t="shared" si="65"/>
        <v>0</v>
      </c>
      <c r="R176" s="106">
        <f t="shared" si="65"/>
        <v>0</v>
      </c>
      <c r="T176" s="106" t="str">
        <f t="shared" si="66"/>
        <v/>
      </c>
      <c r="U176" s="106" t="str">
        <f t="shared" si="66"/>
        <v/>
      </c>
      <c r="V176" s="106" t="str">
        <f t="shared" si="66"/>
        <v/>
      </c>
      <c r="X176" s="106" t="str">
        <f t="shared" si="67"/>
        <v/>
      </c>
      <c r="Y176" s="106" t="str">
        <f t="shared" si="67"/>
        <v/>
      </c>
      <c r="Z176" s="106" t="str">
        <f t="shared" si="67"/>
        <v/>
      </c>
      <c r="AA176" s="106" t="str">
        <f t="shared" si="67"/>
        <v/>
      </c>
    </row>
    <row r="177" spans="1:27" s="138" customFormat="1" x14ac:dyDescent="0.2">
      <c r="A177" s="138" t="str">
        <f>A170</f>
        <v>• service 13</v>
      </c>
      <c r="B177" s="138">
        <f>B170</f>
        <v>0</v>
      </c>
      <c r="D177" s="138" t="s">
        <v>97</v>
      </c>
      <c r="E177" s="139"/>
      <c r="F177" s="139"/>
      <c r="G177" s="139"/>
      <c r="H177" s="299"/>
      <c r="I177" s="139"/>
      <c r="J177" s="139"/>
      <c r="K177" s="139"/>
      <c r="P177" s="139">
        <f>SUBTOTAL(9,P170:P176)</f>
        <v>0</v>
      </c>
      <c r="Q177" s="139">
        <f>SUBTOTAL(9,Q170:Q176)</f>
        <v>0</v>
      </c>
      <c r="R177" s="138">
        <f>SUBTOTAL(9,R170:R176)</f>
        <v>0</v>
      </c>
      <c r="T177" s="138">
        <f>SUBTOTAL(9,T170:T176)</f>
        <v>0</v>
      </c>
      <c r="U177" s="138">
        <f>SUBTOTAL(9,U170:U176)</f>
        <v>0</v>
      </c>
      <c r="V177" s="138">
        <f>SUBTOTAL(9,V170:V176)</f>
        <v>0</v>
      </c>
      <c r="X177" s="138">
        <f>SUBTOTAL(9,X170:X176)</f>
        <v>0</v>
      </c>
      <c r="Y177" s="138">
        <f>SUBTOTAL(9,Y170:Y176)</f>
        <v>0</v>
      </c>
      <c r="Z177" s="138">
        <f>SUBTOTAL(9,Z170:Z176)</f>
        <v>0</v>
      </c>
      <c r="AA177" s="138">
        <f>SUBTOTAL(9,AA170:AA176)</f>
        <v>0</v>
      </c>
    </row>
    <row r="178" spans="1:27" outlineLevel="1" x14ac:dyDescent="0.2">
      <c r="A178" t="str">
        <f>'Partie 3 • M.implantation'!C13</f>
        <v>• service 15</v>
      </c>
      <c r="B178" s="126"/>
      <c r="C178" s="37" t="s">
        <v>353</v>
      </c>
      <c r="D178" s="285" t="str">
        <f>VLOOKUP($C178,'Typologie détaillée'!$E$4:$H$214,3,0)</f>
        <v>Ne pas utiliser</v>
      </c>
      <c r="E178" s="286">
        <f>VLOOKUP($C178,'Typologie détaillée'!$E$4:$H$214,4,0)</f>
        <v>0</v>
      </c>
      <c r="F178" s="125"/>
      <c r="G178" s="125"/>
      <c r="H178" s="302"/>
      <c r="I178" s="125"/>
      <c r="J178" s="125"/>
      <c r="K178" s="125"/>
      <c r="P178" s="129">
        <f t="shared" ref="P178:R185" si="68">$G178*I178</f>
        <v>0</v>
      </c>
      <c r="Q178" s="129">
        <f t="shared" si="68"/>
        <v>0</v>
      </c>
      <c r="R178" s="106">
        <f t="shared" si="68"/>
        <v>0</v>
      </c>
      <c r="T178" s="106" t="str">
        <f t="shared" ref="T178:V185" si="69">IF($E178=T$4,$R178,"")</f>
        <v/>
      </c>
      <c r="U178" s="106" t="str">
        <f t="shared" si="69"/>
        <v/>
      </c>
      <c r="V178" s="106" t="str">
        <f t="shared" si="69"/>
        <v/>
      </c>
      <c r="X178" s="106" t="str">
        <f t="shared" ref="X178:AA185" si="70">IF($F178=X$4,$R178,"")</f>
        <v/>
      </c>
      <c r="Y178" s="106" t="str">
        <f t="shared" si="70"/>
        <v/>
      </c>
      <c r="Z178" s="106" t="str">
        <f t="shared" si="70"/>
        <v/>
      </c>
      <c r="AA178" s="106" t="str">
        <f t="shared" si="70"/>
        <v/>
      </c>
    </row>
    <row r="179" spans="1:27" outlineLevel="1" x14ac:dyDescent="0.2">
      <c r="C179" s="37" t="s">
        <v>353</v>
      </c>
      <c r="D179" s="285" t="str">
        <f>VLOOKUP($C179,'Typologie détaillée'!$E$4:$H$214,3,0)</f>
        <v>Ne pas utiliser</v>
      </c>
      <c r="E179" s="286">
        <f>VLOOKUP($C179,'Typologie détaillée'!$E$4:$H$214,4,0)</f>
        <v>0</v>
      </c>
      <c r="F179" s="90"/>
      <c r="G179" s="90"/>
      <c r="H179" s="301"/>
      <c r="I179" s="90"/>
      <c r="J179" s="90"/>
      <c r="K179" s="90"/>
      <c r="P179" s="129">
        <f t="shared" si="68"/>
        <v>0</v>
      </c>
      <c r="Q179" s="129">
        <f t="shared" si="68"/>
        <v>0</v>
      </c>
      <c r="R179" s="106">
        <f t="shared" si="68"/>
        <v>0</v>
      </c>
      <c r="T179" s="106" t="str">
        <f t="shared" si="69"/>
        <v/>
      </c>
      <c r="U179" s="106" t="str">
        <f t="shared" si="69"/>
        <v/>
      </c>
      <c r="V179" s="106" t="str">
        <f t="shared" si="69"/>
        <v/>
      </c>
      <c r="X179" s="106" t="str">
        <f t="shared" si="70"/>
        <v/>
      </c>
      <c r="Y179" s="106" t="str">
        <f t="shared" si="70"/>
        <v/>
      </c>
      <c r="Z179" s="106" t="str">
        <f t="shared" si="70"/>
        <v/>
      </c>
      <c r="AA179" s="106" t="str">
        <f t="shared" si="70"/>
        <v/>
      </c>
    </row>
    <row r="180" spans="1:27" outlineLevel="1" x14ac:dyDescent="0.2">
      <c r="C180" s="37" t="s">
        <v>353</v>
      </c>
      <c r="D180" s="285" t="str">
        <f>VLOOKUP($C180,'Typologie détaillée'!$E$4:$H$214,3,0)</f>
        <v>Ne pas utiliser</v>
      </c>
      <c r="E180" s="286">
        <f>VLOOKUP($C180,'Typologie détaillée'!$E$4:$H$214,4,0)</f>
        <v>0</v>
      </c>
      <c r="F180" s="90"/>
      <c r="G180" s="90"/>
      <c r="H180" s="301"/>
      <c r="I180" s="90"/>
      <c r="J180" s="90"/>
      <c r="K180" s="90"/>
      <c r="P180" s="129">
        <f t="shared" si="68"/>
        <v>0</v>
      </c>
      <c r="Q180" s="129">
        <f t="shared" si="68"/>
        <v>0</v>
      </c>
      <c r="R180" s="106">
        <f t="shared" si="68"/>
        <v>0</v>
      </c>
      <c r="T180" s="106" t="str">
        <f t="shared" si="69"/>
        <v/>
      </c>
      <c r="U180" s="106" t="str">
        <f t="shared" si="69"/>
        <v/>
      </c>
      <c r="V180" s="106" t="str">
        <f t="shared" si="69"/>
        <v/>
      </c>
      <c r="X180" s="106" t="str">
        <f t="shared" si="70"/>
        <v/>
      </c>
      <c r="Y180" s="106" t="str">
        <f t="shared" si="70"/>
        <v/>
      </c>
      <c r="Z180" s="106" t="str">
        <f t="shared" si="70"/>
        <v/>
      </c>
      <c r="AA180" s="106" t="str">
        <f t="shared" si="70"/>
        <v/>
      </c>
    </row>
    <row r="181" spans="1:27" outlineLevel="1" x14ac:dyDescent="0.2">
      <c r="C181" s="37" t="s">
        <v>353</v>
      </c>
      <c r="D181" s="285" t="str">
        <f>VLOOKUP($C181,'Typologie détaillée'!$E$4:$H$214,3,0)</f>
        <v>Ne pas utiliser</v>
      </c>
      <c r="E181" s="286">
        <f>VLOOKUP($C181,'Typologie détaillée'!$E$4:$H$214,4,0)</f>
        <v>0</v>
      </c>
      <c r="F181" s="90"/>
      <c r="G181" s="90"/>
      <c r="H181" s="301"/>
      <c r="I181" s="90"/>
      <c r="J181" s="90"/>
      <c r="K181" s="90"/>
      <c r="P181" s="129">
        <f t="shared" si="68"/>
        <v>0</v>
      </c>
      <c r="Q181" s="129">
        <f t="shared" si="68"/>
        <v>0</v>
      </c>
      <c r="R181" s="106">
        <f t="shared" si="68"/>
        <v>0</v>
      </c>
      <c r="T181" s="106" t="str">
        <f t="shared" si="69"/>
        <v/>
      </c>
      <c r="U181" s="106" t="str">
        <f t="shared" si="69"/>
        <v/>
      </c>
      <c r="V181" s="106" t="str">
        <f t="shared" si="69"/>
        <v/>
      </c>
      <c r="X181" s="106" t="str">
        <f t="shared" si="70"/>
        <v/>
      </c>
      <c r="Y181" s="106" t="str">
        <f t="shared" si="70"/>
        <v/>
      </c>
      <c r="Z181" s="106" t="str">
        <f t="shared" si="70"/>
        <v/>
      </c>
      <c r="AA181" s="106" t="str">
        <f t="shared" si="70"/>
        <v/>
      </c>
    </row>
    <row r="182" spans="1:27" outlineLevel="1" x14ac:dyDescent="0.2">
      <c r="C182" s="37" t="s">
        <v>353</v>
      </c>
      <c r="D182" s="285" t="str">
        <f>VLOOKUP($C182,'Typologie détaillée'!$E$4:$H$214,3,0)</f>
        <v>Ne pas utiliser</v>
      </c>
      <c r="E182" s="286">
        <f>VLOOKUP($C182,'Typologie détaillée'!$E$4:$H$214,4,0)</f>
        <v>0</v>
      </c>
      <c r="F182" s="90"/>
      <c r="G182" s="90"/>
      <c r="H182" s="301"/>
      <c r="I182" s="90"/>
      <c r="J182" s="90"/>
      <c r="K182" s="90"/>
      <c r="P182" s="129">
        <f t="shared" si="68"/>
        <v>0</v>
      </c>
      <c r="Q182" s="129">
        <f t="shared" si="68"/>
        <v>0</v>
      </c>
      <c r="R182" s="106">
        <f t="shared" si="68"/>
        <v>0</v>
      </c>
      <c r="T182" s="106" t="str">
        <f t="shared" si="69"/>
        <v/>
      </c>
      <c r="U182" s="106" t="str">
        <f t="shared" si="69"/>
        <v/>
      </c>
      <c r="V182" s="106" t="str">
        <f t="shared" si="69"/>
        <v/>
      </c>
      <c r="X182" s="106" t="str">
        <f t="shared" si="70"/>
        <v/>
      </c>
      <c r="Y182" s="106" t="str">
        <f t="shared" si="70"/>
        <v/>
      </c>
      <c r="Z182" s="106" t="str">
        <f t="shared" si="70"/>
        <v/>
      </c>
      <c r="AA182" s="106" t="str">
        <f t="shared" si="70"/>
        <v/>
      </c>
    </row>
    <row r="183" spans="1:27" outlineLevel="1" x14ac:dyDescent="0.2">
      <c r="C183" s="37" t="s">
        <v>353</v>
      </c>
      <c r="D183" s="285" t="str">
        <f>VLOOKUP($C183,'Typologie détaillée'!$E$4:$H$214,3,0)</f>
        <v>Ne pas utiliser</v>
      </c>
      <c r="E183" s="286">
        <f>VLOOKUP($C183,'Typologie détaillée'!$E$4:$H$214,4,0)</f>
        <v>0</v>
      </c>
      <c r="F183" s="90"/>
      <c r="G183" s="90"/>
      <c r="H183" s="301"/>
      <c r="I183" s="90"/>
      <c r="J183" s="90"/>
      <c r="K183" s="90"/>
      <c r="P183" s="129">
        <f t="shared" si="68"/>
        <v>0</v>
      </c>
      <c r="Q183" s="129">
        <f t="shared" si="68"/>
        <v>0</v>
      </c>
      <c r="R183" s="106">
        <f t="shared" si="68"/>
        <v>0</v>
      </c>
      <c r="T183" s="106" t="str">
        <f t="shared" si="69"/>
        <v/>
      </c>
      <c r="U183" s="106" t="str">
        <f t="shared" si="69"/>
        <v/>
      </c>
      <c r="V183" s="106" t="str">
        <f t="shared" si="69"/>
        <v/>
      </c>
      <c r="X183" s="106" t="str">
        <f t="shared" si="70"/>
        <v/>
      </c>
      <c r="Y183" s="106" t="str">
        <f t="shared" si="70"/>
        <v/>
      </c>
      <c r="Z183" s="106" t="str">
        <f t="shared" si="70"/>
        <v/>
      </c>
      <c r="AA183" s="106" t="str">
        <f t="shared" si="70"/>
        <v/>
      </c>
    </row>
    <row r="184" spans="1:27" outlineLevel="1" x14ac:dyDescent="0.2">
      <c r="C184" s="37" t="s">
        <v>353</v>
      </c>
      <c r="D184" s="285" t="str">
        <f>VLOOKUP($C184,'Typologie détaillée'!$E$4:$H$214,3,0)</f>
        <v>Ne pas utiliser</v>
      </c>
      <c r="E184" s="286">
        <f>VLOOKUP($C184,'Typologie détaillée'!$E$4:$H$214,4,0)</f>
        <v>0</v>
      </c>
      <c r="F184" s="90"/>
      <c r="G184" s="90"/>
      <c r="H184" s="301"/>
      <c r="I184" s="90"/>
      <c r="J184" s="90"/>
      <c r="K184" s="90"/>
      <c r="P184" s="129">
        <f t="shared" si="68"/>
        <v>0</v>
      </c>
      <c r="Q184" s="129">
        <f t="shared" si="68"/>
        <v>0</v>
      </c>
      <c r="R184" s="106">
        <f t="shared" si="68"/>
        <v>0</v>
      </c>
      <c r="T184" s="106" t="str">
        <f t="shared" si="69"/>
        <v/>
      </c>
      <c r="U184" s="106" t="str">
        <f t="shared" si="69"/>
        <v/>
      </c>
      <c r="V184" s="106" t="str">
        <f t="shared" si="69"/>
        <v/>
      </c>
      <c r="X184" s="106" t="str">
        <f t="shared" si="70"/>
        <v/>
      </c>
      <c r="Y184" s="106" t="str">
        <f t="shared" si="70"/>
        <v/>
      </c>
      <c r="Z184" s="106" t="str">
        <f t="shared" si="70"/>
        <v/>
      </c>
      <c r="AA184" s="106" t="str">
        <f t="shared" si="70"/>
        <v/>
      </c>
    </row>
    <row r="185" spans="1:27" outlineLevel="1" x14ac:dyDescent="0.2">
      <c r="C185" s="37" t="s">
        <v>353</v>
      </c>
      <c r="D185" s="285" t="str">
        <f>VLOOKUP($C185,'Typologie détaillée'!$E$4:$H$214,3,0)</f>
        <v>Ne pas utiliser</v>
      </c>
      <c r="E185" s="286">
        <f>VLOOKUP($C185,'Typologie détaillée'!$E$4:$H$214,4,0)</f>
        <v>0</v>
      </c>
      <c r="F185" s="90"/>
      <c r="G185" s="90"/>
      <c r="H185" s="301"/>
      <c r="I185" s="90"/>
      <c r="J185" s="90"/>
      <c r="K185" s="90"/>
      <c r="P185" s="129">
        <f t="shared" si="68"/>
        <v>0</v>
      </c>
      <c r="Q185" s="129">
        <f t="shared" si="68"/>
        <v>0</v>
      </c>
      <c r="R185" s="106">
        <f t="shared" si="68"/>
        <v>0</v>
      </c>
      <c r="T185" s="106" t="str">
        <f t="shared" si="69"/>
        <v/>
      </c>
      <c r="U185" s="106" t="str">
        <f t="shared" si="69"/>
        <v/>
      </c>
      <c r="V185" s="106" t="str">
        <f t="shared" si="69"/>
        <v/>
      </c>
      <c r="X185" s="106" t="str">
        <f t="shared" si="70"/>
        <v/>
      </c>
      <c r="Y185" s="106" t="str">
        <f t="shared" si="70"/>
        <v/>
      </c>
      <c r="Z185" s="106" t="str">
        <f t="shared" si="70"/>
        <v/>
      </c>
      <c r="AA185" s="106" t="str">
        <f t="shared" si="70"/>
        <v/>
      </c>
    </row>
    <row r="186" spans="1:27" s="138" customFormat="1" x14ac:dyDescent="0.2">
      <c r="A186" s="138" t="str">
        <f>A178</f>
        <v>• service 15</v>
      </c>
      <c r="B186" s="138">
        <f>B178</f>
        <v>0</v>
      </c>
      <c r="D186" s="138" t="s">
        <v>97</v>
      </c>
      <c r="E186" s="139"/>
      <c r="F186" s="139"/>
      <c r="G186" s="139"/>
      <c r="H186" s="299"/>
      <c r="I186" s="139"/>
      <c r="J186" s="139"/>
      <c r="K186" s="139"/>
      <c r="P186" s="139">
        <f>SUBTOTAL(9,P178:P185)</f>
        <v>0</v>
      </c>
      <c r="Q186" s="139">
        <f>SUBTOTAL(9,Q178:Q185)</f>
        <v>0</v>
      </c>
      <c r="R186" s="138">
        <f>SUBTOTAL(9,R178:R185)</f>
        <v>0</v>
      </c>
      <c r="T186" s="138">
        <f>SUBTOTAL(9,T178:T185)</f>
        <v>0</v>
      </c>
      <c r="U186" s="138">
        <f>SUBTOTAL(9,U178:U185)</f>
        <v>0</v>
      </c>
      <c r="V186" s="138">
        <f>SUBTOTAL(9,V178:V185)</f>
        <v>0</v>
      </c>
      <c r="X186" s="138">
        <f>SUBTOTAL(9,X178:X185)</f>
        <v>0</v>
      </c>
      <c r="Y186" s="138">
        <f>SUBTOTAL(9,Y178:Y185)</f>
        <v>0</v>
      </c>
      <c r="Z186" s="138">
        <f>SUBTOTAL(9,Z178:Z185)</f>
        <v>0</v>
      </c>
      <c r="AA186" s="138">
        <f>SUBTOTAL(9,AA178:AA185)</f>
        <v>0</v>
      </c>
    </row>
    <row r="187" spans="1:27" outlineLevel="1" x14ac:dyDescent="0.2">
      <c r="A187" t="str">
        <f>'Partie 3 • M.implantation'!C14</f>
        <v>• service 16</v>
      </c>
      <c r="C187" s="37" t="s">
        <v>355</v>
      </c>
      <c r="D187" s="285" t="str">
        <f>VLOOKUP($C187,'Typologie détaillée'!$E$4:$H$214,3,0)</f>
        <v>B. Cloisonné - Standard</v>
      </c>
      <c r="E187" s="286" t="str">
        <f>VLOOKUP($C187,'Typologie détaillée'!$E$4:$H$214,4,0)</f>
        <v>OA</v>
      </c>
      <c r="F187" s="125"/>
      <c r="G187" s="125"/>
      <c r="H187" s="302"/>
      <c r="I187" s="125"/>
      <c r="J187" s="125"/>
      <c r="K187" s="125"/>
      <c r="P187" s="129">
        <f>$G187*I187</f>
        <v>0</v>
      </c>
      <c r="Q187" s="129">
        <f>$G187*J187</f>
        <v>0</v>
      </c>
      <c r="R187" s="106">
        <f>$G187*K187</f>
        <v>0</v>
      </c>
      <c r="T187" s="106">
        <f>IF($E187=T$4,$R187,"")</f>
        <v>0</v>
      </c>
      <c r="U187" s="106" t="str">
        <f>IF($E187=U$4,$R187,"")</f>
        <v/>
      </c>
      <c r="V187" s="106" t="str">
        <f>IF($E187=V$4,$R187,"")</f>
        <v/>
      </c>
      <c r="X187" s="106" t="str">
        <f>IF($F187=X$4,$R187,"")</f>
        <v/>
      </c>
      <c r="Y187" s="106" t="str">
        <f>IF($F187=Y$4,$R187,"")</f>
        <v/>
      </c>
      <c r="Z187" s="106" t="str">
        <f>IF($F187=Z$4,$R187,"")</f>
        <v/>
      </c>
      <c r="AA187" s="106" t="str">
        <f>IF($F187=AA$4,$R187,"")</f>
        <v/>
      </c>
    </row>
    <row r="188" spans="1:27" s="138" customFormat="1" ht="15" x14ac:dyDescent="0.25">
      <c r="A188" s="138" t="str">
        <f>A187</f>
        <v>• service 16</v>
      </c>
      <c r="B188" s="138">
        <f>B187</f>
        <v>0</v>
      </c>
      <c r="D188" s="138" t="s">
        <v>97</v>
      </c>
      <c r="E188" s="139"/>
      <c r="F188" s="139"/>
      <c r="G188" s="139"/>
      <c r="H188" s="299"/>
      <c r="I188" s="139"/>
      <c r="J188" s="139"/>
      <c r="K188" s="139"/>
      <c r="P188" s="139">
        <f>SUBTOTAL(9,P187)</f>
        <v>0</v>
      </c>
      <c r="Q188" s="139">
        <f>SUBTOTAL(9,Q187)</f>
        <v>0</v>
      </c>
      <c r="R188" s="140">
        <f>SUBTOTAL(9,R187)</f>
        <v>0</v>
      </c>
      <c r="T188" s="138">
        <f>SUBTOTAL(9,T187)</f>
        <v>0</v>
      </c>
      <c r="U188" s="138">
        <f>SUBTOTAL(9,U187)</f>
        <v>0</v>
      </c>
      <c r="V188" s="138">
        <f>SUBTOTAL(9,V187)</f>
        <v>0</v>
      </c>
      <c r="X188" s="138">
        <f>SUBTOTAL(9,X187)</f>
        <v>0</v>
      </c>
      <c r="Y188" s="138">
        <f>SUBTOTAL(9,Y187)</f>
        <v>0</v>
      </c>
      <c r="Z188" s="138">
        <f>SUBTOTAL(9,Z187)</f>
        <v>0</v>
      </c>
      <c r="AA188" s="138">
        <f>SUBTOTAL(9,AA187)</f>
        <v>0</v>
      </c>
    </row>
    <row r="189" spans="1:27" outlineLevel="1" x14ac:dyDescent="0.2">
      <c r="A189" t="str">
        <f>'Partie 3 • M.implantation'!C15</f>
        <v>• service 17</v>
      </c>
      <c r="B189" s="126"/>
      <c r="C189" s="37" t="s">
        <v>353</v>
      </c>
      <c r="D189" s="285" t="str">
        <f>VLOOKUP($C189,'Typologie détaillée'!$E$4:$H$214,3,0)</f>
        <v>Ne pas utiliser</v>
      </c>
      <c r="E189" s="286">
        <f>VLOOKUP($C189,'Typologie détaillée'!$E$4:$H$214,4,0)</f>
        <v>0</v>
      </c>
      <c r="F189" s="125"/>
      <c r="G189" s="125"/>
      <c r="H189" s="302"/>
      <c r="I189" s="125"/>
      <c r="J189" s="125"/>
      <c r="K189" s="125"/>
      <c r="P189" s="129">
        <f t="shared" ref="P189:R192" si="71">$G189*I189</f>
        <v>0</v>
      </c>
      <c r="Q189" s="129">
        <f t="shared" si="71"/>
        <v>0</v>
      </c>
      <c r="R189" s="106">
        <f t="shared" si="71"/>
        <v>0</v>
      </c>
      <c r="T189" s="106" t="str">
        <f t="shared" ref="T189:V192" si="72">IF($E189=T$4,$R189,"")</f>
        <v/>
      </c>
      <c r="U189" s="106" t="str">
        <f t="shared" si="72"/>
        <v/>
      </c>
      <c r="V189" s="106" t="str">
        <f t="shared" si="72"/>
        <v/>
      </c>
      <c r="X189" s="106" t="str">
        <f t="shared" ref="X189:AA192" si="73">IF($F189=X$4,$R189,"")</f>
        <v/>
      </c>
      <c r="Y189" s="106" t="str">
        <f t="shared" si="73"/>
        <v/>
      </c>
      <c r="Z189" s="106" t="str">
        <f t="shared" si="73"/>
        <v/>
      </c>
      <c r="AA189" s="106" t="str">
        <f t="shared" si="73"/>
        <v/>
      </c>
    </row>
    <row r="190" spans="1:27" outlineLevel="1" x14ac:dyDescent="0.2">
      <c r="C190" s="37" t="s">
        <v>353</v>
      </c>
      <c r="D190" s="285" t="str">
        <f>VLOOKUP($C190,'Typologie détaillée'!$E$4:$H$214,3,0)</f>
        <v>Ne pas utiliser</v>
      </c>
      <c r="E190" s="286">
        <f>VLOOKUP($C190,'Typologie détaillée'!$E$4:$H$214,4,0)</f>
        <v>0</v>
      </c>
      <c r="F190" s="90"/>
      <c r="G190" s="90"/>
      <c r="H190" s="301"/>
      <c r="I190" s="90"/>
      <c r="J190" s="90"/>
      <c r="K190" s="90"/>
      <c r="P190" s="129">
        <f t="shared" si="71"/>
        <v>0</v>
      </c>
      <c r="Q190" s="129">
        <f t="shared" si="71"/>
        <v>0</v>
      </c>
      <c r="R190" s="106">
        <f t="shared" si="71"/>
        <v>0</v>
      </c>
      <c r="T190" s="106" t="str">
        <f t="shared" si="72"/>
        <v/>
      </c>
      <c r="U190" s="106" t="str">
        <f t="shared" si="72"/>
        <v/>
      </c>
      <c r="V190" s="106" t="str">
        <f t="shared" si="72"/>
        <v/>
      </c>
      <c r="X190" s="106" t="str">
        <f t="shared" si="73"/>
        <v/>
      </c>
      <c r="Y190" s="106" t="str">
        <f t="shared" si="73"/>
        <v/>
      </c>
      <c r="Z190" s="106" t="str">
        <f t="shared" si="73"/>
        <v/>
      </c>
      <c r="AA190" s="106" t="str">
        <f t="shared" si="73"/>
        <v/>
      </c>
    </row>
    <row r="191" spans="1:27" outlineLevel="1" x14ac:dyDescent="0.2">
      <c r="C191" s="37" t="s">
        <v>353</v>
      </c>
      <c r="D191" s="285" t="str">
        <f>VLOOKUP($C191,'Typologie détaillée'!$E$4:$H$214,3,0)</f>
        <v>Ne pas utiliser</v>
      </c>
      <c r="E191" s="286">
        <f>VLOOKUP($C191,'Typologie détaillée'!$E$4:$H$214,4,0)</f>
        <v>0</v>
      </c>
      <c r="F191" s="90"/>
      <c r="G191" s="90"/>
      <c r="H191" s="301"/>
      <c r="I191" s="90"/>
      <c r="J191" s="90"/>
      <c r="K191" s="90"/>
      <c r="P191" s="129">
        <f t="shared" si="71"/>
        <v>0</v>
      </c>
      <c r="Q191" s="129">
        <f t="shared" si="71"/>
        <v>0</v>
      </c>
      <c r="R191" s="106">
        <f t="shared" si="71"/>
        <v>0</v>
      </c>
      <c r="T191" s="106" t="str">
        <f t="shared" si="72"/>
        <v/>
      </c>
      <c r="U191" s="106" t="str">
        <f t="shared" si="72"/>
        <v/>
      </c>
      <c r="V191" s="106" t="str">
        <f t="shared" si="72"/>
        <v/>
      </c>
      <c r="X191" s="106" t="str">
        <f t="shared" si="73"/>
        <v/>
      </c>
      <c r="Y191" s="106" t="str">
        <f t="shared" si="73"/>
        <v/>
      </c>
      <c r="Z191" s="106" t="str">
        <f t="shared" si="73"/>
        <v/>
      </c>
      <c r="AA191" s="106" t="str">
        <f t="shared" si="73"/>
        <v/>
      </c>
    </row>
    <row r="192" spans="1:27" outlineLevel="1" x14ac:dyDescent="0.2">
      <c r="C192" s="37" t="s">
        <v>353</v>
      </c>
      <c r="D192" s="285" t="str">
        <f>VLOOKUP($C192,'Typologie détaillée'!$E$4:$H$214,3,0)</f>
        <v>Ne pas utiliser</v>
      </c>
      <c r="E192" s="286">
        <f>VLOOKUP($C192,'Typologie détaillée'!$E$4:$H$214,4,0)</f>
        <v>0</v>
      </c>
      <c r="F192" s="90"/>
      <c r="G192" s="90"/>
      <c r="H192" s="301"/>
      <c r="I192" s="90"/>
      <c r="J192" s="90"/>
      <c r="K192" s="90"/>
      <c r="P192" s="129">
        <f t="shared" si="71"/>
        <v>0</v>
      </c>
      <c r="Q192" s="129">
        <f t="shared" si="71"/>
        <v>0</v>
      </c>
      <c r="R192" s="106">
        <f t="shared" si="71"/>
        <v>0</v>
      </c>
      <c r="T192" s="106" t="str">
        <f t="shared" si="72"/>
        <v/>
      </c>
      <c r="U192" s="106" t="str">
        <f t="shared" si="72"/>
        <v/>
      </c>
      <c r="V192" s="106" t="str">
        <f t="shared" si="72"/>
        <v/>
      </c>
      <c r="X192" s="106" t="str">
        <f t="shared" si="73"/>
        <v/>
      </c>
      <c r="Y192" s="106" t="str">
        <f t="shared" si="73"/>
        <v/>
      </c>
      <c r="Z192" s="106" t="str">
        <f t="shared" si="73"/>
        <v/>
      </c>
      <c r="AA192" s="106" t="str">
        <f t="shared" si="73"/>
        <v/>
      </c>
    </row>
    <row r="193" spans="1:27" s="138" customFormat="1" x14ac:dyDescent="0.2">
      <c r="A193" s="138" t="str">
        <f>A189</f>
        <v>• service 17</v>
      </c>
      <c r="B193" s="138">
        <f>B189</f>
        <v>0</v>
      </c>
      <c r="D193" s="138" t="s">
        <v>97</v>
      </c>
      <c r="E193" s="139"/>
      <c r="F193" s="139"/>
      <c r="G193" s="139"/>
      <c r="H193" s="299"/>
      <c r="I193" s="139"/>
      <c r="J193" s="139"/>
      <c r="K193" s="139"/>
      <c r="P193" s="139">
        <f>SUBTOTAL(9,P189:P192)</f>
        <v>0</v>
      </c>
      <c r="Q193" s="139">
        <f>SUBTOTAL(9,Q189:Q192)</f>
        <v>0</v>
      </c>
      <c r="R193" s="138">
        <f>SUBTOTAL(9,R189:R192)</f>
        <v>0</v>
      </c>
      <c r="T193" s="138">
        <f>SUBTOTAL(9,T189:T192)</f>
        <v>0</v>
      </c>
      <c r="U193" s="138">
        <f>SUBTOTAL(9,U189:U192)</f>
        <v>0</v>
      </c>
      <c r="V193" s="138">
        <f>SUBTOTAL(9,V189:V192)</f>
        <v>0</v>
      </c>
      <c r="X193" s="138">
        <f>SUBTOTAL(9,X189:X192)</f>
        <v>0</v>
      </c>
      <c r="Y193" s="138">
        <f>SUBTOTAL(9,Y189:Y192)</f>
        <v>0</v>
      </c>
      <c r="Z193" s="138">
        <f>SUBTOTAL(9,Z189:Z192)</f>
        <v>0</v>
      </c>
      <c r="AA193" s="138">
        <f>SUBTOTAL(9,AA189:AA192)</f>
        <v>0</v>
      </c>
    </row>
    <row r="194" spans="1:27" outlineLevel="1" x14ac:dyDescent="0.2">
      <c r="A194" t="str">
        <f>'Partie 3 • M.implantation'!C16</f>
        <v>• service 18</v>
      </c>
      <c r="B194" s="126"/>
      <c r="C194" s="37" t="s">
        <v>353</v>
      </c>
      <c r="D194" s="285" t="str">
        <f>VLOOKUP($C194,'Typologie détaillée'!$E$4:$H$214,3,0)</f>
        <v>Ne pas utiliser</v>
      </c>
      <c r="E194" s="286">
        <f>VLOOKUP($C194,'Typologie détaillée'!$E$4:$H$214,4,0)</f>
        <v>0</v>
      </c>
      <c r="F194" s="125"/>
      <c r="G194" s="125"/>
      <c r="H194" s="302"/>
      <c r="I194" s="125"/>
      <c r="J194" s="125"/>
      <c r="K194" s="125"/>
      <c r="P194" s="129">
        <f t="shared" ref="P194:R198" si="74">$G194*I194</f>
        <v>0</v>
      </c>
      <c r="Q194" s="129">
        <f t="shared" si="74"/>
        <v>0</v>
      </c>
      <c r="R194" s="106">
        <f t="shared" si="74"/>
        <v>0</v>
      </c>
      <c r="T194" s="106" t="str">
        <f t="shared" ref="T194:V198" si="75">IF($E194=T$4,$R194,"")</f>
        <v/>
      </c>
      <c r="U194" s="106" t="str">
        <f t="shared" si="75"/>
        <v/>
      </c>
      <c r="V194" s="106" t="str">
        <f t="shared" si="75"/>
        <v/>
      </c>
      <c r="X194" s="106" t="str">
        <f t="shared" ref="X194:AA198" si="76">IF($F194=X$4,$R194,"")</f>
        <v/>
      </c>
      <c r="Y194" s="106" t="str">
        <f t="shared" si="76"/>
        <v/>
      </c>
      <c r="Z194" s="106" t="str">
        <f t="shared" si="76"/>
        <v/>
      </c>
      <c r="AA194" s="106" t="str">
        <f t="shared" si="76"/>
        <v/>
      </c>
    </row>
    <row r="195" spans="1:27" outlineLevel="1" x14ac:dyDescent="0.2">
      <c r="C195" s="37" t="s">
        <v>353</v>
      </c>
      <c r="D195" s="285" t="str">
        <f>VLOOKUP($C195,'Typologie détaillée'!$E$4:$H$214,3,0)</f>
        <v>Ne pas utiliser</v>
      </c>
      <c r="E195" s="286">
        <f>VLOOKUP($C195,'Typologie détaillée'!$E$4:$H$214,4,0)</f>
        <v>0</v>
      </c>
      <c r="F195" s="90"/>
      <c r="G195" s="90"/>
      <c r="H195" s="301"/>
      <c r="I195" s="90"/>
      <c r="J195" s="90"/>
      <c r="K195" s="90"/>
      <c r="P195" s="129">
        <f t="shared" si="74"/>
        <v>0</v>
      </c>
      <c r="Q195" s="129">
        <f t="shared" si="74"/>
        <v>0</v>
      </c>
      <c r="R195" s="106">
        <f t="shared" si="74"/>
        <v>0</v>
      </c>
      <c r="T195" s="106" t="str">
        <f t="shared" si="75"/>
        <v/>
      </c>
      <c r="U195" s="106" t="str">
        <f t="shared" si="75"/>
        <v/>
      </c>
      <c r="V195" s="106" t="str">
        <f t="shared" si="75"/>
        <v/>
      </c>
      <c r="X195" s="106" t="str">
        <f t="shared" si="76"/>
        <v/>
      </c>
      <c r="Y195" s="106" t="str">
        <f t="shared" si="76"/>
        <v/>
      </c>
      <c r="Z195" s="106" t="str">
        <f t="shared" si="76"/>
        <v/>
      </c>
      <c r="AA195" s="106" t="str">
        <f t="shared" si="76"/>
        <v/>
      </c>
    </row>
    <row r="196" spans="1:27" outlineLevel="1" x14ac:dyDescent="0.2">
      <c r="C196" s="37" t="s">
        <v>353</v>
      </c>
      <c r="D196" s="285" t="str">
        <f>VLOOKUP($C196,'Typologie détaillée'!$E$4:$H$214,3,0)</f>
        <v>Ne pas utiliser</v>
      </c>
      <c r="E196" s="286">
        <f>VLOOKUP($C196,'Typologie détaillée'!$E$4:$H$214,4,0)</f>
        <v>0</v>
      </c>
      <c r="F196" s="90"/>
      <c r="G196" s="90"/>
      <c r="H196" s="301"/>
      <c r="I196" s="90"/>
      <c r="J196" s="90"/>
      <c r="K196" s="90"/>
      <c r="P196" s="129">
        <f t="shared" si="74"/>
        <v>0</v>
      </c>
      <c r="Q196" s="129">
        <f t="shared" si="74"/>
        <v>0</v>
      </c>
      <c r="R196" s="106">
        <f t="shared" si="74"/>
        <v>0</v>
      </c>
      <c r="T196" s="106" t="str">
        <f t="shared" si="75"/>
        <v/>
      </c>
      <c r="U196" s="106" t="str">
        <f t="shared" si="75"/>
        <v/>
      </c>
      <c r="V196" s="106" t="str">
        <f t="shared" si="75"/>
        <v/>
      </c>
      <c r="X196" s="106" t="str">
        <f t="shared" si="76"/>
        <v/>
      </c>
      <c r="Y196" s="106" t="str">
        <f t="shared" si="76"/>
        <v/>
      </c>
      <c r="Z196" s="106" t="str">
        <f t="shared" si="76"/>
        <v/>
      </c>
      <c r="AA196" s="106" t="str">
        <f t="shared" si="76"/>
        <v/>
      </c>
    </row>
    <row r="197" spans="1:27" outlineLevel="1" x14ac:dyDescent="0.2">
      <c r="C197" s="37" t="s">
        <v>353</v>
      </c>
      <c r="D197" s="285" t="str">
        <f>VLOOKUP($C197,'Typologie détaillée'!$E$4:$H$214,3,0)</f>
        <v>Ne pas utiliser</v>
      </c>
      <c r="E197" s="286">
        <f>VLOOKUP($C197,'Typologie détaillée'!$E$4:$H$214,4,0)</f>
        <v>0</v>
      </c>
      <c r="F197" s="90"/>
      <c r="G197" s="90"/>
      <c r="H197" s="301"/>
      <c r="I197" s="90"/>
      <c r="J197" s="90"/>
      <c r="K197" s="90"/>
      <c r="P197" s="129">
        <f t="shared" si="74"/>
        <v>0</v>
      </c>
      <c r="Q197" s="129">
        <f t="shared" si="74"/>
        <v>0</v>
      </c>
      <c r="R197" s="106">
        <f t="shared" si="74"/>
        <v>0</v>
      </c>
      <c r="T197" s="106" t="str">
        <f t="shared" si="75"/>
        <v/>
      </c>
      <c r="U197" s="106" t="str">
        <f t="shared" si="75"/>
        <v/>
      </c>
      <c r="V197" s="106" t="str">
        <f t="shared" si="75"/>
        <v/>
      </c>
      <c r="X197" s="106" t="str">
        <f t="shared" si="76"/>
        <v/>
      </c>
      <c r="Y197" s="106" t="str">
        <f t="shared" si="76"/>
        <v/>
      </c>
      <c r="Z197" s="106" t="str">
        <f t="shared" si="76"/>
        <v/>
      </c>
      <c r="AA197" s="106" t="str">
        <f t="shared" si="76"/>
        <v/>
      </c>
    </row>
    <row r="198" spans="1:27" outlineLevel="1" x14ac:dyDescent="0.2">
      <c r="C198" s="37" t="s">
        <v>353</v>
      </c>
      <c r="D198" s="285" t="str">
        <f>VLOOKUP($C198,'Typologie détaillée'!$E$4:$H$214,3,0)</f>
        <v>Ne pas utiliser</v>
      </c>
      <c r="E198" s="286">
        <f>VLOOKUP($C198,'Typologie détaillée'!$E$4:$H$214,4,0)</f>
        <v>0</v>
      </c>
      <c r="F198" s="90"/>
      <c r="G198" s="90"/>
      <c r="H198" s="301"/>
      <c r="I198" s="90"/>
      <c r="J198" s="90"/>
      <c r="K198" s="90"/>
      <c r="P198" s="129">
        <f t="shared" si="74"/>
        <v>0</v>
      </c>
      <c r="Q198" s="129">
        <f t="shared" si="74"/>
        <v>0</v>
      </c>
      <c r="R198" s="106">
        <f t="shared" si="74"/>
        <v>0</v>
      </c>
      <c r="T198" s="106" t="str">
        <f t="shared" si="75"/>
        <v/>
      </c>
      <c r="U198" s="106" t="str">
        <f t="shared" si="75"/>
        <v/>
      </c>
      <c r="V198" s="106" t="str">
        <f t="shared" si="75"/>
        <v/>
      </c>
      <c r="X198" s="106" t="str">
        <f t="shared" si="76"/>
        <v/>
      </c>
      <c r="Y198" s="106" t="str">
        <f t="shared" si="76"/>
        <v/>
      </c>
      <c r="Z198" s="106" t="str">
        <f t="shared" si="76"/>
        <v/>
      </c>
      <c r="AA198" s="106" t="str">
        <f t="shared" si="76"/>
        <v/>
      </c>
    </row>
    <row r="199" spans="1:27" s="138" customFormat="1" x14ac:dyDescent="0.2">
      <c r="A199" s="138" t="str">
        <f>A194</f>
        <v>• service 18</v>
      </c>
      <c r="B199" s="138">
        <f>B194</f>
        <v>0</v>
      </c>
      <c r="D199" s="138" t="s">
        <v>97</v>
      </c>
      <c r="E199" s="139"/>
      <c r="F199" s="139"/>
      <c r="G199" s="139"/>
      <c r="H199" s="299"/>
      <c r="I199" s="139"/>
      <c r="J199" s="139"/>
      <c r="K199" s="139"/>
      <c r="P199" s="139">
        <f>SUBTOTAL(9,P194:P198)</f>
        <v>0</v>
      </c>
      <c r="Q199" s="139">
        <f>SUBTOTAL(9,Q194:Q198)</f>
        <v>0</v>
      </c>
      <c r="R199" s="138">
        <f>SUBTOTAL(9,R194:R198)</f>
        <v>0</v>
      </c>
      <c r="T199" s="138">
        <f>SUBTOTAL(9,T194:T198)</f>
        <v>0</v>
      </c>
      <c r="U199" s="138">
        <f>SUBTOTAL(9,U194:U198)</f>
        <v>0</v>
      </c>
      <c r="V199" s="138">
        <f>SUBTOTAL(9,V194:V198)</f>
        <v>0</v>
      </c>
      <c r="X199" s="138">
        <f>SUBTOTAL(9,X194:X198)</f>
        <v>0</v>
      </c>
      <c r="Y199" s="138">
        <f>SUBTOTAL(9,Y194:Y198)</f>
        <v>0</v>
      </c>
      <c r="Z199" s="138">
        <f>SUBTOTAL(9,Z194:Z198)</f>
        <v>0</v>
      </c>
      <c r="AA199" s="138">
        <f>SUBTOTAL(9,AA194:AA198)</f>
        <v>0</v>
      </c>
    </row>
    <row r="200" spans="1:27" outlineLevel="1" x14ac:dyDescent="0.2">
      <c r="A200" t="str">
        <f>'Partie 3 • M.implantation'!C17</f>
        <v>• service 19</v>
      </c>
      <c r="C200" s="37" t="s">
        <v>353</v>
      </c>
      <c r="D200" s="285" t="str">
        <f>VLOOKUP($C200,'Typologie détaillée'!$E$4:$H$214,3,0)</f>
        <v>Ne pas utiliser</v>
      </c>
      <c r="E200" s="286">
        <f>VLOOKUP($C200,'Typologie détaillée'!$E$4:$H$214,4,0)</f>
        <v>0</v>
      </c>
      <c r="F200" s="125"/>
      <c r="G200" s="125"/>
      <c r="H200" s="302"/>
      <c r="I200" s="125"/>
      <c r="J200" s="125"/>
      <c r="K200" s="125"/>
      <c r="P200" s="129">
        <f>$G200*I200</f>
        <v>0</v>
      </c>
      <c r="Q200" s="129">
        <f>$G200*J200</f>
        <v>0</v>
      </c>
      <c r="R200" s="106">
        <f>$G200*K200</f>
        <v>0</v>
      </c>
      <c r="T200" s="106" t="str">
        <f>IF($E200=T$4,$R200,"")</f>
        <v/>
      </c>
      <c r="U200" s="106" t="str">
        <f>IF($E200=U$4,$R200,"")</f>
        <v/>
      </c>
      <c r="V200" s="106" t="str">
        <f>IF($E200=V$4,$R200,"")</f>
        <v/>
      </c>
      <c r="X200" s="106" t="str">
        <f>IF($F200=X$4,$R200,"")</f>
        <v/>
      </c>
      <c r="Y200" s="106" t="str">
        <f>IF($F200=Y$4,$R200,"")</f>
        <v/>
      </c>
      <c r="Z200" s="106" t="str">
        <f>IF($F200=Z$4,$R200,"")</f>
        <v/>
      </c>
      <c r="AA200" s="106" t="str">
        <f>IF($F200=AA$4,$R200,"")</f>
        <v/>
      </c>
    </row>
    <row r="201" spans="1:27" s="138" customFormat="1" x14ac:dyDescent="0.2">
      <c r="A201" s="138" t="str">
        <f>A200</f>
        <v>• service 19</v>
      </c>
      <c r="B201" s="138">
        <f>B200</f>
        <v>0</v>
      </c>
      <c r="D201" s="138" t="s">
        <v>97</v>
      </c>
      <c r="E201" s="139"/>
      <c r="F201" s="139"/>
      <c r="G201" s="139"/>
      <c r="H201" s="299"/>
      <c r="I201" s="139"/>
      <c r="J201" s="139"/>
      <c r="K201" s="139"/>
      <c r="P201" s="139">
        <f>SUBTOTAL(9,P200:P200)</f>
        <v>0</v>
      </c>
      <c r="Q201" s="139">
        <f>SUBTOTAL(9,Q200:Q200)</f>
        <v>0</v>
      </c>
      <c r="R201" s="138">
        <f>SUBTOTAL(9,R200:R200)</f>
        <v>0</v>
      </c>
      <c r="T201" s="138">
        <f>SUBTOTAL(9,T200:T200)</f>
        <v>0</v>
      </c>
      <c r="U201" s="138">
        <f>SUBTOTAL(9,U200:U200)</f>
        <v>0</v>
      </c>
      <c r="V201" s="138">
        <f>SUBTOTAL(9,V200:V200)</f>
        <v>0</v>
      </c>
      <c r="X201" s="138">
        <f>SUBTOTAL(9,X200:X200)</f>
        <v>0</v>
      </c>
      <c r="Y201" s="138">
        <f>SUBTOTAL(9,Y200:Y200)</f>
        <v>0</v>
      </c>
      <c r="Z201" s="138">
        <f>SUBTOTAL(9,Z200:Z200)</f>
        <v>0</v>
      </c>
      <c r="AA201" s="138">
        <f>SUBTOTAL(9,AA200:AA200)</f>
        <v>0</v>
      </c>
    </row>
    <row r="202" spans="1:27" outlineLevel="1" x14ac:dyDescent="0.2">
      <c r="A202" t="str">
        <f>'Partie 3 • M.implantation'!C18</f>
        <v>• service 20</v>
      </c>
      <c r="C202" s="37" t="s">
        <v>353</v>
      </c>
      <c r="D202" s="285" t="str">
        <f>VLOOKUP($C202,'Typologie détaillée'!$E$4:$H$214,3,0)</f>
        <v>Ne pas utiliser</v>
      </c>
      <c r="E202" s="286">
        <f>VLOOKUP($C202,'Typologie détaillée'!$E$4:$H$214,4,0)</f>
        <v>0</v>
      </c>
      <c r="F202" s="125"/>
      <c r="G202" s="125"/>
      <c r="H202" s="302"/>
      <c r="I202" s="125"/>
      <c r="J202" s="125"/>
      <c r="K202" s="125"/>
      <c r="P202" s="129">
        <f t="shared" ref="P202:R203" si="77">$G202*I202</f>
        <v>0</v>
      </c>
      <c r="Q202" s="129">
        <f t="shared" si="77"/>
        <v>0</v>
      </c>
      <c r="R202" s="106">
        <f t="shared" si="77"/>
        <v>0</v>
      </c>
      <c r="T202" s="106" t="str">
        <f t="shared" ref="T202:V203" si="78">IF($E202=T$4,$R202,"")</f>
        <v/>
      </c>
      <c r="U202" s="106" t="str">
        <f t="shared" si="78"/>
        <v/>
      </c>
      <c r="V202" s="106" t="str">
        <f t="shared" si="78"/>
        <v/>
      </c>
      <c r="X202" s="106" t="str">
        <f t="shared" ref="X202:AA203" si="79">IF($F202=X$4,$R202,"")</f>
        <v/>
      </c>
      <c r="Y202" s="106" t="str">
        <f t="shared" si="79"/>
        <v/>
      </c>
      <c r="Z202" s="106" t="str">
        <f t="shared" si="79"/>
        <v/>
      </c>
      <c r="AA202" s="106" t="str">
        <f t="shared" si="79"/>
        <v/>
      </c>
    </row>
    <row r="203" spans="1:27" outlineLevel="1" x14ac:dyDescent="0.2">
      <c r="C203" s="37" t="s">
        <v>353</v>
      </c>
      <c r="D203" s="285" t="str">
        <f>VLOOKUP($C203,'Typologie détaillée'!$E$4:$H$214,3,0)</f>
        <v>Ne pas utiliser</v>
      </c>
      <c r="E203" s="286">
        <f>VLOOKUP($C203,'Typologie détaillée'!$E$4:$H$214,4,0)</f>
        <v>0</v>
      </c>
      <c r="F203" s="90"/>
      <c r="G203" s="90"/>
      <c r="H203" s="301"/>
      <c r="I203" s="90"/>
      <c r="J203" s="90"/>
      <c r="K203" s="90"/>
      <c r="P203" s="129">
        <f t="shared" si="77"/>
        <v>0</v>
      </c>
      <c r="Q203" s="129">
        <f t="shared" si="77"/>
        <v>0</v>
      </c>
      <c r="R203" s="106">
        <f t="shared" si="77"/>
        <v>0</v>
      </c>
      <c r="T203" s="106" t="str">
        <f t="shared" si="78"/>
        <v/>
      </c>
      <c r="U203" s="106" t="str">
        <f t="shared" si="78"/>
        <v/>
      </c>
      <c r="V203" s="106" t="str">
        <f t="shared" si="78"/>
        <v/>
      </c>
      <c r="X203" s="106" t="str">
        <f t="shared" si="79"/>
        <v/>
      </c>
      <c r="Y203" s="106" t="str">
        <f t="shared" si="79"/>
        <v/>
      </c>
      <c r="Z203" s="106" t="str">
        <f t="shared" si="79"/>
        <v/>
      </c>
      <c r="AA203" s="106" t="str">
        <f t="shared" si="79"/>
        <v/>
      </c>
    </row>
    <row r="204" spans="1:27" s="138" customFormat="1" x14ac:dyDescent="0.2">
      <c r="A204" s="138" t="str">
        <f>A202</f>
        <v>• service 20</v>
      </c>
      <c r="B204" s="138">
        <f>B202</f>
        <v>0</v>
      </c>
      <c r="D204" s="138" t="s">
        <v>97</v>
      </c>
      <c r="E204" s="139"/>
      <c r="F204" s="139"/>
      <c r="G204" s="139"/>
      <c r="H204" s="299"/>
      <c r="I204" s="139"/>
      <c r="J204" s="139"/>
      <c r="K204" s="139"/>
      <c r="P204" s="139">
        <f>SUBTOTAL(9,P202:P203)</f>
        <v>0</v>
      </c>
      <c r="Q204" s="139">
        <f>SUBTOTAL(9,Q202:Q203)</f>
        <v>0</v>
      </c>
      <c r="R204" s="138">
        <f>SUBTOTAL(9,R202:R203)</f>
        <v>0</v>
      </c>
      <c r="T204" s="138">
        <f>SUBTOTAL(9,T202:T203)</f>
        <v>0</v>
      </c>
      <c r="U204" s="138">
        <f>SUBTOTAL(9,U202:U203)</f>
        <v>0</v>
      </c>
      <c r="V204" s="138">
        <f>SUBTOTAL(9,V202:V203)</f>
        <v>0</v>
      </c>
      <c r="X204" s="138">
        <f>SUBTOTAL(9,X202:X203)</f>
        <v>0</v>
      </c>
      <c r="Y204" s="138">
        <f>SUBTOTAL(9,Y202:Y203)</f>
        <v>0</v>
      </c>
      <c r="Z204" s="138">
        <f>SUBTOTAL(9,Z202:Z203)</f>
        <v>0</v>
      </c>
      <c r="AA204" s="138">
        <f>SUBTOTAL(9,AA202:AA203)</f>
        <v>0</v>
      </c>
    </row>
    <row r="205" spans="1:27" outlineLevel="1" x14ac:dyDescent="0.2">
      <c r="A205" t="e">
        <f>'Partie 3 • M.implantation'!C19</f>
        <v>#REF!</v>
      </c>
      <c r="C205" s="37" t="s">
        <v>353</v>
      </c>
      <c r="D205" s="285" t="str">
        <f>VLOOKUP($C205,'Typologie détaillée'!$E$4:$H$214,3,0)</f>
        <v>Ne pas utiliser</v>
      </c>
      <c r="E205" s="286">
        <f>VLOOKUP($C205,'Typologie détaillée'!$E$4:$H$214,4,0)</f>
        <v>0</v>
      </c>
      <c r="F205" s="125"/>
      <c r="G205" s="125"/>
      <c r="H205" s="302"/>
      <c r="I205" s="125"/>
      <c r="J205" s="125"/>
      <c r="K205" s="125"/>
      <c r="P205" s="129">
        <f t="shared" ref="P205:R206" si="80">$G205*I205</f>
        <v>0</v>
      </c>
      <c r="Q205" s="129">
        <f t="shared" si="80"/>
        <v>0</v>
      </c>
      <c r="R205" s="106">
        <f t="shared" si="80"/>
        <v>0</v>
      </c>
      <c r="T205" s="106" t="str">
        <f t="shared" ref="T205:V206" si="81">IF($E205=T$4,$R205,"")</f>
        <v/>
      </c>
      <c r="U205" s="106" t="str">
        <f t="shared" si="81"/>
        <v/>
      </c>
      <c r="V205" s="106" t="str">
        <f t="shared" si="81"/>
        <v/>
      </c>
      <c r="X205" s="106" t="str">
        <f t="shared" ref="X205:AA206" si="82">IF($F205=X$4,$R205,"")</f>
        <v/>
      </c>
      <c r="Y205" s="106" t="str">
        <f t="shared" si="82"/>
        <v/>
      </c>
      <c r="Z205" s="106" t="str">
        <f t="shared" si="82"/>
        <v/>
      </c>
      <c r="AA205" s="106" t="str">
        <f t="shared" si="82"/>
        <v/>
      </c>
    </row>
    <row r="206" spans="1:27" outlineLevel="1" x14ac:dyDescent="0.2">
      <c r="C206" s="37" t="s">
        <v>353</v>
      </c>
      <c r="D206" s="285" t="str">
        <f>VLOOKUP($C206,'Typologie détaillée'!$E$4:$H$214,3,0)</f>
        <v>Ne pas utiliser</v>
      </c>
      <c r="E206" s="286">
        <f>VLOOKUP($C206,'Typologie détaillée'!$E$4:$H$214,4,0)</f>
        <v>0</v>
      </c>
      <c r="F206" s="90"/>
      <c r="G206" s="90"/>
      <c r="H206" s="301"/>
      <c r="I206" s="90"/>
      <c r="J206" s="90"/>
      <c r="K206" s="90"/>
      <c r="P206" s="129">
        <f t="shared" si="80"/>
        <v>0</v>
      </c>
      <c r="Q206" s="129">
        <f t="shared" si="80"/>
        <v>0</v>
      </c>
      <c r="R206" s="106">
        <f t="shared" si="80"/>
        <v>0</v>
      </c>
      <c r="T206" s="106" t="str">
        <f t="shared" si="81"/>
        <v/>
      </c>
      <c r="U206" s="106" t="str">
        <f t="shared" si="81"/>
        <v/>
      </c>
      <c r="V206" s="106" t="str">
        <f t="shared" si="81"/>
        <v/>
      </c>
      <c r="X206" s="106" t="str">
        <f t="shared" si="82"/>
        <v/>
      </c>
      <c r="Y206" s="106" t="str">
        <f t="shared" si="82"/>
        <v/>
      </c>
      <c r="Z206" s="106" t="str">
        <f t="shared" si="82"/>
        <v/>
      </c>
      <c r="AA206" s="106" t="str">
        <f t="shared" si="82"/>
        <v/>
      </c>
    </row>
    <row r="207" spans="1:27" s="138" customFormat="1" ht="15" x14ac:dyDescent="0.25">
      <c r="A207" s="138" t="e">
        <f>A205</f>
        <v>#REF!</v>
      </c>
      <c r="B207" s="138">
        <f>B205</f>
        <v>0</v>
      </c>
      <c r="D207" s="138" t="s">
        <v>97</v>
      </c>
      <c r="E207" s="139"/>
      <c r="F207" s="139"/>
      <c r="G207" s="139"/>
      <c r="H207" s="299"/>
      <c r="I207" s="139"/>
      <c r="J207" s="139"/>
      <c r="K207" s="139"/>
      <c r="P207" s="139">
        <f>SUBTOTAL(9,P205:P206)</f>
        <v>0</v>
      </c>
      <c r="Q207" s="139">
        <f>SUBTOTAL(9,Q205:Q206)</f>
        <v>0</v>
      </c>
      <c r="R207" s="141">
        <f>SUBTOTAL(9,R205:R206)</f>
        <v>0</v>
      </c>
      <c r="T207" s="138">
        <f>SUBTOTAL(9,T205:T206)</f>
        <v>0</v>
      </c>
      <c r="U207" s="138">
        <f>SUBTOTAL(9,U205:U206)</f>
        <v>0</v>
      </c>
      <c r="V207" s="138">
        <f>SUBTOTAL(9,V205:V206)</f>
        <v>0</v>
      </c>
      <c r="X207" s="138">
        <f>SUBTOTAL(9,X205:X206)</f>
        <v>0</v>
      </c>
      <c r="Y207" s="138">
        <f>SUBTOTAL(9,Y205:Y206)</f>
        <v>0</v>
      </c>
      <c r="Z207" s="138">
        <f>SUBTOTAL(9,Z205:Z206)</f>
        <v>0</v>
      </c>
      <c r="AA207" s="138">
        <f>SUBTOTAL(9,AA205:AA206)</f>
        <v>0</v>
      </c>
    </row>
    <row r="208" spans="1:27" outlineLevel="1" x14ac:dyDescent="0.2">
      <c r="A208" t="e">
        <f>'Partie 3 • M.implantation'!C20</f>
        <v>#REF!</v>
      </c>
      <c r="B208" s="126"/>
      <c r="C208" s="37" t="s">
        <v>353</v>
      </c>
      <c r="D208" s="285" t="str">
        <f>VLOOKUP($C208,'Typologie détaillée'!$E$4:$H$214,3,0)</f>
        <v>Ne pas utiliser</v>
      </c>
      <c r="E208" s="286">
        <f>VLOOKUP($C208,'Typologie détaillée'!$E$4:$H$214,4,0)</f>
        <v>0</v>
      </c>
      <c r="F208" s="125"/>
      <c r="G208" s="125"/>
      <c r="H208" s="302"/>
      <c r="I208" s="125"/>
      <c r="J208" s="125"/>
      <c r="K208" s="125"/>
      <c r="P208" s="129">
        <f t="shared" ref="P208:R224" si="83">$G208*I208</f>
        <v>0</v>
      </c>
      <c r="Q208" s="129">
        <f t="shared" si="83"/>
        <v>0</v>
      </c>
      <c r="R208" s="106">
        <f t="shared" si="83"/>
        <v>0</v>
      </c>
      <c r="T208" s="106" t="str">
        <f t="shared" ref="T208:V224" si="84">IF($E208=T$4,$R208,"")</f>
        <v/>
      </c>
      <c r="U208" s="106" t="str">
        <f t="shared" si="84"/>
        <v/>
      </c>
      <c r="V208" s="106" t="str">
        <f t="shared" si="84"/>
        <v/>
      </c>
      <c r="X208" s="106" t="str">
        <f t="shared" ref="X208:AA224" si="85">IF($F208=X$4,$R208,"")</f>
        <v/>
      </c>
      <c r="Y208" s="106" t="str">
        <f t="shared" si="85"/>
        <v/>
      </c>
      <c r="Z208" s="106" t="str">
        <f t="shared" si="85"/>
        <v/>
      </c>
      <c r="AA208" s="106" t="str">
        <f t="shared" si="85"/>
        <v/>
      </c>
    </row>
    <row r="209" spans="3:27" outlineLevel="1" x14ac:dyDescent="0.2">
      <c r="C209" s="37" t="s">
        <v>353</v>
      </c>
      <c r="D209" s="285" t="str">
        <f>VLOOKUP($C209,'Typologie détaillée'!$E$4:$H$214,3,0)</f>
        <v>Ne pas utiliser</v>
      </c>
      <c r="E209" s="286">
        <f>VLOOKUP($C209,'Typologie détaillée'!$E$4:$H$214,4,0)</f>
        <v>0</v>
      </c>
      <c r="F209" s="90"/>
      <c r="G209" s="90"/>
      <c r="H209" s="301"/>
      <c r="I209" s="90"/>
      <c r="J209" s="90"/>
      <c r="K209" s="90"/>
      <c r="P209" s="129">
        <f t="shared" si="83"/>
        <v>0</v>
      </c>
      <c r="Q209" s="129">
        <f t="shared" si="83"/>
        <v>0</v>
      </c>
      <c r="R209" s="106">
        <f t="shared" si="83"/>
        <v>0</v>
      </c>
      <c r="T209" s="106" t="str">
        <f t="shared" si="84"/>
        <v/>
      </c>
      <c r="U209" s="106" t="str">
        <f t="shared" si="84"/>
        <v/>
      </c>
      <c r="V209" s="106" t="str">
        <f t="shared" si="84"/>
        <v/>
      </c>
      <c r="X209" s="106" t="str">
        <f t="shared" si="85"/>
        <v/>
      </c>
      <c r="Y209" s="106" t="str">
        <f t="shared" si="85"/>
        <v/>
      </c>
      <c r="Z209" s="106" t="str">
        <f t="shared" si="85"/>
        <v/>
      </c>
      <c r="AA209" s="106" t="str">
        <f t="shared" si="85"/>
        <v/>
      </c>
    </row>
    <row r="210" spans="3:27" outlineLevel="1" x14ac:dyDescent="0.2">
      <c r="C210" s="37" t="s">
        <v>353</v>
      </c>
      <c r="D210" s="285" t="str">
        <f>VLOOKUP($C210,'Typologie détaillée'!$E$4:$H$214,3,0)</f>
        <v>Ne pas utiliser</v>
      </c>
      <c r="E210" s="286">
        <f>VLOOKUP($C210,'Typologie détaillée'!$E$4:$H$214,4,0)</f>
        <v>0</v>
      </c>
      <c r="F210" s="90"/>
      <c r="G210" s="90"/>
      <c r="H210" s="301"/>
      <c r="I210" s="90"/>
      <c r="J210" s="90"/>
      <c r="K210" s="90"/>
      <c r="P210" s="129">
        <f t="shared" si="83"/>
        <v>0</v>
      </c>
      <c r="Q210" s="129">
        <f t="shared" si="83"/>
        <v>0</v>
      </c>
      <c r="R210" s="106">
        <f t="shared" si="83"/>
        <v>0</v>
      </c>
      <c r="T210" s="106" t="str">
        <f t="shared" si="84"/>
        <v/>
      </c>
      <c r="U210" s="106" t="str">
        <f t="shared" si="84"/>
        <v/>
      </c>
      <c r="V210" s="106" t="str">
        <f t="shared" si="84"/>
        <v/>
      </c>
      <c r="X210" s="106" t="str">
        <f t="shared" si="85"/>
        <v/>
      </c>
      <c r="Y210" s="106" t="str">
        <f t="shared" si="85"/>
        <v/>
      </c>
      <c r="Z210" s="106" t="str">
        <f t="shared" si="85"/>
        <v/>
      </c>
      <c r="AA210" s="106" t="str">
        <f t="shared" si="85"/>
        <v/>
      </c>
    </row>
    <row r="211" spans="3:27" outlineLevel="1" x14ac:dyDescent="0.2">
      <c r="C211" s="37" t="s">
        <v>353</v>
      </c>
      <c r="D211" s="285" t="str">
        <f>VLOOKUP($C211,'Typologie détaillée'!$E$4:$H$214,3,0)</f>
        <v>Ne pas utiliser</v>
      </c>
      <c r="E211" s="286">
        <f>VLOOKUP($C211,'Typologie détaillée'!$E$4:$H$214,4,0)</f>
        <v>0</v>
      </c>
      <c r="F211" s="90"/>
      <c r="G211" s="90"/>
      <c r="H211" s="301"/>
      <c r="I211" s="90"/>
      <c r="J211" s="90"/>
      <c r="K211" s="90"/>
      <c r="P211" s="129">
        <f t="shared" si="83"/>
        <v>0</v>
      </c>
      <c r="Q211" s="129">
        <f t="shared" si="83"/>
        <v>0</v>
      </c>
      <c r="R211" s="106">
        <f t="shared" si="83"/>
        <v>0</v>
      </c>
      <c r="T211" s="106" t="str">
        <f t="shared" si="84"/>
        <v/>
      </c>
      <c r="U211" s="106" t="str">
        <f t="shared" si="84"/>
        <v/>
      </c>
      <c r="V211" s="106" t="str">
        <f t="shared" si="84"/>
        <v/>
      </c>
      <c r="X211" s="106" t="str">
        <f t="shared" si="85"/>
        <v/>
      </c>
      <c r="Y211" s="106" t="str">
        <f t="shared" si="85"/>
        <v/>
      </c>
      <c r="Z211" s="106" t="str">
        <f t="shared" si="85"/>
        <v/>
      </c>
      <c r="AA211" s="106" t="str">
        <f t="shared" si="85"/>
        <v/>
      </c>
    </row>
    <row r="212" spans="3:27" outlineLevel="1" x14ac:dyDescent="0.2">
      <c r="C212" s="37" t="s">
        <v>353</v>
      </c>
      <c r="D212" s="285" t="str">
        <f>VLOOKUP($C212,'Typologie détaillée'!$E$4:$H$214,3,0)</f>
        <v>Ne pas utiliser</v>
      </c>
      <c r="E212" s="286">
        <f>VLOOKUP($C212,'Typologie détaillée'!$E$4:$H$214,4,0)</f>
        <v>0</v>
      </c>
      <c r="F212" s="90"/>
      <c r="G212" s="90"/>
      <c r="H212" s="301"/>
      <c r="I212" s="90"/>
      <c r="J212" s="90"/>
      <c r="K212" s="90"/>
      <c r="P212" s="129">
        <f t="shared" si="83"/>
        <v>0</v>
      </c>
      <c r="Q212" s="129">
        <f t="shared" si="83"/>
        <v>0</v>
      </c>
      <c r="R212" s="106">
        <f t="shared" si="83"/>
        <v>0</v>
      </c>
      <c r="T212" s="106" t="str">
        <f t="shared" si="84"/>
        <v/>
      </c>
      <c r="U212" s="106" t="str">
        <f t="shared" si="84"/>
        <v/>
      </c>
      <c r="V212" s="106" t="str">
        <f t="shared" si="84"/>
        <v/>
      </c>
      <c r="X212" s="106" t="str">
        <f t="shared" si="85"/>
        <v/>
      </c>
      <c r="Y212" s="106" t="str">
        <f t="shared" si="85"/>
        <v/>
      </c>
      <c r="Z212" s="106" t="str">
        <f t="shared" si="85"/>
        <v/>
      </c>
      <c r="AA212" s="106" t="str">
        <f t="shared" si="85"/>
        <v/>
      </c>
    </row>
    <row r="213" spans="3:27" outlineLevel="1" x14ac:dyDescent="0.2">
      <c r="C213" s="37" t="s">
        <v>353</v>
      </c>
      <c r="D213" s="285" t="str">
        <f>VLOOKUP($C213,'Typologie détaillée'!$E$4:$H$214,3,0)</f>
        <v>Ne pas utiliser</v>
      </c>
      <c r="E213" s="286">
        <f>VLOOKUP($C213,'Typologie détaillée'!$E$4:$H$214,4,0)</f>
        <v>0</v>
      </c>
      <c r="F213" s="90"/>
      <c r="G213" s="90"/>
      <c r="H213" s="301"/>
      <c r="I213" s="90"/>
      <c r="J213" s="90"/>
      <c r="K213" s="90"/>
      <c r="P213" s="129">
        <f t="shared" si="83"/>
        <v>0</v>
      </c>
      <c r="Q213" s="129">
        <f t="shared" si="83"/>
        <v>0</v>
      </c>
      <c r="R213" s="106">
        <f t="shared" si="83"/>
        <v>0</v>
      </c>
      <c r="T213" s="106" t="str">
        <f t="shared" si="84"/>
        <v/>
      </c>
      <c r="U213" s="106" t="str">
        <f t="shared" si="84"/>
        <v/>
      </c>
      <c r="V213" s="106" t="str">
        <f t="shared" si="84"/>
        <v/>
      </c>
      <c r="X213" s="106" t="str">
        <f t="shared" si="85"/>
        <v/>
      </c>
      <c r="Y213" s="106" t="str">
        <f t="shared" si="85"/>
        <v/>
      </c>
      <c r="Z213" s="106" t="str">
        <f t="shared" si="85"/>
        <v/>
      </c>
      <c r="AA213" s="106" t="str">
        <f t="shared" si="85"/>
        <v/>
      </c>
    </row>
    <row r="214" spans="3:27" outlineLevel="1" x14ac:dyDescent="0.2">
      <c r="C214" s="37" t="s">
        <v>353</v>
      </c>
      <c r="D214" s="285" t="str">
        <f>VLOOKUP($C214,'Typologie détaillée'!$E$4:$H$214,3,0)</f>
        <v>Ne pas utiliser</v>
      </c>
      <c r="E214" s="286">
        <f>VLOOKUP($C214,'Typologie détaillée'!$E$4:$H$214,4,0)</f>
        <v>0</v>
      </c>
      <c r="F214" s="90"/>
      <c r="G214" s="90"/>
      <c r="H214" s="301"/>
      <c r="I214" s="90"/>
      <c r="J214" s="90"/>
      <c r="K214" s="90"/>
      <c r="P214" s="129">
        <f t="shared" si="83"/>
        <v>0</v>
      </c>
      <c r="Q214" s="129">
        <f t="shared" si="83"/>
        <v>0</v>
      </c>
      <c r="R214" s="106">
        <f t="shared" si="83"/>
        <v>0</v>
      </c>
      <c r="T214" s="106" t="str">
        <f t="shared" si="84"/>
        <v/>
      </c>
      <c r="U214" s="106" t="str">
        <f t="shared" si="84"/>
        <v/>
      </c>
      <c r="V214" s="106" t="str">
        <f t="shared" si="84"/>
        <v/>
      </c>
      <c r="X214" s="106" t="str">
        <f t="shared" si="85"/>
        <v/>
      </c>
      <c r="Y214" s="106" t="str">
        <f t="shared" si="85"/>
        <v/>
      </c>
      <c r="Z214" s="106" t="str">
        <f t="shared" si="85"/>
        <v/>
      </c>
      <c r="AA214" s="106" t="str">
        <f t="shared" si="85"/>
        <v/>
      </c>
    </row>
    <row r="215" spans="3:27" outlineLevel="1" x14ac:dyDescent="0.2">
      <c r="C215" s="37" t="s">
        <v>353</v>
      </c>
      <c r="D215" s="285" t="str">
        <f>VLOOKUP($C215,'Typologie détaillée'!$E$4:$H$214,3,0)</f>
        <v>Ne pas utiliser</v>
      </c>
      <c r="E215" s="286">
        <f>VLOOKUP($C215,'Typologie détaillée'!$E$4:$H$214,4,0)</f>
        <v>0</v>
      </c>
      <c r="F215" s="90"/>
      <c r="G215" s="90"/>
      <c r="H215" s="301"/>
      <c r="I215" s="90"/>
      <c r="J215" s="90"/>
      <c r="K215" s="90"/>
      <c r="P215" s="129">
        <f t="shared" si="83"/>
        <v>0</v>
      </c>
      <c r="Q215" s="129">
        <f t="shared" si="83"/>
        <v>0</v>
      </c>
      <c r="R215" s="106">
        <f t="shared" si="83"/>
        <v>0</v>
      </c>
      <c r="T215" s="106" t="str">
        <f t="shared" si="84"/>
        <v/>
      </c>
      <c r="U215" s="106" t="str">
        <f t="shared" si="84"/>
        <v/>
      </c>
      <c r="V215" s="106" t="str">
        <f t="shared" si="84"/>
        <v/>
      </c>
      <c r="X215" s="106" t="str">
        <f t="shared" si="85"/>
        <v/>
      </c>
      <c r="Y215" s="106" t="str">
        <f t="shared" si="85"/>
        <v/>
      </c>
      <c r="Z215" s="106" t="str">
        <f t="shared" si="85"/>
        <v/>
      </c>
      <c r="AA215" s="106" t="str">
        <f t="shared" si="85"/>
        <v/>
      </c>
    </row>
    <row r="216" spans="3:27" outlineLevel="1" x14ac:dyDescent="0.2">
      <c r="C216" s="37" t="s">
        <v>353</v>
      </c>
      <c r="D216" s="285" t="str">
        <f>VLOOKUP($C216,'Typologie détaillée'!$E$4:$H$214,3,0)</f>
        <v>Ne pas utiliser</v>
      </c>
      <c r="E216" s="286">
        <f>VLOOKUP($C216,'Typologie détaillée'!$E$4:$H$214,4,0)</f>
        <v>0</v>
      </c>
      <c r="F216" s="90"/>
      <c r="G216" s="90"/>
      <c r="H216" s="301"/>
      <c r="I216" s="90"/>
      <c r="J216" s="90"/>
      <c r="K216" s="90"/>
      <c r="P216" s="129">
        <f t="shared" si="83"/>
        <v>0</v>
      </c>
      <c r="Q216" s="129">
        <f t="shared" si="83"/>
        <v>0</v>
      </c>
      <c r="R216" s="106">
        <f t="shared" si="83"/>
        <v>0</v>
      </c>
      <c r="T216" s="106" t="str">
        <f t="shared" si="84"/>
        <v/>
      </c>
      <c r="U216" s="106" t="str">
        <f t="shared" si="84"/>
        <v/>
      </c>
      <c r="V216" s="106" t="str">
        <f t="shared" si="84"/>
        <v/>
      </c>
      <c r="X216" s="106" t="str">
        <f t="shared" si="85"/>
        <v/>
      </c>
      <c r="Y216" s="106" t="str">
        <f t="shared" si="85"/>
        <v/>
      </c>
      <c r="Z216" s="106" t="str">
        <f t="shared" si="85"/>
        <v/>
      </c>
      <c r="AA216" s="106" t="str">
        <f t="shared" si="85"/>
        <v/>
      </c>
    </row>
    <row r="217" spans="3:27" outlineLevel="1" x14ac:dyDescent="0.2">
      <c r="C217" s="37" t="s">
        <v>353</v>
      </c>
      <c r="D217" s="285" t="str">
        <f>VLOOKUP($C217,'Typologie détaillée'!$E$4:$H$214,3,0)</f>
        <v>Ne pas utiliser</v>
      </c>
      <c r="E217" s="286">
        <f>VLOOKUP($C217,'Typologie détaillée'!$E$4:$H$214,4,0)</f>
        <v>0</v>
      </c>
      <c r="F217" s="90"/>
      <c r="G217" s="90"/>
      <c r="H217" s="301"/>
      <c r="I217" s="90"/>
      <c r="J217" s="90"/>
      <c r="K217" s="90"/>
      <c r="P217" s="129">
        <f t="shared" si="83"/>
        <v>0</v>
      </c>
      <c r="Q217" s="129">
        <f t="shared" si="83"/>
        <v>0</v>
      </c>
      <c r="R217" s="106">
        <f t="shared" si="83"/>
        <v>0</v>
      </c>
      <c r="T217" s="106" t="str">
        <f t="shared" si="84"/>
        <v/>
      </c>
      <c r="U217" s="106" t="str">
        <f t="shared" si="84"/>
        <v/>
      </c>
      <c r="V217" s="106" t="str">
        <f t="shared" si="84"/>
        <v/>
      </c>
      <c r="X217" s="106" t="str">
        <f t="shared" si="85"/>
        <v/>
      </c>
      <c r="Y217" s="106" t="str">
        <f t="shared" si="85"/>
        <v/>
      </c>
      <c r="Z217" s="106" t="str">
        <f t="shared" si="85"/>
        <v/>
      </c>
      <c r="AA217" s="106" t="str">
        <f t="shared" si="85"/>
        <v/>
      </c>
    </row>
    <row r="218" spans="3:27" outlineLevel="1" x14ac:dyDescent="0.2">
      <c r="C218" s="37" t="s">
        <v>353</v>
      </c>
      <c r="D218" s="285" t="str">
        <f>VLOOKUP($C218,'Typologie détaillée'!$E$4:$H$214,3,0)</f>
        <v>Ne pas utiliser</v>
      </c>
      <c r="E218" s="286">
        <f>VLOOKUP($C218,'Typologie détaillée'!$E$4:$H$214,4,0)</f>
        <v>0</v>
      </c>
      <c r="F218" s="90"/>
      <c r="G218" s="90"/>
      <c r="H218" s="301"/>
      <c r="I218" s="90"/>
      <c r="J218" s="90"/>
      <c r="K218" s="90"/>
      <c r="P218" s="129">
        <f t="shared" si="83"/>
        <v>0</v>
      </c>
      <c r="Q218" s="129">
        <f t="shared" si="83"/>
        <v>0</v>
      </c>
      <c r="R218" s="106">
        <f t="shared" si="83"/>
        <v>0</v>
      </c>
      <c r="T218" s="106" t="str">
        <f t="shared" si="84"/>
        <v/>
      </c>
      <c r="U218" s="106" t="str">
        <f t="shared" si="84"/>
        <v/>
      </c>
      <c r="V218" s="106" t="str">
        <f t="shared" si="84"/>
        <v/>
      </c>
      <c r="X218" s="106" t="str">
        <f t="shared" si="85"/>
        <v/>
      </c>
      <c r="Y218" s="106" t="str">
        <f t="shared" si="85"/>
        <v/>
      </c>
      <c r="Z218" s="106" t="str">
        <f t="shared" si="85"/>
        <v/>
      </c>
      <c r="AA218" s="106" t="str">
        <f t="shared" si="85"/>
        <v/>
      </c>
    </row>
    <row r="219" spans="3:27" outlineLevel="1" x14ac:dyDescent="0.2">
      <c r="C219" s="37" t="s">
        <v>353</v>
      </c>
      <c r="D219" s="285" t="str">
        <f>VLOOKUP($C219,'Typologie détaillée'!$E$4:$H$214,3,0)</f>
        <v>Ne pas utiliser</v>
      </c>
      <c r="E219" s="286">
        <f>VLOOKUP($C219,'Typologie détaillée'!$E$4:$H$214,4,0)</f>
        <v>0</v>
      </c>
      <c r="F219" s="90"/>
      <c r="G219" s="90"/>
      <c r="H219" s="301"/>
      <c r="I219" s="90"/>
      <c r="J219" s="90"/>
      <c r="K219" s="90"/>
      <c r="P219" s="129">
        <f t="shared" si="83"/>
        <v>0</v>
      </c>
      <c r="Q219" s="129">
        <f t="shared" si="83"/>
        <v>0</v>
      </c>
      <c r="R219" s="106">
        <f t="shared" si="83"/>
        <v>0</v>
      </c>
      <c r="T219" s="106" t="str">
        <f t="shared" si="84"/>
        <v/>
      </c>
      <c r="U219" s="106" t="str">
        <f t="shared" si="84"/>
        <v/>
      </c>
      <c r="V219" s="106" t="str">
        <f t="shared" si="84"/>
        <v/>
      </c>
      <c r="X219" s="106" t="str">
        <f t="shared" si="85"/>
        <v/>
      </c>
      <c r="Y219" s="106" t="str">
        <f t="shared" si="85"/>
        <v/>
      </c>
      <c r="Z219" s="106" t="str">
        <f t="shared" si="85"/>
        <v/>
      </c>
      <c r="AA219" s="106" t="str">
        <f t="shared" si="85"/>
        <v/>
      </c>
    </row>
    <row r="220" spans="3:27" outlineLevel="1" x14ac:dyDescent="0.2">
      <c r="C220" s="37" t="s">
        <v>353</v>
      </c>
      <c r="D220" s="285" t="str">
        <f>VLOOKUP($C220,'Typologie détaillée'!$E$4:$H$214,3,0)</f>
        <v>Ne pas utiliser</v>
      </c>
      <c r="E220" s="286">
        <f>VLOOKUP($C220,'Typologie détaillée'!$E$4:$H$214,4,0)</f>
        <v>0</v>
      </c>
      <c r="F220" s="90"/>
      <c r="G220" s="90"/>
      <c r="H220" s="301"/>
      <c r="I220" s="90"/>
      <c r="J220" s="90"/>
      <c r="K220" s="90"/>
      <c r="P220" s="129">
        <f t="shared" si="83"/>
        <v>0</v>
      </c>
      <c r="Q220" s="129">
        <f t="shared" si="83"/>
        <v>0</v>
      </c>
      <c r="R220" s="106">
        <f t="shared" si="83"/>
        <v>0</v>
      </c>
      <c r="T220" s="106" t="str">
        <f t="shared" si="84"/>
        <v/>
      </c>
      <c r="U220" s="106" t="str">
        <f t="shared" si="84"/>
        <v/>
      </c>
      <c r="V220" s="106" t="str">
        <f t="shared" si="84"/>
        <v/>
      </c>
      <c r="X220" s="106" t="str">
        <f t="shared" si="85"/>
        <v/>
      </c>
      <c r="Y220" s="106" t="str">
        <f t="shared" si="85"/>
        <v/>
      </c>
      <c r="Z220" s="106" t="str">
        <f t="shared" si="85"/>
        <v/>
      </c>
      <c r="AA220" s="106" t="str">
        <f t="shared" si="85"/>
        <v/>
      </c>
    </row>
    <row r="221" spans="3:27" outlineLevel="1" x14ac:dyDescent="0.2">
      <c r="C221" s="37" t="s">
        <v>353</v>
      </c>
      <c r="D221" s="285" t="str">
        <f>VLOOKUP($C221,'Typologie détaillée'!$E$4:$H$214,3,0)</f>
        <v>Ne pas utiliser</v>
      </c>
      <c r="E221" s="286">
        <f>VLOOKUP($C221,'Typologie détaillée'!$E$4:$H$214,4,0)</f>
        <v>0</v>
      </c>
      <c r="F221" s="90"/>
      <c r="G221" s="90"/>
      <c r="H221" s="301"/>
      <c r="I221" s="90"/>
      <c r="J221" s="90"/>
      <c r="K221" s="90"/>
      <c r="P221" s="129">
        <f t="shared" si="83"/>
        <v>0</v>
      </c>
      <c r="Q221" s="129">
        <f t="shared" si="83"/>
        <v>0</v>
      </c>
      <c r="R221" s="106">
        <f t="shared" si="83"/>
        <v>0</v>
      </c>
      <c r="T221" s="106" t="str">
        <f t="shared" si="84"/>
        <v/>
      </c>
      <c r="U221" s="106" t="str">
        <f t="shared" si="84"/>
        <v/>
      </c>
      <c r="V221" s="106" t="str">
        <f t="shared" si="84"/>
        <v/>
      </c>
      <c r="X221" s="106" t="str">
        <f t="shared" si="85"/>
        <v/>
      </c>
      <c r="Y221" s="106" t="str">
        <f t="shared" si="85"/>
        <v/>
      </c>
      <c r="Z221" s="106" t="str">
        <f t="shared" si="85"/>
        <v/>
      </c>
      <c r="AA221" s="106" t="str">
        <f t="shared" si="85"/>
        <v/>
      </c>
    </row>
    <row r="222" spans="3:27" outlineLevel="1" x14ac:dyDescent="0.2">
      <c r="C222" s="37" t="s">
        <v>353</v>
      </c>
      <c r="D222" s="285" t="str">
        <f>VLOOKUP($C222,'Typologie détaillée'!$E$4:$H$214,3,0)</f>
        <v>Ne pas utiliser</v>
      </c>
      <c r="E222" s="286">
        <f>VLOOKUP($C222,'Typologie détaillée'!$E$4:$H$214,4,0)</f>
        <v>0</v>
      </c>
      <c r="F222" s="90"/>
      <c r="G222" s="90"/>
      <c r="H222" s="301"/>
      <c r="I222" s="90"/>
      <c r="J222" s="90"/>
      <c r="K222" s="90"/>
      <c r="P222" s="129">
        <f t="shared" si="83"/>
        <v>0</v>
      </c>
      <c r="Q222" s="129">
        <f t="shared" si="83"/>
        <v>0</v>
      </c>
      <c r="R222" s="106">
        <f t="shared" si="83"/>
        <v>0</v>
      </c>
      <c r="T222" s="106" t="str">
        <f t="shared" si="84"/>
        <v/>
      </c>
      <c r="U222" s="106" t="str">
        <f t="shared" si="84"/>
        <v/>
      </c>
      <c r="V222" s="106" t="str">
        <f t="shared" si="84"/>
        <v/>
      </c>
      <c r="X222" s="106" t="str">
        <f t="shared" si="85"/>
        <v/>
      </c>
      <c r="Y222" s="106" t="str">
        <f t="shared" si="85"/>
        <v/>
      </c>
      <c r="Z222" s="106" t="str">
        <f t="shared" si="85"/>
        <v/>
      </c>
      <c r="AA222" s="106" t="str">
        <f t="shared" si="85"/>
        <v/>
      </c>
    </row>
    <row r="223" spans="3:27" outlineLevel="1" x14ac:dyDescent="0.2">
      <c r="C223" s="37" t="s">
        <v>353</v>
      </c>
      <c r="D223" s="285" t="str">
        <f>VLOOKUP($C223,'Typologie détaillée'!$E$4:$H$214,3,0)</f>
        <v>Ne pas utiliser</v>
      </c>
      <c r="E223" s="286">
        <f>VLOOKUP($C223,'Typologie détaillée'!$E$4:$H$214,4,0)</f>
        <v>0</v>
      </c>
      <c r="F223" s="90"/>
      <c r="G223" s="90"/>
      <c r="H223" s="301"/>
      <c r="I223" s="90"/>
      <c r="J223" s="90"/>
      <c r="K223" s="90"/>
      <c r="P223" s="129">
        <f t="shared" si="83"/>
        <v>0</v>
      </c>
      <c r="Q223" s="129">
        <f t="shared" si="83"/>
        <v>0</v>
      </c>
      <c r="R223" s="106">
        <f t="shared" si="83"/>
        <v>0</v>
      </c>
      <c r="T223" s="106" t="str">
        <f t="shared" si="84"/>
        <v/>
      </c>
      <c r="U223" s="106" t="str">
        <f t="shared" si="84"/>
        <v/>
      </c>
      <c r="V223" s="106" t="str">
        <f t="shared" si="84"/>
        <v/>
      </c>
      <c r="X223" s="106" t="str">
        <f t="shared" si="85"/>
        <v/>
      </c>
      <c r="Y223" s="106" t="str">
        <f t="shared" si="85"/>
        <v/>
      </c>
      <c r="Z223" s="106" t="str">
        <f t="shared" si="85"/>
        <v/>
      </c>
      <c r="AA223" s="106" t="str">
        <f t="shared" si="85"/>
        <v/>
      </c>
    </row>
    <row r="224" spans="3:27" outlineLevel="1" x14ac:dyDescent="0.2">
      <c r="C224" s="37" t="s">
        <v>353</v>
      </c>
      <c r="D224" s="285" t="str">
        <f>VLOOKUP($C224,'Typologie détaillée'!$E$4:$H$214,3,0)</f>
        <v>Ne pas utiliser</v>
      </c>
      <c r="E224" s="286">
        <f>VLOOKUP($C224,'Typologie détaillée'!$E$4:$H$214,4,0)</f>
        <v>0</v>
      </c>
      <c r="F224" s="90"/>
      <c r="G224" s="90"/>
      <c r="H224" s="301"/>
      <c r="I224" s="90"/>
      <c r="J224" s="90"/>
      <c r="K224" s="90"/>
      <c r="P224" s="129">
        <f t="shared" si="83"/>
        <v>0</v>
      </c>
      <c r="Q224" s="129">
        <f t="shared" si="83"/>
        <v>0</v>
      </c>
      <c r="R224" s="106">
        <f t="shared" si="83"/>
        <v>0</v>
      </c>
      <c r="T224" s="106" t="str">
        <f t="shared" si="84"/>
        <v/>
      </c>
      <c r="U224" s="106" t="str">
        <f t="shared" si="84"/>
        <v/>
      </c>
      <c r="V224" s="106" t="str">
        <f t="shared" si="84"/>
        <v/>
      </c>
      <c r="X224" s="106" t="str">
        <f t="shared" si="85"/>
        <v/>
      </c>
      <c r="Y224" s="106" t="str">
        <f t="shared" si="85"/>
        <v/>
      </c>
      <c r="Z224" s="106" t="str">
        <f t="shared" si="85"/>
        <v/>
      </c>
      <c r="AA224" s="106" t="str">
        <f t="shared" si="85"/>
        <v/>
      </c>
    </row>
    <row r="225" spans="1:27" s="138" customFormat="1" x14ac:dyDescent="0.2">
      <c r="A225" s="138" t="e">
        <f>A208</f>
        <v>#REF!</v>
      </c>
      <c r="B225" s="138">
        <f>B208</f>
        <v>0</v>
      </c>
      <c r="D225" s="138" t="s">
        <v>97</v>
      </c>
      <c r="E225" s="139"/>
      <c r="F225" s="139"/>
      <c r="G225" s="139"/>
      <c r="H225" s="299"/>
      <c r="I225" s="139"/>
      <c r="J225" s="139"/>
      <c r="K225" s="139"/>
      <c r="P225" s="139">
        <f>SUBTOTAL(9,P208:P224)</f>
        <v>0</v>
      </c>
      <c r="Q225" s="139">
        <f>SUBTOTAL(9,Q208:Q224)</f>
        <v>0</v>
      </c>
      <c r="R225" s="138">
        <f>SUBTOTAL(9,R208:R224)</f>
        <v>0</v>
      </c>
      <c r="T225" s="138">
        <f>SUBTOTAL(9,T208:T224)</f>
        <v>0</v>
      </c>
      <c r="U225" s="138">
        <f>SUBTOTAL(9,U208:U224)</f>
        <v>0</v>
      </c>
      <c r="V225" s="138">
        <f>SUBTOTAL(9,V208:V224)</f>
        <v>0</v>
      </c>
      <c r="X225" s="138">
        <f>SUBTOTAL(9,X208:X224)</f>
        <v>0</v>
      </c>
      <c r="Y225" s="138">
        <f>SUBTOTAL(9,Y208:Y224)</f>
        <v>0</v>
      </c>
      <c r="Z225" s="138">
        <f>SUBTOTAL(9,Z208:Z224)</f>
        <v>0</v>
      </c>
      <c r="AA225" s="138">
        <f>SUBTOTAL(9,AA208:AA224)</f>
        <v>0</v>
      </c>
    </row>
    <row r="226" spans="1:27" outlineLevel="1" x14ac:dyDescent="0.2">
      <c r="A226" t="str">
        <f>'Partie 3 • M.implantation'!C21</f>
        <v>• service 108</v>
      </c>
      <c r="C226" s="37" t="s">
        <v>353</v>
      </c>
      <c r="D226" s="285" t="str">
        <f>VLOOKUP($C226,'Typologie détaillée'!$E$4:$H$214,3,0)</f>
        <v>Ne pas utiliser</v>
      </c>
      <c r="E226" s="286">
        <f>VLOOKUP($C226,'Typologie détaillée'!$E$4:$H$214,4,0)</f>
        <v>0</v>
      </c>
      <c r="F226" s="125"/>
      <c r="G226" s="127"/>
      <c r="H226" s="302"/>
      <c r="I226" s="125"/>
      <c r="J226" s="125"/>
      <c r="K226" s="125"/>
      <c r="P226" s="129">
        <f t="shared" ref="P226:R227" si="86">$G226*I226</f>
        <v>0</v>
      </c>
      <c r="Q226" s="129">
        <f t="shared" si="86"/>
        <v>0</v>
      </c>
      <c r="R226" s="106">
        <f t="shared" si="86"/>
        <v>0</v>
      </c>
      <c r="T226" s="106" t="str">
        <f t="shared" ref="T226:V227" si="87">IF($E226=T$4,$R226,"")</f>
        <v/>
      </c>
      <c r="U226" s="106" t="str">
        <f t="shared" si="87"/>
        <v/>
      </c>
      <c r="V226" s="106" t="str">
        <f t="shared" si="87"/>
        <v/>
      </c>
      <c r="X226" s="106" t="str">
        <f t="shared" ref="X226:AA227" si="88">IF($F226=X$4,$R226,"")</f>
        <v/>
      </c>
      <c r="Y226" s="106" t="str">
        <f t="shared" si="88"/>
        <v/>
      </c>
      <c r="Z226" s="106" t="str">
        <f t="shared" si="88"/>
        <v/>
      </c>
      <c r="AA226" s="106" t="str">
        <f t="shared" si="88"/>
        <v/>
      </c>
    </row>
    <row r="227" spans="1:27" outlineLevel="1" x14ac:dyDescent="0.2">
      <c r="C227" s="37" t="s">
        <v>353</v>
      </c>
      <c r="D227" s="285" t="str">
        <f>VLOOKUP($C227,'Typologie détaillée'!$E$4:$H$214,3,0)</f>
        <v>Ne pas utiliser</v>
      </c>
      <c r="E227" s="286">
        <f>VLOOKUP($C227,'Typologie détaillée'!$E$4:$H$214,4,0)</f>
        <v>0</v>
      </c>
      <c r="F227" s="90"/>
      <c r="G227" s="90"/>
      <c r="H227" s="300"/>
      <c r="I227" s="90"/>
      <c r="J227" s="90"/>
      <c r="K227" s="90"/>
      <c r="P227" s="129">
        <f t="shared" si="86"/>
        <v>0</v>
      </c>
      <c r="Q227" s="129">
        <f t="shared" si="86"/>
        <v>0</v>
      </c>
      <c r="R227" s="106">
        <f t="shared" si="86"/>
        <v>0</v>
      </c>
      <c r="T227" s="106" t="str">
        <f t="shared" si="87"/>
        <v/>
      </c>
      <c r="U227" s="106" t="str">
        <f t="shared" si="87"/>
        <v/>
      </c>
      <c r="V227" s="106" t="str">
        <f t="shared" si="87"/>
        <v/>
      </c>
      <c r="X227" s="106" t="str">
        <f t="shared" si="88"/>
        <v/>
      </c>
      <c r="Y227" s="106" t="str">
        <f t="shared" si="88"/>
        <v/>
      </c>
      <c r="Z227" s="106" t="str">
        <f t="shared" si="88"/>
        <v/>
      </c>
      <c r="AA227" s="106" t="str">
        <f t="shared" si="88"/>
        <v/>
      </c>
    </row>
    <row r="228" spans="1:27" s="138" customFormat="1" x14ac:dyDescent="0.2">
      <c r="A228" s="138" t="str">
        <f>A226</f>
        <v>• service 108</v>
      </c>
      <c r="B228" s="138">
        <f>B226</f>
        <v>0</v>
      </c>
      <c r="D228" s="138" t="s">
        <v>97</v>
      </c>
      <c r="E228" s="139"/>
      <c r="F228" s="139"/>
      <c r="G228" s="139"/>
      <c r="H228" s="299"/>
      <c r="I228" s="139"/>
      <c r="J228" s="139"/>
      <c r="K228" s="139"/>
      <c r="P228" s="139">
        <f>SUBTOTAL(9,P226:P227)</f>
        <v>0</v>
      </c>
      <c r="Q228" s="139">
        <f>SUBTOTAL(9,Q226:Q227)</f>
        <v>0</v>
      </c>
      <c r="R228" s="138">
        <f>SUBTOTAL(9,R226:R227)</f>
        <v>0</v>
      </c>
      <c r="T228" s="138">
        <f>SUBTOTAL(9,T226:T227)</f>
        <v>0</v>
      </c>
      <c r="U228" s="138">
        <f>SUBTOTAL(9,U226:U227)</f>
        <v>0</v>
      </c>
      <c r="V228" s="138">
        <f>SUBTOTAL(9,V226:V227)</f>
        <v>0</v>
      </c>
      <c r="X228" s="138">
        <f>SUBTOTAL(9,X226:X227)</f>
        <v>0</v>
      </c>
      <c r="Y228" s="138">
        <f>SUBTOTAL(9,Y226:Y227)</f>
        <v>0</v>
      </c>
      <c r="Z228" s="138">
        <f>SUBTOTAL(9,Z226:Z227)</f>
        <v>0</v>
      </c>
      <c r="AA228" s="138">
        <f>SUBTOTAL(9,AA226:AA227)</f>
        <v>0</v>
      </c>
    </row>
    <row r="229" spans="1:27" ht="13.5" thickBot="1" x14ac:dyDescent="0.25"/>
    <row r="230" spans="1:27" ht="12" customHeight="1" x14ac:dyDescent="0.2">
      <c r="I230" s="473" t="s">
        <v>106</v>
      </c>
      <c r="J230" s="474"/>
      <c r="K230" s="475"/>
      <c r="P230" s="130">
        <f>SUBTOTAL(9,P119:P229)</f>
        <v>0</v>
      </c>
      <c r="Q230" s="130">
        <f>SUBTOTAL(9,Q119:Q229)</f>
        <v>0</v>
      </c>
      <c r="R230" s="132">
        <f>SUBTOTAL(9,R119:R229)</f>
        <v>0</v>
      </c>
      <c r="S230" s="445"/>
      <c r="T230" s="134">
        <f>SUBTOTAL(9,T119:T229)</f>
        <v>0</v>
      </c>
      <c r="U230" s="134">
        <f>SUBTOTAL(9,U119:U229)</f>
        <v>0</v>
      </c>
      <c r="V230" s="134">
        <f>SUBTOTAL(9,V119:V229)</f>
        <v>0</v>
      </c>
      <c r="W230" s="445"/>
      <c r="X230" s="134">
        <f>SUBTOTAL(9,X119:X229)</f>
        <v>0</v>
      </c>
      <c r="Y230" s="134">
        <f>SUBTOTAL(9,Y119:Y229)</f>
        <v>0</v>
      </c>
      <c r="Z230" s="134">
        <f>SUBTOTAL(9,Z119:Z229)</f>
        <v>0</v>
      </c>
      <c r="AA230" s="134">
        <f>SUBTOTAL(9,AA119:AA229)</f>
        <v>0</v>
      </c>
    </row>
    <row r="231" spans="1:27" ht="12.95" customHeight="1" thickBot="1" x14ac:dyDescent="0.25">
      <c r="I231" s="476"/>
      <c r="J231" s="477"/>
      <c r="K231" s="478"/>
      <c r="P231" s="131" t="str">
        <f>P$4</f>
        <v>P.D.T.</v>
      </c>
      <c r="Q231" s="131" t="str">
        <f>Q$4</f>
        <v>PERS.</v>
      </c>
      <c r="R231" s="133" t="str">
        <f>R$4</f>
        <v>SURFACE</v>
      </c>
      <c r="S231" s="445"/>
      <c r="T231" s="131" t="str">
        <f>T$4</f>
        <v>OA</v>
      </c>
      <c r="U231" s="131" t="str">
        <f>U$4</f>
        <v>LSA</v>
      </c>
      <c r="V231" s="131" t="str">
        <f>V$4</f>
        <v>CSA</v>
      </c>
      <c r="W231" s="445"/>
      <c r="X231" s="135" t="str">
        <f>X$4</f>
        <v xml:space="preserve">1er </v>
      </c>
      <c r="Y231" s="135" t="str">
        <f>Y$4</f>
        <v>1-2nd</v>
      </c>
      <c r="Z231" s="135" t="str">
        <f>Z$4</f>
        <v>Av. HS</v>
      </c>
      <c r="AA231" s="135" t="str">
        <f>AA$4</f>
        <v>Av. SS</v>
      </c>
    </row>
    <row r="234" spans="1:27" ht="13.5" thickBot="1" x14ac:dyDescent="0.25"/>
    <row r="235" spans="1:27" ht="12" customHeight="1" x14ac:dyDescent="0.2">
      <c r="I235" s="473" t="s">
        <v>107</v>
      </c>
      <c r="J235" s="474"/>
      <c r="K235" s="475"/>
      <c r="P235"/>
      <c r="Q235"/>
      <c r="R235" s="136">
        <f>SUBTOTAL(9,R119:R234)</f>
        <v>0</v>
      </c>
      <c r="S235" s="445"/>
      <c r="T235" s="134">
        <f>SUBTOTAL(9,T5:T234)</f>
        <v>0</v>
      </c>
      <c r="U235" s="134">
        <f>SUBTOTAL(9,U5:U234)</f>
        <v>0</v>
      </c>
      <c r="V235" s="134">
        <f>SUBTOTAL(9,V5:V234)</f>
        <v>8089.63</v>
      </c>
      <c r="W235" s="445"/>
      <c r="X235" s="134">
        <f>SUBTOTAL(9,X5:X234)</f>
        <v>24</v>
      </c>
      <c r="Y235" s="134">
        <f>SUBTOTAL(9,Y5:Y234)</f>
        <v>480</v>
      </c>
      <c r="Z235" s="134">
        <f>SUBTOTAL(9,Z5:Z234)</f>
        <v>4496.24</v>
      </c>
      <c r="AA235" s="134">
        <f>SUBTOTAL(9,AA5:AA234)</f>
        <v>3089.39</v>
      </c>
    </row>
    <row r="236" spans="1:27" ht="12.95" customHeight="1" thickBot="1" x14ac:dyDescent="0.25">
      <c r="I236" s="476"/>
      <c r="J236" s="477"/>
      <c r="K236" s="478"/>
      <c r="P236"/>
      <c r="Q236"/>
      <c r="R236" s="137" t="str">
        <f>R$4</f>
        <v>SURFACE</v>
      </c>
      <c r="S236" s="445"/>
      <c r="T236" s="131" t="str">
        <f>T$4</f>
        <v>OA</v>
      </c>
      <c r="U236" s="131" t="str">
        <f>U$4</f>
        <v>LSA</v>
      </c>
      <c r="V236" s="131" t="str">
        <f>V$4</f>
        <v>CSA</v>
      </c>
      <c r="W236" s="445"/>
      <c r="X236" s="135" t="str">
        <f>X$4</f>
        <v xml:space="preserve">1er </v>
      </c>
      <c r="Y236" s="135" t="str">
        <f>Y$4</f>
        <v>1-2nd</v>
      </c>
      <c r="Z236" s="135" t="str">
        <f>Z$4</f>
        <v>Av. HS</v>
      </c>
      <c r="AA236" s="135" t="str">
        <f>AA$4</f>
        <v>Av. SS</v>
      </c>
    </row>
    <row r="238" spans="1:27" x14ac:dyDescent="0.2">
      <c r="X238" s="134">
        <f>X235+Y235/2</f>
        <v>264</v>
      </c>
      <c r="Y238" s="134">
        <f>Y235/2</f>
        <v>240</v>
      </c>
      <c r="Z238" s="134">
        <f>Z235</f>
        <v>4496.24</v>
      </c>
      <c r="AA238" s="134">
        <f>AA235</f>
        <v>3089.39</v>
      </c>
    </row>
    <row r="239" spans="1:27" x14ac:dyDescent="0.2">
      <c r="X239" s="135" t="str">
        <f>X$4</f>
        <v xml:space="preserve">1er </v>
      </c>
      <c r="Y239" s="135" t="s">
        <v>111</v>
      </c>
      <c r="Z239" s="135" t="str">
        <f>Z$4</f>
        <v>Av. HS</v>
      </c>
      <c r="AA239" s="135" t="str">
        <f>AA$4</f>
        <v>Av. SS</v>
      </c>
    </row>
    <row r="240" spans="1:27" ht="13.5" thickBot="1" x14ac:dyDescent="0.25"/>
    <row r="241" spans="9:27" ht="14.1" customHeight="1" x14ac:dyDescent="0.25">
      <c r="I241" s="473" t="s">
        <v>108</v>
      </c>
      <c r="J241" s="474"/>
      <c r="K241" s="475"/>
      <c r="R241" s="144" t="e">
        <f>R235/R235</f>
        <v>#DIV/0!</v>
      </c>
      <c r="S241" s="445"/>
      <c r="T241" s="143" t="e">
        <f>T235/$R$235</f>
        <v>#DIV/0!</v>
      </c>
      <c r="U241" s="143" t="e">
        <f>U235/$R$235</f>
        <v>#DIV/0!</v>
      </c>
      <c r="V241" s="143" t="e">
        <f>V235/$R$235</f>
        <v>#DIV/0!</v>
      </c>
      <c r="W241" s="445"/>
      <c r="X241" s="480">
        <f>SUM(X235:Z235)</f>
        <v>5000.24</v>
      </c>
      <c r="Y241" s="481"/>
      <c r="Z241" s="482"/>
      <c r="AA241" s="134">
        <f>AA235</f>
        <v>3089.39</v>
      </c>
    </row>
    <row r="242" spans="9:27" ht="12.95" customHeight="1" thickBot="1" x14ac:dyDescent="0.25">
      <c r="I242" s="476"/>
      <c r="J242" s="477"/>
      <c r="K242" s="478"/>
      <c r="R242" s="137" t="str">
        <f>R$4</f>
        <v>SURFACE</v>
      </c>
      <c r="S242" s="445"/>
      <c r="T242" s="131" t="str">
        <f>T$4</f>
        <v>OA</v>
      </c>
      <c r="U242" s="131" t="str">
        <f>U$4</f>
        <v>LSA</v>
      </c>
      <c r="V242" s="131" t="str">
        <f>V$4</f>
        <v>CSA</v>
      </c>
      <c r="W242" s="445"/>
      <c r="X242" s="483" t="s">
        <v>109</v>
      </c>
      <c r="Y242" s="484"/>
      <c r="Z242" s="485"/>
      <c r="AA242" s="135" t="s">
        <v>110</v>
      </c>
    </row>
  </sheetData>
  <mergeCells count="10">
    <mergeCell ref="I235:K236"/>
    <mergeCell ref="I241:K242"/>
    <mergeCell ref="X241:Z241"/>
    <mergeCell ref="X242:Z242"/>
    <mergeCell ref="A1:AA1"/>
    <mergeCell ref="I3:K3"/>
    <mergeCell ref="L3:N3"/>
    <mergeCell ref="K112:N112"/>
    <mergeCell ref="I114:K115"/>
    <mergeCell ref="I230:K231"/>
  </mergeCells>
  <conditionalFormatting sqref="Q228 Q225 Q204 Q201 Q199 Q193 Q188 Q186 Q169 Q136 T169:V169">
    <cfRule type="cellIs" dxfId="10" priority="9" stopIfTrue="1" operator="lessThan">
      <formula>$Q$121</formula>
    </cfRule>
  </conditionalFormatting>
  <conditionalFormatting sqref="R228 R225 R204 R201 R199 R193 R158 R186 R177 R169 R140 R120 R131 R136 R148 R188">
    <cfRule type="cellIs" dxfId="9" priority="8" stopIfTrue="1" operator="greaterThan">
      <formula>$R$121</formula>
    </cfRule>
  </conditionalFormatting>
  <conditionalFormatting sqref="R128">
    <cfRule type="cellIs" dxfId="8" priority="7" stopIfTrue="1" operator="greaterThan">
      <formula>$R$121</formula>
    </cfRule>
  </conditionalFormatting>
  <conditionalFormatting sqref="X169:AA169">
    <cfRule type="cellIs" dxfId="7" priority="5" stopIfTrue="1" operator="lessThan">
      <formula>$Q$121</formula>
    </cfRule>
  </conditionalFormatting>
  <conditionalFormatting sqref="X136:Z136">
    <cfRule type="cellIs" dxfId="6" priority="6" stopIfTrue="1" operator="lessThan">
      <formula>$Q$121</formula>
    </cfRule>
  </conditionalFormatting>
  <conditionalFormatting sqref="R84">
    <cfRule type="cellIs" dxfId="5" priority="3" stopIfTrue="1" operator="greaterThan">
      <formula>$R$121</formula>
    </cfRule>
  </conditionalFormatting>
  <conditionalFormatting sqref="R87">
    <cfRule type="cellIs" dxfId="4" priority="2" stopIfTrue="1" operator="greaterThan">
      <formula>$R$121</formula>
    </cfRule>
  </conditionalFormatting>
  <conditionalFormatting sqref="R112">
    <cfRule type="cellIs" dxfId="3" priority="1" stopIfTrue="1" operator="greaterThan">
      <formula>$R$121</formula>
    </cfRule>
  </conditionalFormatting>
  <dataValidations count="3">
    <dataValidation type="list" showInputMessage="1" showErrorMessage="1" sqref="C119 C88:C111 C129:C130 C121:C127 C137:C139 C132:C135 C141:C147 C149:C157 C159:C168 C170:C176 C187 C178:C185 C189:C192 C200 C194:C198 C205:C206 C202:C203 C226:C227 C208:C224 C7:C77 C79:C83 C85:C86">
      <formula1>Local_type_code_det</formula1>
    </dataValidation>
    <dataValidation type="list" showInputMessage="1" showErrorMessage="1" sqref="F226:F227 F121:F127 F149:F157 F137:F139 F129:F130 F178:F185 F119 F205:F206 F202:F203 F200 F187 F189:F192 F132:F135 F170:F176 F159:F168 F208:F224 F194:F198 F141:F147 F88:F111 F7:F77 F79:F83 F85:F86">
      <formula1>Eclairement</formula1>
    </dataValidation>
    <dataValidation type="list" allowBlank="1" showInputMessage="1" showErrorMessage="1" sqref="D205:E206 D149:E157 D137:E139 D129:E130 D119:E119 D208:E224 D159:E168 D235 D200:E200 D194:E198 D189:E192 D170:E176 D178:E185 D141:E147 D202:E203 D187:E187 D132:E135 D121:E127 D226:E227 D85:E86 D88:E111 L7:M77 D7:E77 L79:M83 D79:E83 L85:M86 L88:M111">
      <formula1>Typologie</formula1>
    </dataValidation>
  </dataValidations>
  <pageMargins left="0.7" right="0.7" top="0.75" bottom="0.75" header="0.3" footer="0.3"/>
  <pageSetup paperSize="8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127"/>
  <sheetViews>
    <sheetView topLeftCell="A91" workbookViewId="0">
      <selection activeCell="B114" sqref="B114"/>
    </sheetView>
  </sheetViews>
  <sheetFormatPr defaultRowHeight="12.75" x14ac:dyDescent="0.2"/>
  <cols>
    <col min="1" max="1" width="62" bestFit="1" customWidth="1"/>
    <col min="2" max="3" width="56" customWidth="1"/>
    <col min="4" max="4" width="27.42578125" customWidth="1"/>
  </cols>
  <sheetData>
    <row r="1" spans="1:5" ht="15.75" x14ac:dyDescent="0.25">
      <c r="A1" s="429" t="s">
        <v>991</v>
      </c>
      <c r="B1" s="39" t="s">
        <v>1095</v>
      </c>
      <c r="C1" s="428"/>
      <c r="D1" s="428"/>
      <c r="E1" s="428"/>
    </row>
    <row r="3" spans="1:5" x14ac:dyDescent="0.2">
      <c r="A3" s="430" t="s">
        <v>994</v>
      </c>
      <c r="B3" s="430" t="s">
        <v>993</v>
      </c>
      <c r="C3" s="430" t="s">
        <v>1002</v>
      </c>
      <c r="D3" s="446" t="s">
        <v>1198</v>
      </c>
    </row>
    <row r="4" spans="1:5" x14ac:dyDescent="0.2">
      <c r="A4" s="433" t="s">
        <v>992</v>
      </c>
      <c r="B4" s="431" t="s">
        <v>995</v>
      </c>
      <c r="C4" s="431" t="s">
        <v>996</v>
      </c>
      <c r="D4" s="447" t="s">
        <v>1199</v>
      </c>
    </row>
    <row r="5" spans="1:5" ht="25.5" x14ac:dyDescent="0.2">
      <c r="B5" s="431" t="s">
        <v>997</v>
      </c>
      <c r="C5" s="431"/>
      <c r="D5" s="432" t="s">
        <v>1200</v>
      </c>
    </row>
    <row r="6" spans="1:5" x14ac:dyDescent="0.2">
      <c r="B6" s="431" t="s">
        <v>998</v>
      </c>
      <c r="C6" s="431"/>
      <c r="D6" s="432" t="s">
        <v>119</v>
      </c>
    </row>
    <row r="7" spans="1:5" ht="25.5" x14ac:dyDescent="0.2">
      <c r="B7" s="431" t="s">
        <v>999</v>
      </c>
      <c r="C7" s="431"/>
      <c r="D7" s="432" t="s">
        <v>119</v>
      </c>
    </row>
    <row r="8" spans="1:5" x14ac:dyDescent="0.2">
      <c r="B8" s="431" t="s">
        <v>1000</v>
      </c>
      <c r="C8" s="431"/>
      <c r="D8" s="432" t="s">
        <v>119</v>
      </c>
    </row>
    <row r="9" spans="1:5" ht="25.5" x14ac:dyDescent="0.2">
      <c r="A9" s="433" t="s">
        <v>1001</v>
      </c>
      <c r="B9" s="431" t="s">
        <v>1003</v>
      </c>
      <c r="C9" s="431"/>
      <c r="D9" s="447" t="s">
        <v>1201</v>
      </c>
    </row>
    <row r="10" spans="1:5" x14ac:dyDescent="0.2">
      <c r="A10" s="433" t="s">
        <v>1004</v>
      </c>
      <c r="B10" s="431" t="s">
        <v>1005</v>
      </c>
      <c r="C10" s="431"/>
      <c r="D10" s="432" t="s">
        <v>119</v>
      </c>
    </row>
    <row r="11" spans="1:5" x14ac:dyDescent="0.2">
      <c r="B11" s="431" t="s">
        <v>1006</v>
      </c>
      <c r="C11" s="431" t="s">
        <v>1007</v>
      </c>
      <c r="D11" s="449" t="s">
        <v>1199</v>
      </c>
    </row>
    <row r="12" spans="1:5" x14ac:dyDescent="0.2">
      <c r="B12" s="431" t="s">
        <v>1008</v>
      </c>
      <c r="C12" s="431"/>
      <c r="D12" s="447" t="s">
        <v>1202</v>
      </c>
    </row>
    <row r="13" spans="1:5" x14ac:dyDescent="0.2">
      <c r="A13" s="433" t="s">
        <v>1009</v>
      </c>
      <c r="B13" s="431"/>
      <c r="C13" s="431"/>
      <c r="D13" s="432"/>
    </row>
    <row r="14" spans="1:5" x14ac:dyDescent="0.2">
      <c r="A14" s="433" t="s">
        <v>1010</v>
      </c>
      <c r="B14" s="431" t="s">
        <v>1011</v>
      </c>
      <c r="C14" s="431" t="s">
        <v>1030</v>
      </c>
      <c r="D14" s="432" t="s">
        <v>119</v>
      </c>
    </row>
    <row r="15" spans="1:5" x14ac:dyDescent="0.2">
      <c r="B15" s="431" t="s">
        <v>1012</v>
      </c>
      <c r="C15" s="431"/>
      <c r="D15" s="432" t="s">
        <v>119</v>
      </c>
    </row>
    <row r="16" spans="1:5" x14ac:dyDescent="0.2">
      <c r="B16" s="431" t="s">
        <v>1013</v>
      </c>
      <c r="C16" s="431"/>
      <c r="D16" s="432" t="s">
        <v>119</v>
      </c>
    </row>
    <row r="17" spans="2:4" ht="25.5" x14ac:dyDescent="0.2">
      <c r="B17" s="431" t="s">
        <v>1014</v>
      </c>
      <c r="C17" s="431" t="s">
        <v>1029</v>
      </c>
      <c r="D17" s="432" t="s">
        <v>119</v>
      </c>
    </row>
    <row r="18" spans="2:4" x14ac:dyDescent="0.2">
      <c r="B18" s="431" t="s">
        <v>1015</v>
      </c>
      <c r="C18" s="431" t="s">
        <v>1028</v>
      </c>
      <c r="D18" s="448" t="s">
        <v>1203</v>
      </c>
    </row>
    <row r="19" spans="2:4" ht="25.5" x14ac:dyDescent="0.2">
      <c r="B19" s="431" t="s">
        <v>1016</v>
      </c>
      <c r="C19" s="431"/>
      <c r="D19" s="432" t="s">
        <v>119</v>
      </c>
    </row>
    <row r="20" spans="2:4" x14ac:dyDescent="0.2">
      <c r="B20" s="431" t="s">
        <v>1017</v>
      </c>
      <c r="C20" s="431" t="s">
        <v>1024</v>
      </c>
      <c r="D20" s="447" t="s">
        <v>1204</v>
      </c>
    </row>
    <row r="21" spans="2:4" ht="25.5" x14ac:dyDescent="0.2">
      <c r="B21" s="431" t="s">
        <v>1018</v>
      </c>
      <c r="C21" s="431" t="s">
        <v>1019</v>
      </c>
      <c r="D21" s="447" t="s">
        <v>1204</v>
      </c>
    </row>
    <row r="22" spans="2:4" ht="25.5" x14ac:dyDescent="0.2">
      <c r="B22" s="431" t="s">
        <v>1020</v>
      </c>
      <c r="C22" s="431" t="s">
        <v>1021</v>
      </c>
      <c r="D22" s="432" t="s">
        <v>119</v>
      </c>
    </row>
    <row r="23" spans="2:4" x14ac:dyDescent="0.2">
      <c r="B23" s="431" t="s">
        <v>1022</v>
      </c>
      <c r="C23" s="431" t="s">
        <v>1023</v>
      </c>
      <c r="D23" s="432" t="s">
        <v>119</v>
      </c>
    </row>
    <row r="24" spans="2:4" ht="25.5" x14ac:dyDescent="0.2">
      <c r="B24" s="431" t="s">
        <v>1025</v>
      </c>
      <c r="C24" s="431"/>
      <c r="D24" s="432" t="s">
        <v>119</v>
      </c>
    </row>
    <row r="25" spans="2:4" x14ac:dyDescent="0.2">
      <c r="B25" s="431" t="s">
        <v>1026</v>
      </c>
      <c r="C25" s="431" t="s">
        <v>1027</v>
      </c>
      <c r="D25" s="432" t="s">
        <v>119</v>
      </c>
    </row>
    <row r="26" spans="2:4" x14ac:dyDescent="0.2">
      <c r="B26" s="431" t="s">
        <v>1041</v>
      </c>
      <c r="C26" s="431"/>
      <c r="D26" s="447" t="s">
        <v>1205</v>
      </c>
    </row>
    <row r="27" spans="2:4" x14ac:dyDescent="0.2">
      <c r="B27" s="431" t="s">
        <v>1031</v>
      </c>
      <c r="C27" s="431"/>
      <c r="D27" s="447" t="s">
        <v>1206</v>
      </c>
    </row>
    <row r="28" spans="2:4" x14ac:dyDescent="0.2">
      <c r="B28" s="431" t="s">
        <v>1042</v>
      </c>
      <c r="C28" s="431" t="s">
        <v>1043</v>
      </c>
      <c r="D28" s="447" t="s">
        <v>1207</v>
      </c>
    </row>
    <row r="29" spans="2:4" ht="25.5" x14ac:dyDescent="0.2">
      <c r="B29" s="431" t="s">
        <v>1032</v>
      </c>
      <c r="C29" s="431" t="s">
        <v>1033</v>
      </c>
      <c r="D29" s="432" t="s">
        <v>119</v>
      </c>
    </row>
    <row r="30" spans="2:4" x14ac:dyDescent="0.2">
      <c r="B30" s="431" t="s">
        <v>1034</v>
      </c>
      <c r="C30" s="431"/>
      <c r="D30" s="432" t="s">
        <v>119</v>
      </c>
    </row>
    <row r="31" spans="2:4" x14ac:dyDescent="0.2">
      <c r="B31" s="431" t="s">
        <v>1035</v>
      </c>
      <c r="C31" s="431"/>
      <c r="D31" s="432" t="s">
        <v>119</v>
      </c>
    </row>
    <row r="32" spans="2:4" ht="25.5" x14ac:dyDescent="0.2">
      <c r="B32" s="431" t="s">
        <v>1036</v>
      </c>
      <c r="C32" s="431" t="s">
        <v>1037</v>
      </c>
      <c r="D32" s="448" t="s">
        <v>1203</v>
      </c>
    </row>
    <row r="33" spans="1:4" x14ac:dyDescent="0.2">
      <c r="B33" s="431" t="s">
        <v>1038</v>
      </c>
      <c r="C33" s="431"/>
      <c r="D33" s="447" t="s">
        <v>1201</v>
      </c>
    </row>
    <row r="34" spans="1:4" x14ac:dyDescent="0.2">
      <c r="B34" s="431" t="s">
        <v>1039</v>
      </c>
      <c r="C34" s="431"/>
      <c r="D34" s="447" t="s">
        <v>1208</v>
      </c>
    </row>
    <row r="35" spans="1:4" ht="25.5" x14ac:dyDescent="0.2">
      <c r="B35" s="431" t="s">
        <v>1040</v>
      </c>
      <c r="C35" s="431" t="s">
        <v>1033</v>
      </c>
      <c r="D35" s="432" t="s">
        <v>119</v>
      </c>
    </row>
    <row r="36" spans="1:4" ht="25.5" x14ac:dyDescent="0.2">
      <c r="B36" s="431" t="s">
        <v>1044</v>
      </c>
      <c r="C36" s="431"/>
      <c r="D36" s="432" t="s">
        <v>119</v>
      </c>
    </row>
    <row r="37" spans="1:4" x14ac:dyDescent="0.2">
      <c r="A37" s="433" t="s">
        <v>1045</v>
      </c>
      <c r="B37" s="431" t="s">
        <v>1107</v>
      </c>
      <c r="C37" s="432" t="s">
        <v>1106</v>
      </c>
      <c r="D37" s="432" t="s">
        <v>119</v>
      </c>
    </row>
    <row r="38" spans="1:4" x14ac:dyDescent="0.2">
      <c r="A38" s="434"/>
      <c r="B38" s="431" t="s">
        <v>1108</v>
      </c>
      <c r="C38" s="432" t="s">
        <v>1109</v>
      </c>
      <c r="D38" s="432" t="s">
        <v>119</v>
      </c>
    </row>
    <row r="39" spans="1:4" x14ac:dyDescent="0.2">
      <c r="B39" s="431" t="s">
        <v>1046</v>
      </c>
      <c r="C39" s="432" t="s">
        <v>1143</v>
      </c>
      <c r="D39" s="447" t="s">
        <v>1202</v>
      </c>
    </row>
    <row r="40" spans="1:4" x14ac:dyDescent="0.2">
      <c r="B40" s="431" t="s">
        <v>1047</v>
      </c>
      <c r="C40" s="432" t="s">
        <v>1113</v>
      </c>
      <c r="D40" s="447" t="s">
        <v>1202</v>
      </c>
    </row>
    <row r="41" spans="1:4" x14ac:dyDescent="0.2">
      <c r="B41" s="431" t="s">
        <v>1048</v>
      </c>
      <c r="C41" s="432" t="s">
        <v>1144</v>
      </c>
      <c r="D41" s="447" t="s">
        <v>1209</v>
      </c>
    </row>
    <row r="42" spans="1:4" x14ac:dyDescent="0.2">
      <c r="B42" s="431" t="s">
        <v>1049</v>
      </c>
      <c r="C42" s="432"/>
      <c r="D42" s="448" t="s">
        <v>1203</v>
      </c>
    </row>
    <row r="43" spans="1:4" x14ac:dyDescent="0.2">
      <c r="B43" s="431" t="s">
        <v>1050</v>
      </c>
      <c r="C43" s="432"/>
      <c r="D43" s="432" t="s">
        <v>119</v>
      </c>
    </row>
    <row r="44" spans="1:4" x14ac:dyDescent="0.2">
      <c r="B44" s="431" t="s">
        <v>1051</v>
      </c>
      <c r="C44" s="432"/>
      <c r="D44" s="447" t="s">
        <v>1206</v>
      </c>
    </row>
    <row r="45" spans="1:4" x14ac:dyDescent="0.2">
      <c r="B45" s="431" t="s">
        <v>1052</v>
      </c>
      <c r="C45" s="432"/>
      <c r="D45" s="432" t="s">
        <v>119</v>
      </c>
    </row>
    <row r="46" spans="1:4" x14ac:dyDescent="0.2">
      <c r="B46" s="431" t="s">
        <v>1053</v>
      </c>
      <c r="C46" s="432"/>
      <c r="D46" s="432" t="s">
        <v>119</v>
      </c>
    </row>
    <row r="47" spans="1:4" x14ac:dyDescent="0.2">
      <c r="B47" s="431" t="s">
        <v>1110</v>
      </c>
      <c r="C47" s="432" t="s">
        <v>1111</v>
      </c>
      <c r="D47" s="447" t="s">
        <v>1210</v>
      </c>
    </row>
    <row r="48" spans="1:4" ht="25.5" x14ac:dyDescent="0.2">
      <c r="B48" s="431" t="s">
        <v>1112</v>
      </c>
      <c r="C48" s="432" t="s">
        <v>1113</v>
      </c>
      <c r="D48" s="447" t="s">
        <v>1206</v>
      </c>
    </row>
    <row r="49" spans="2:4" x14ac:dyDescent="0.2">
      <c r="B49" s="431" t="s">
        <v>1114</v>
      </c>
      <c r="C49" s="432" t="s">
        <v>1115</v>
      </c>
      <c r="D49" s="447" t="s">
        <v>1206</v>
      </c>
    </row>
    <row r="50" spans="2:4" x14ac:dyDescent="0.2">
      <c r="B50" s="431" t="s">
        <v>1116</v>
      </c>
      <c r="C50" s="432" t="s">
        <v>1109</v>
      </c>
      <c r="D50" s="432" t="s">
        <v>119</v>
      </c>
    </row>
    <row r="51" spans="2:4" ht="25.5" x14ac:dyDescent="0.2">
      <c r="B51" s="431" t="s">
        <v>1117</v>
      </c>
      <c r="C51" s="432" t="s">
        <v>1118</v>
      </c>
      <c r="D51" s="432" t="s">
        <v>119</v>
      </c>
    </row>
    <row r="52" spans="2:4" x14ac:dyDescent="0.2">
      <c r="B52" s="431" t="s">
        <v>1119</v>
      </c>
      <c r="C52" s="432" t="s">
        <v>1120</v>
      </c>
      <c r="D52" s="432" t="s">
        <v>119</v>
      </c>
    </row>
    <row r="53" spans="2:4" x14ac:dyDescent="0.2">
      <c r="B53" s="431" t="s">
        <v>1121</v>
      </c>
      <c r="C53" s="432" t="s">
        <v>1122</v>
      </c>
      <c r="D53" s="432" t="s">
        <v>119</v>
      </c>
    </row>
    <row r="54" spans="2:4" ht="25.5" x14ac:dyDescent="0.2">
      <c r="B54" s="431" t="s">
        <v>1123</v>
      </c>
      <c r="C54" s="432" t="s">
        <v>1145</v>
      </c>
      <c r="D54" s="432" t="s">
        <v>119</v>
      </c>
    </row>
    <row r="55" spans="2:4" x14ac:dyDescent="0.2">
      <c r="B55" s="431" t="s">
        <v>1124</v>
      </c>
      <c r="C55" s="432" t="s">
        <v>1146</v>
      </c>
      <c r="D55" s="432" t="s">
        <v>119</v>
      </c>
    </row>
    <row r="56" spans="2:4" x14ac:dyDescent="0.2">
      <c r="B56" s="431" t="s">
        <v>1125</v>
      </c>
      <c r="C56" s="432" t="s">
        <v>1147</v>
      </c>
      <c r="D56" s="432" t="s">
        <v>119</v>
      </c>
    </row>
    <row r="57" spans="2:4" x14ac:dyDescent="0.2">
      <c r="B57" s="431" t="s">
        <v>1126</v>
      </c>
      <c r="C57" s="432"/>
      <c r="D57" s="448" t="s">
        <v>1203</v>
      </c>
    </row>
    <row r="58" spans="2:4" x14ac:dyDescent="0.2">
      <c r="B58" s="431" t="s">
        <v>1127</v>
      </c>
      <c r="C58" s="432" t="s">
        <v>1148</v>
      </c>
      <c r="D58" s="432" t="s">
        <v>119</v>
      </c>
    </row>
    <row r="59" spans="2:4" ht="25.5" x14ac:dyDescent="0.2">
      <c r="B59" s="431" t="s">
        <v>1128</v>
      </c>
      <c r="C59" s="432" t="s">
        <v>1149</v>
      </c>
      <c r="D59" s="432" t="s">
        <v>119</v>
      </c>
    </row>
    <row r="60" spans="2:4" ht="25.5" x14ac:dyDescent="0.2">
      <c r="B60" s="431" t="s">
        <v>1129</v>
      </c>
      <c r="C60" s="432" t="s">
        <v>1150</v>
      </c>
      <c r="D60" s="432" t="s">
        <v>119</v>
      </c>
    </row>
    <row r="61" spans="2:4" ht="25.5" x14ac:dyDescent="0.2">
      <c r="B61" s="431" t="s">
        <v>1130</v>
      </c>
      <c r="C61" s="432" t="s">
        <v>1151</v>
      </c>
      <c r="D61" s="432" t="s">
        <v>119</v>
      </c>
    </row>
    <row r="62" spans="2:4" ht="38.25" x14ac:dyDescent="0.2">
      <c r="B62" s="431" t="s">
        <v>1131</v>
      </c>
      <c r="C62" s="432" t="s">
        <v>1132</v>
      </c>
      <c r="D62" s="432" t="s">
        <v>119</v>
      </c>
    </row>
    <row r="63" spans="2:4" ht="25.5" x14ac:dyDescent="0.2">
      <c r="B63" s="431" t="s">
        <v>1133</v>
      </c>
      <c r="C63" s="432" t="s">
        <v>1134</v>
      </c>
      <c r="D63" s="432" t="s">
        <v>119</v>
      </c>
    </row>
    <row r="64" spans="2:4" ht="25.5" x14ac:dyDescent="0.2">
      <c r="B64" s="431" t="s">
        <v>1135</v>
      </c>
      <c r="C64" s="432" t="s">
        <v>1152</v>
      </c>
      <c r="D64" s="432" t="s">
        <v>119</v>
      </c>
    </row>
    <row r="65" spans="1:4" ht="25.5" x14ac:dyDescent="0.2">
      <c r="B65" s="431" t="s">
        <v>1136</v>
      </c>
      <c r="C65" s="432" t="s">
        <v>1153</v>
      </c>
      <c r="D65" s="447" t="s">
        <v>1211</v>
      </c>
    </row>
    <row r="66" spans="1:4" x14ac:dyDescent="0.2">
      <c r="B66" s="432" t="s">
        <v>1137</v>
      </c>
      <c r="C66" s="432" t="s">
        <v>1138</v>
      </c>
      <c r="D66" s="432" t="s">
        <v>119</v>
      </c>
    </row>
    <row r="67" spans="1:4" x14ac:dyDescent="0.2">
      <c r="B67" s="432" t="s">
        <v>1139</v>
      </c>
      <c r="C67" s="432" t="s">
        <v>1140</v>
      </c>
      <c r="D67" s="447" t="s">
        <v>1210</v>
      </c>
    </row>
    <row r="68" spans="1:4" x14ac:dyDescent="0.2">
      <c r="B68" s="432" t="s">
        <v>1141</v>
      </c>
      <c r="C68" s="432" t="s">
        <v>1142</v>
      </c>
      <c r="D68" s="432"/>
    </row>
    <row r="69" spans="1:4" x14ac:dyDescent="0.2">
      <c r="A69" s="433" t="s">
        <v>1054</v>
      </c>
      <c r="B69" s="431" t="s">
        <v>1169</v>
      </c>
      <c r="C69" s="432"/>
      <c r="D69" s="447" t="s">
        <v>1210</v>
      </c>
    </row>
    <row r="70" spans="1:4" ht="38.25" x14ac:dyDescent="0.2">
      <c r="A70" s="434"/>
      <c r="B70" s="431" t="s">
        <v>1170</v>
      </c>
      <c r="C70" s="432"/>
      <c r="D70" s="447" t="s">
        <v>1212</v>
      </c>
    </row>
    <row r="71" spans="1:4" x14ac:dyDescent="0.2">
      <c r="A71" s="434"/>
      <c r="B71" s="431" t="s">
        <v>1171</v>
      </c>
      <c r="C71" s="432"/>
      <c r="D71" s="447" t="s">
        <v>1202</v>
      </c>
    </row>
    <row r="72" spans="1:4" x14ac:dyDescent="0.2">
      <c r="A72" s="434"/>
      <c r="B72" s="431" t="s">
        <v>1172</v>
      </c>
      <c r="C72" s="432"/>
      <c r="D72" s="432" t="s">
        <v>1213</v>
      </c>
    </row>
    <row r="73" spans="1:4" ht="25.5" x14ac:dyDescent="0.2">
      <c r="A73" s="434"/>
      <c r="B73" s="431" t="s">
        <v>1173</v>
      </c>
      <c r="C73" s="432"/>
      <c r="D73" s="432" t="s">
        <v>119</v>
      </c>
    </row>
    <row r="74" spans="1:4" ht="25.5" x14ac:dyDescent="0.2">
      <c r="A74" s="434"/>
      <c r="B74" s="431" t="s">
        <v>1174</v>
      </c>
      <c r="C74" s="432"/>
      <c r="D74" s="432"/>
    </row>
    <row r="75" spans="1:4" ht="38.25" x14ac:dyDescent="0.2">
      <c r="A75" s="434"/>
      <c r="B75" s="431" t="s">
        <v>1175</v>
      </c>
      <c r="C75" s="432"/>
      <c r="D75" s="432" t="s">
        <v>119</v>
      </c>
    </row>
    <row r="76" spans="1:4" ht="25.5" x14ac:dyDescent="0.2">
      <c r="A76" s="434"/>
      <c r="B76" s="431" t="s">
        <v>1176</v>
      </c>
      <c r="C76" s="432"/>
      <c r="D76" s="432" t="s">
        <v>119</v>
      </c>
    </row>
    <row r="77" spans="1:4" x14ac:dyDescent="0.2">
      <c r="A77" s="434"/>
      <c r="B77" s="431" t="s">
        <v>1177</v>
      </c>
      <c r="C77" s="432"/>
      <c r="D77" s="432" t="s">
        <v>119</v>
      </c>
    </row>
    <row r="78" spans="1:4" ht="38.25" x14ac:dyDescent="0.2">
      <c r="A78" s="434"/>
      <c r="B78" s="431" t="s">
        <v>1178</v>
      </c>
      <c r="C78" s="432"/>
      <c r="D78" s="432" t="s">
        <v>119</v>
      </c>
    </row>
    <row r="79" spans="1:4" ht="102" x14ac:dyDescent="0.2">
      <c r="A79" s="434"/>
      <c r="B79" s="431" t="s">
        <v>1179</v>
      </c>
      <c r="C79" s="432"/>
      <c r="D79" s="432" t="s">
        <v>119</v>
      </c>
    </row>
    <row r="80" spans="1:4" ht="51" x14ac:dyDescent="0.2">
      <c r="A80" s="434"/>
      <c r="B80" s="431" t="s">
        <v>1180</v>
      </c>
      <c r="C80" s="432"/>
      <c r="D80" s="432" t="s">
        <v>119</v>
      </c>
    </row>
    <row r="81" spans="1:4" ht="63.75" x14ac:dyDescent="0.2">
      <c r="A81" s="434"/>
      <c r="B81" s="431" t="s">
        <v>1181</v>
      </c>
      <c r="C81" s="432"/>
      <c r="D81" s="432" t="s">
        <v>119</v>
      </c>
    </row>
    <row r="82" spans="1:4" ht="102" x14ac:dyDescent="0.2">
      <c r="A82" s="434"/>
      <c r="B82" s="431" t="s">
        <v>1182</v>
      </c>
      <c r="C82" s="432"/>
      <c r="D82" s="432" t="s">
        <v>119</v>
      </c>
    </row>
    <row r="83" spans="1:4" ht="51" x14ac:dyDescent="0.2">
      <c r="A83" s="434"/>
      <c r="B83" s="431" t="s">
        <v>1183</v>
      </c>
      <c r="C83" s="432"/>
      <c r="D83" s="447" t="s">
        <v>1211</v>
      </c>
    </row>
    <row r="84" spans="1:4" x14ac:dyDescent="0.2">
      <c r="A84" s="433" t="s">
        <v>1055</v>
      </c>
      <c r="B84" s="432" t="s">
        <v>1056</v>
      </c>
      <c r="C84" s="432"/>
      <c r="D84" s="447" t="s">
        <v>1206</v>
      </c>
    </row>
    <row r="85" spans="1:4" x14ac:dyDescent="0.2">
      <c r="B85" s="432" t="s">
        <v>1057</v>
      </c>
      <c r="C85" s="432"/>
      <c r="D85" s="447" t="s">
        <v>1210</v>
      </c>
    </row>
    <row r="86" spans="1:4" x14ac:dyDescent="0.2">
      <c r="B86" s="432" t="s">
        <v>1058</v>
      </c>
      <c r="C86" s="432"/>
      <c r="D86" s="447" t="s">
        <v>1214</v>
      </c>
    </row>
    <row r="87" spans="1:4" x14ac:dyDescent="0.2">
      <c r="B87" s="432" t="s">
        <v>1059</v>
      </c>
      <c r="C87" s="432"/>
      <c r="D87" s="447" t="s">
        <v>1215</v>
      </c>
    </row>
    <row r="88" spans="1:4" ht="38.25" x14ac:dyDescent="0.2">
      <c r="B88" s="431" t="s">
        <v>1060</v>
      </c>
      <c r="C88" s="431"/>
      <c r="D88" s="447" t="s">
        <v>1206</v>
      </c>
    </row>
    <row r="89" spans="1:4" x14ac:dyDescent="0.2">
      <c r="B89" s="431" t="s">
        <v>1061</v>
      </c>
      <c r="C89" s="431" t="s">
        <v>1062</v>
      </c>
      <c r="D89" s="432"/>
    </row>
    <row r="90" spans="1:4" x14ac:dyDescent="0.2">
      <c r="B90" s="431" t="s">
        <v>1063</v>
      </c>
      <c r="C90" s="431" t="s">
        <v>1064</v>
      </c>
      <c r="D90" s="432" t="s">
        <v>119</v>
      </c>
    </row>
    <row r="91" spans="1:4" x14ac:dyDescent="0.2">
      <c r="B91" s="431" t="s">
        <v>1065</v>
      </c>
      <c r="C91" s="431"/>
      <c r="D91" s="447" t="s">
        <v>1216</v>
      </c>
    </row>
    <row r="92" spans="1:4" x14ac:dyDescent="0.2">
      <c r="B92" s="431" t="s">
        <v>1066</v>
      </c>
      <c r="C92" s="431"/>
      <c r="D92" s="447" t="s">
        <v>1216</v>
      </c>
    </row>
    <row r="93" spans="1:4" ht="25.5" x14ac:dyDescent="0.2">
      <c r="B93" s="431" t="s">
        <v>1067</v>
      </c>
      <c r="C93" s="431"/>
      <c r="D93" s="432" t="s">
        <v>119</v>
      </c>
    </row>
    <row r="94" spans="1:4" x14ac:dyDescent="0.2">
      <c r="B94" s="431" t="s">
        <v>1068</v>
      </c>
      <c r="C94" s="431"/>
      <c r="D94" s="432" t="s">
        <v>119</v>
      </c>
    </row>
    <row r="95" spans="1:4" x14ac:dyDescent="0.2">
      <c r="B95" s="431" t="s">
        <v>1069</v>
      </c>
      <c r="C95" s="431"/>
      <c r="D95" s="432" t="s">
        <v>119</v>
      </c>
    </row>
    <row r="96" spans="1:4" x14ac:dyDescent="0.2">
      <c r="A96" s="433" t="s">
        <v>1070</v>
      </c>
      <c r="B96" s="431"/>
      <c r="C96" s="431"/>
      <c r="D96" s="432"/>
    </row>
    <row r="97" spans="1:4" x14ac:dyDescent="0.2">
      <c r="A97" s="433" t="s">
        <v>1071</v>
      </c>
      <c r="B97" s="431" t="s">
        <v>1072</v>
      </c>
      <c r="C97" s="431" t="s">
        <v>1084</v>
      </c>
      <c r="D97" s="447" t="s">
        <v>1206</v>
      </c>
    </row>
    <row r="98" spans="1:4" x14ac:dyDescent="0.2">
      <c r="B98" s="431" t="s">
        <v>1073</v>
      </c>
      <c r="C98" s="431"/>
      <c r="D98" s="447" t="s">
        <v>1202</v>
      </c>
    </row>
    <row r="99" spans="1:4" x14ac:dyDescent="0.2">
      <c r="B99" s="431" t="s">
        <v>1074</v>
      </c>
      <c r="C99" s="431"/>
      <c r="D99" s="447" t="s">
        <v>1217</v>
      </c>
    </row>
    <row r="100" spans="1:4" x14ac:dyDescent="0.2">
      <c r="B100" s="431" t="s">
        <v>1075</v>
      </c>
      <c r="C100" s="431"/>
      <c r="D100" s="447" t="s">
        <v>1202</v>
      </c>
    </row>
    <row r="101" spans="1:4" x14ac:dyDescent="0.2">
      <c r="B101" s="431" t="s">
        <v>1076</v>
      </c>
      <c r="C101" s="431"/>
      <c r="D101" s="447" t="s">
        <v>1202</v>
      </c>
    </row>
    <row r="102" spans="1:4" x14ac:dyDescent="0.2">
      <c r="B102" s="431" t="s">
        <v>1077</v>
      </c>
      <c r="C102" s="431"/>
      <c r="D102" s="447" t="s">
        <v>1202</v>
      </c>
    </row>
    <row r="103" spans="1:4" x14ac:dyDescent="0.2">
      <c r="B103" s="431" t="s">
        <v>1078</v>
      </c>
      <c r="C103" s="431"/>
      <c r="D103" s="447" t="s">
        <v>1201</v>
      </c>
    </row>
    <row r="104" spans="1:4" x14ac:dyDescent="0.2">
      <c r="B104" s="431" t="s">
        <v>1079</v>
      </c>
      <c r="C104" s="431" t="s">
        <v>1080</v>
      </c>
      <c r="D104" s="432" t="s">
        <v>119</v>
      </c>
    </row>
    <row r="105" spans="1:4" x14ac:dyDescent="0.2">
      <c r="B105" s="431" t="s">
        <v>1081</v>
      </c>
      <c r="C105" s="431"/>
      <c r="D105" s="432" t="s">
        <v>119</v>
      </c>
    </row>
    <row r="106" spans="1:4" x14ac:dyDescent="0.2">
      <c r="B106" s="431" t="s">
        <v>1082</v>
      </c>
      <c r="C106" s="431" t="s">
        <v>1083</v>
      </c>
      <c r="D106" s="432" t="s">
        <v>119</v>
      </c>
    </row>
    <row r="107" spans="1:4" x14ac:dyDescent="0.2">
      <c r="B107" s="431" t="s">
        <v>1085</v>
      </c>
      <c r="C107" s="431" t="s">
        <v>1086</v>
      </c>
      <c r="D107" s="432" t="s">
        <v>119</v>
      </c>
    </row>
    <row r="108" spans="1:4" x14ac:dyDescent="0.2">
      <c r="B108" s="431" t="s">
        <v>1087</v>
      </c>
      <c r="C108" s="431" t="s">
        <v>1088</v>
      </c>
      <c r="D108" s="432" t="s">
        <v>119</v>
      </c>
    </row>
    <row r="109" spans="1:4" x14ac:dyDescent="0.2">
      <c r="B109" s="431" t="s">
        <v>1089</v>
      </c>
      <c r="C109" s="431"/>
      <c r="D109" s="432" t="s">
        <v>119</v>
      </c>
    </row>
    <row r="110" spans="1:4" x14ac:dyDescent="0.2">
      <c r="B110" s="431" t="s">
        <v>1090</v>
      </c>
      <c r="C110" s="431"/>
      <c r="D110" s="432" t="s">
        <v>119</v>
      </c>
    </row>
    <row r="111" spans="1:4" x14ac:dyDescent="0.2">
      <c r="B111" s="431" t="s">
        <v>1091</v>
      </c>
      <c r="C111" s="431"/>
      <c r="D111" s="432" t="s">
        <v>119</v>
      </c>
    </row>
    <row r="112" spans="1:4" x14ac:dyDescent="0.2">
      <c r="B112" s="431" t="s">
        <v>1092</v>
      </c>
      <c r="C112" s="431"/>
      <c r="D112" s="432" t="s">
        <v>119</v>
      </c>
    </row>
    <row r="113" spans="1:4" x14ac:dyDescent="0.2">
      <c r="B113" s="431" t="s">
        <v>1093</v>
      </c>
      <c r="C113" s="431"/>
      <c r="D113" s="432" t="s">
        <v>119</v>
      </c>
    </row>
    <row r="114" spans="1:4" ht="25.5" x14ac:dyDescent="0.2">
      <c r="A114" s="433" t="s">
        <v>1094</v>
      </c>
      <c r="B114" s="431" t="s">
        <v>1096</v>
      </c>
      <c r="C114" s="431"/>
      <c r="D114" s="432" t="s">
        <v>119</v>
      </c>
    </row>
    <row r="115" spans="1:4" x14ac:dyDescent="0.2">
      <c r="B115" s="431" t="s">
        <v>1097</v>
      </c>
      <c r="C115" s="431"/>
      <c r="D115" s="432" t="s">
        <v>119</v>
      </c>
    </row>
    <row r="116" spans="1:4" ht="25.5" x14ac:dyDescent="0.2">
      <c r="B116" s="431" t="s">
        <v>1098</v>
      </c>
      <c r="C116" s="431"/>
      <c r="D116" s="432" t="s">
        <v>119</v>
      </c>
    </row>
    <row r="117" spans="1:4" ht="25.5" x14ac:dyDescent="0.2">
      <c r="B117" s="431" t="s">
        <v>1099</v>
      </c>
      <c r="C117" s="431"/>
      <c r="D117" s="432" t="s">
        <v>119</v>
      </c>
    </row>
    <row r="118" spans="1:4" ht="25.5" x14ac:dyDescent="0.2">
      <c r="B118" s="431" t="s">
        <v>1100</v>
      </c>
      <c r="C118" s="431"/>
      <c r="D118" s="432" t="s">
        <v>119</v>
      </c>
    </row>
    <row r="119" spans="1:4" ht="25.5" x14ac:dyDescent="0.2">
      <c r="B119" s="431" t="s">
        <v>1101</v>
      </c>
      <c r="C119" s="431"/>
      <c r="D119" s="432" t="s">
        <v>119</v>
      </c>
    </row>
    <row r="120" spans="1:4" x14ac:dyDescent="0.2">
      <c r="B120" s="431" t="s">
        <v>1102</v>
      </c>
      <c r="C120" s="431"/>
      <c r="D120" s="447" t="s">
        <v>1218</v>
      </c>
    </row>
    <row r="121" spans="1:4" ht="25.5" x14ac:dyDescent="0.2">
      <c r="B121" s="431" t="s">
        <v>1103</v>
      </c>
      <c r="C121" s="431"/>
      <c r="D121" s="447" t="s">
        <v>1219</v>
      </c>
    </row>
    <row r="122" spans="1:4" x14ac:dyDescent="0.2">
      <c r="B122" s="431" t="s">
        <v>1104</v>
      </c>
      <c r="C122" s="431"/>
      <c r="D122" s="432" t="s">
        <v>119</v>
      </c>
    </row>
    <row r="123" spans="1:4" x14ac:dyDescent="0.2">
      <c r="A123" s="433" t="s">
        <v>1105</v>
      </c>
      <c r="B123" s="431" t="s">
        <v>1184</v>
      </c>
      <c r="C123" s="431"/>
      <c r="D123" s="432" t="s">
        <v>119</v>
      </c>
    </row>
    <row r="124" spans="1:4" ht="25.5" x14ac:dyDescent="0.2">
      <c r="B124" s="431" t="s">
        <v>1185</v>
      </c>
      <c r="C124" s="431"/>
      <c r="D124" s="447" t="s">
        <v>1206</v>
      </c>
    </row>
    <row r="125" spans="1:4" ht="38.25" x14ac:dyDescent="0.2">
      <c r="B125" s="431" t="s">
        <v>1186</v>
      </c>
      <c r="C125" s="431"/>
      <c r="D125" s="447" t="s">
        <v>1220</v>
      </c>
    </row>
    <row r="126" spans="1:4" ht="25.5" x14ac:dyDescent="0.2">
      <c r="B126" s="443" t="s">
        <v>1176</v>
      </c>
      <c r="C126" s="432"/>
      <c r="D126" s="432" t="s">
        <v>119</v>
      </c>
    </row>
    <row r="127" spans="1:4" ht="25.5" x14ac:dyDescent="0.2">
      <c r="B127" s="443" t="s">
        <v>1188</v>
      </c>
      <c r="C127" s="432" t="s">
        <v>1187</v>
      </c>
      <c r="D127" s="432" t="s">
        <v>119</v>
      </c>
    </row>
  </sheetData>
  <pageMargins left="0.7" right="0.7" top="0.75" bottom="0.75" header="0.3" footer="0.3"/>
  <pageSetup paperSize="8" scale="7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  <pageSetUpPr fitToPage="1"/>
  </sheetPr>
  <dimension ref="A1:Z431"/>
  <sheetViews>
    <sheetView showGridLines="0" view="pageBreakPreview" topLeftCell="C1" zoomScale="85" zoomScaleNormal="125" zoomScaleSheetLayoutView="85" zoomScalePageLayoutView="125" workbookViewId="0">
      <selection activeCell="F14" sqref="F14"/>
    </sheetView>
  </sheetViews>
  <sheetFormatPr defaultColWidth="10.85546875" defaultRowHeight="15" outlineLevelCol="1" x14ac:dyDescent="0.25"/>
  <cols>
    <col min="1" max="1" width="10.140625" style="190" customWidth="1"/>
    <col min="2" max="2" width="35.85546875" style="190" customWidth="1"/>
    <col min="3" max="3" width="10.85546875" style="190" customWidth="1"/>
    <col min="4" max="4" width="47" style="190" customWidth="1"/>
    <col min="5" max="5" width="10.7109375" style="190" customWidth="1"/>
    <col min="6" max="6" width="54.28515625" style="190" customWidth="1"/>
    <col min="7" max="7" width="28" style="190" customWidth="1" outlineLevel="1"/>
    <col min="8" max="8" width="8.7109375" style="232" customWidth="1"/>
    <col min="9" max="11" width="14.85546875" style="232" customWidth="1"/>
    <col min="12" max="12" width="122.85546875" style="233" customWidth="1"/>
    <col min="13" max="16384" width="10.85546875" style="190"/>
  </cols>
  <sheetData>
    <row r="1" spans="1:26" s="293" customFormat="1" ht="19.5" x14ac:dyDescent="0.3">
      <c r="A1" s="466" t="str">
        <f>UPPER("établissement du Programme des Besoins • Données et explication")</f>
        <v>ÉTABLISSEMENT DU PROGRAMME DES BESOINS • DONNÉES ET EXPLICATION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s="182" customFormat="1" x14ac:dyDescent="0.25">
      <c r="A2" s="179"/>
      <c r="B2" s="179"/>
      <c r="C2" s="179"/>
      <c r="D2" s="179"/>
      <c r="E2" s="179"/>
      <c r="F2" s="179"/>
      <c r="G2" s="179"/>
      <c r="H2" s="180"/>
      <c r="I2" s="180"/>
      <c r="J2" s="180"/>
      <c r="K2" s="180"/>
      <c r="L2" s="181"/>
    </row>
    <row r="3" spans="1:26" s="184" customFormat="1" x14ac:dyDescent="0.25">
      <c r="A3" s="183" t="s">
        <v>123</v>
      </c>
      <c r="B3" s="184" t="s">
        <v>124</v>
      </c>
      <c r="C3" s="184" t="s">
        <v>125</v>
      </c>
      <c r="D3" s="184" t="s">
        <v>124</v>
      </c>
      <c r="E3" s="184" t="s">
        <v>126</v>
      </c>
      <c r="F3" s="184" t="s">
        <v>124</v>
      </c>
      <c r="G3" s="184" t="s">
        <v>598</v>
      </c>
      <c r="H3" s="184" t="s">
        <v>127</v>
      </c>
      <c r="I3" s="184" t="s">
        <v>323</v>
      </c>
      <c r="J3" s="304" t="s">
        <v>640</v>
      </c>
      <c r="K3" s="304" t="s">
        <v>643</v>
      </c>
      <c r="L3" s="184" t="s">
        <v>324</v>
      </c>
      <c r="M3" s="185"/>
      <c r="N3" s="185"/>
    </row>
    <row r="4" spans="1:26" ht="12.75" customHeight="1" x14ac:dyDescent="0.25">
      <c r="A4" s="160" t="s">
        <v>359</v>
      </c>
      <c r="B4" s="161" t="s">
        <v>128</v>
      </c>
      <c r="C4" s="162" t="s">
        <v>371</v>
      </c>
      <c r="D4" s="163" t="s">
        <v>129</v>
      </c>
      <c r="E4" s="186" t="s">
        <v>353</v>
      </c>
      <c r="F4" s="187" t="s">
        <v>130</v>
      </c>
      <c r="G4" s="187" t="str">
        <f>IF(ISBLANK(H4),"Ne pas utiliser",F4)</f>
        <v>Ne pas utiliser</v>
      </c>
      <c r="H4" s="188"/>
      <c r="I4" s="188"/>
      <c r="J4" s="188"/>
      <c r="K4" s="188"/>
      <c r="L4" s="189"/>
    </row>
    <row r="5" spans="1:26" ht="12.75" customHeight="1" x14ac:dyDescent="0.25">
      <c r="A5" s="147" t="s">
        <v>359</v>
      </c>
      <c r="B5" s="148" t="s">
        <v>128</v>
      </c>
      <c r="C5" s="149" t="str">
        <f t="shared" ref="C5:D11" si="0">C4</f>
        <v>A.1</v>
      </c>
      <c r="D5" s="147" t="str">
        <f t="shared" si="0"/>
        <v>Locaux de bureaux</v>
      </c>
      <c r="E5" s="238" t="s">
        <v>354</v>
      </c>
      <c r="F5" s="239" t="s">
        <v>634</v>
      </c>
      <c r="G5" s="239" t="str">
        <f t="shared" ref="G5:G82" si="1">IF(ISBLANK(H5),"Ne pas utiliser",F5)</f>
        <v>B. Cloisonné - Direction</v>
      </c>
      <c r="H5" s="240" t="s">
        <v>17</v>
      </c>
      <c r="I5" s="240" t="s">
        <v>325</v>
      </c>
      <c r="J5" s="240"/>
      <c r="K5" s="240"/>
      <c r="L5" s="241"/>
    </row>
    <row r="6" spans="1:26" ht="12.75" customHeight="1" x14ac:dyDescent="0.25">
      <c r="A6" s="147" t="s">
        <v>359</v>
      </c>
      <c r="B6" s="148" t="s">
        <v>128</v>
      </c>
      <c r="C6" s="149" t="str">
        <f t="shared" si="0"/>
        <v>A.1</v>
      </c>
      <c r="D6" s="147" t="str">
        <f t="shared" si="0"/>
        <v>Locaux de bureaux</v>
      </c>
      <c r="E6" s="238" t="s">
        <v>355</v>
      </c>
      <c r="F6" s="239" t="s">
        <v>633</v>
      </c>
      <c r="G6" s="239" t="str">
        <f t="shared" si="1"/>
        <v>B. Cloisonné - Standard</v>
      </c>
      <c r="H6" s="240" t="s">
        <v>17</v>
      </c>
      <c r="I6" s="240" t="s">
        <v>325</v>
      </c>
      <c r="J6" s="240"/>
      <c r="K6" s="240"/>
      <c r="L6" s="241"/>
    </row>
    <row r="7" spans="1:26" ht="12.75" customHeight="1" x14ac:dyDescent="0.25">
      <c r="A7" s="147" t="s">
        <v>359</v>
      </c>
      <c r="B7" s="148" t="s">
        <v>128</v>
      </c>
      <c r="C7" s="149" t="str">
        <f t="shared" si="0"/>
        <v>A.1</v>
      </c>
      <c r="D7" s="147" t="str">
        <f t="shared" si="0"/>
        <v>Locaux de bureaux</v>
      </c>
      <c r="E7" s="238" t="s">
        <v>356</v>
      </c>
      <c r="F7" s="239" t="s">
        <v>635</v>
      </c>
      <c r="G7" s="239" t="str">
        <f t="shared" si="1"/>
        <v>B. Cloisonné - Confidentiel</v>
      </c>
      <c r="H7" s="240" t="s">
        <v>17</v>
      </c>
      <c r="I7" s="240" t="s">
        <v>325</v>
      </c>
      <c r="J7" s="240"/>
      <c r="K7" s="240"/>
      <c r="L7" s="241" t="s">
        <v>330</v>
      </c>
    </row>
    <row r="8" spans="1:26" x14ac:dyDescent="0.25">
      <c r="A8" s="147" t="s">
        <v>359</v>
      </c>
      <c r="B8" s="148" t="s">
        <v>128</v>
      </c>
      <c r="C8" s="149" t="str">
        <f t="shared" si="0"/>
        <v>A.1</v>
      </c>
      <c r="D8" s="147" t="str">
        <f t="shared" si="0"/>
        <v>Locaux de bureaux</v>
      </c>
      <c r="E8" s="287" t="s">
        <v>357</v>
      </c>
      <c r="F8" s="288" t="s">
        <v>131</v>
      </c>
      <c r="G8" s="288" t="str">
        <f t="shared" si="1"/>
        <v>Ne pas utiliser</v>
      </c>
      <c r="H8" s="289"/>
      <c r="I8" s="289"/>
      <c r="J8" s="289"/>
      <c r="K8" s="289"/>
      <c r="L8" s="290" t="s">
        <v>331</v>
      </c>
    </row>
    <row r="9" spans="1:26" x14ac:dyDescent="0.25">
      <c r="A9" s="147" t="s">
        <v>359</v>
      </c>
      <c r="B9" s="148" t="s">
        <v>128</v>
      </c>
      <c r="C9" s="149" t="str">
        <f t="shared" si="0"/>
        <v>A.1</v>
      </c>
      <c r="D9" s="147" t="str">
        <f t="shared" si="0"/>
        <v>Locaux de bureaux</v>
      </c>
      <c r="E9" s="191" t="s">
        <v>630</v>
      </c>
      <c r="F9" s="192" t="s">
        <v>637</v>
      </c>
      <c r="G9" s="239" t="str">
        <f t="shared" si="1"/>
        <v>Paysager - Standard</v>
      </c>
      <c r="H9" s="240" t="s">
        <v>17</v>
      </c>
      <c r="I9" s="305" t="s">
        <v>23</v>
      </c>
      <c r="J9" s="240"/>
      <c r="K9" s="240"/>
      <c r="L9" s="241"/>
    </row>
    <row r="10" spans="1:26" x14ac:dyDescent="0.25">
      <c r="A10" s="147" t="s">
        <v>359</v>
      </c>
      <c r="B10" s="148" t="s">
        <v>128</v>
      </c>
      <c r="C10" s="149" t="str">
        <f t="shared" si="0"/>
        <v>A.1</v>
      </c>
      <c r="D10" s="147" t="str">
        <f t="shared" si="0"/>
        <v>Locaux de bureaux</v>
      </c>
      <c r="E10" s="191" t="s">
        <v>631</v>
      </c>
      <c r="F10" s="192" t="s">
        <v>638</v>
      </c>
      <c r="G10" s="239" t="str">
        <f t="shared" si="1"/>
        <v>Paysager - Call Center</v>
      </c>
      <c r="H10" s="240" t="s">
        <v>17</v>
      </c>
      <c r="I10" s="305" t="s">
        <v>23</v>
      </c>
      <c r="J10" s="240"/>
      <c r="K10" s="240"/>
      <c r="L10" s="241"/>
    </row>
    <row r="11" spans="1:26" x14ac:dyDescent="0.25">
      <c r="A11" s="147" t="s">
        <v>359</v>
      </c>
      <c r="B11" s="148" t="s">
        <v>128</v>
      </c>
      <c r="C11" s="149" t="str">
        <f t="shared" si="0"/>
        <v>A.1</v>
      </c>
      <c r="D11" s="147" t="str">
        <f t="shared" si="0"/>
        <v>Locaux de bureaux</v>
      </c>
      <c r="E11" s="191" t="s">
        <v>632</v>
      </c>
      <c r="F11" s="192" t="s">
        <v>639</v>
      </c>
      <c r="G11" s="239" t="str">
        <f t="shared" si="1"/>
        <v>Paysager - Satellite Office / Externe</v>
      </c>
      <c r="H11" s="240" t="s">
        <v>90</v>
      </c>
      <c r="I11" s="252" t="s">
        <v>23</v>
      </c>
      <c r="J11" s="193" t="s">
        <v>642</v>
      </c>
      <c r="K11" s="193">
        <v>6</v>
      </c>
      <c r="L11" s="194"/>
    </row>
    <row r="12" spans="1:26" x14ac:dyDescent="0.25">
      <c r="A12" s="147" t="s">
        <v>359</v>
      </c>
      <c r="B12" s="148" t="s">
        <v>128</v>
      </c>
      <c r="C12" s="149" t="str">
        <f>C8</f>
        <v>A.1</v>
      </c>
      <c r="D12" s="147" t="str">
        <f>D8</f>
        <v>Locaux de bureaux</v>
      </c>
      <c r="E12" s="195" t="s">
        <v>358</v>
      </c>
      <c r="F12" s="196" t="s">
        <v>132</v>
      </c>
      <c r="G12" s="196" t="str">
        <f t="shared" si="1"/>
        <v>Ne pas utiliser</v>
      </c>
      <c r="H12" s="197"/>
      <c r="I12" s="198"/>
      <c r="J12" s="198"/>
      <c r="K12" s="198"/>
      <c r="L12" s="199"/>
    </row>
    <row r="13" spans="1:26" x14ac:dyDescent="0.25">
      <c r="A13" s="147" t="s">
        <v>359</v>
      </c>
      <c r="B13" s="148" t="s">
        <v>128</v>
      </c>
      <c r="C13" s="171" t="s">
        <v>372</v>
      </c>
      <c r="D13" s="171" t="s">
        <v>133</v>
      </c>
      <c r="E13" s="200" t="str">
        <f>C13</f>
        <v>A.2</v>
      </c>
      <c r="F13" s="201" t="str">
        <f>D13</f>
        <v xml:space="preserve">Salles de réunion locales </v>
      </c>
      <c r="G13" s="201" t="str">
        <f t="shared" si="1"/>
        <v xml:space="preserve">Salles de réunion locales </v>
      </c>
      <c r="H13" s="202" t="s">
        <v>18</v>
      </c>
      <c r="I13" s="202" t="s">
        <v>326</v>
      </c>
      <c r="J13" s="202"/>
      <c r="K13" s="202"/>
      <c r="L13" s="203"/>
    </row>
    <row r="14" spans="1:26" x14ac:dyDescent="0.25">
      <c r="A14" s="147" t="s">
        <v>359</v>
      </c>
      <c r="B14" s="148" t="s">
        <v>128</v>
      </c>
      <c r="C14" s="171" t="s">
        <v>373</v>
      </c>
      <c r="D14" s="169" t="s">
        <v>134</v>
      </c>
      <c r="E14" s="242" t="s">
        <v>601</v>
      </c>
      <c r="F14" s="243" t="s">
        <v>135</v>
      </c>
      <c r="G14" s="243" t="str">
        <f t="shared" si="1"/>
        <v>Archives vivantes sur étagères</v>
      </c>
      <c r="H14" s="244" t="s">
        <v>18</v>
      </c>
      <c r="I14" s="244" t="s">
        <v>327</v>
      </c>
      <c r="J14" s="244"/>
      <c r="K14" s="244"/>
      <c r="L14" s="245"/>
    </row>
    <row r="15" spans="1:26" x14ac:dyDescent="0.25">
      <c r="A15" s="147" t="s">
        <v>359</v>
      </c>
      <c r="B15" s="148" t="s">
        <v>128</v>
      </c>
      <c r="C15" s="149" t="str">
        <f>C14</f>
        <v>A.3</v>
      </c>
      <c r="D15" s="147" t="str">
        <f>D14</f>
        <v>Archives vivantes</v>
      </c>
      <c r="E15" s="238" t="s">
        <v>602</v>
      </c>
      <c r="F15" s="239" t="s">
        <v>136</v>
      </c>
      <c r="G15" s="239" t="str">
        <f t="shared" si="1"/>
        <v>Archives vivantes compactes</v>
      </c>
      <c r="H15" s="240" t="s">
        <v>18</v>
      </c>
      <c r="I15" s="240" t="s">
        <v>327</v>
      </c>
      <c r="J15" s="240"/>
      <c r="K15" s="240"/>
      <c r="L15" s="241"/>
    </row>
    <row r="16" spans="1:26" x14ac:dyDescent="0.25">
      <c r="A16" s="147" t="s">
        <v>359</v>
      </c>
      <c r="B16" s="148" t="s">
        <v>128</v>
      </c>
      <c r="C16" s="149" t="str">
        <f t="shared" ref="C16:D17" si="2">C15</f>
        <v>A.3</v>
      </c>
      <c r="D16" s="147" t="str">
        <f t="shared" si="2"/>
        <v>Archives vivantes</v>
      </c>
      <c r="E16" s="238" t="s">
        <v>722</v>
      </c>
      <c r="F16" s="243" t="s">
        <v>723</v>
      </c>
      <c r="G16" s="239" t="str">
        <f t="shared" si="1"/>
        <v>Archives vivantes sur étagères (au-delà de 1 m²/ETPc)</v>
      </c>
      <c r="H16" s="240" t="s">
        <v>90</v>
      </c>
      <c r="I16" s="240" t="s">
        <v>327</v>
      </c>
      <c r="J16" s="240"/>
      <c r="K16" s="240"/>
      <c r="L16" s="241"/>
    </row>
    <row r="17" spans="1:12" x14ac:dyDescent="0.25">
      <c r="A17" s="147" t="s">
        <v>359</v>
      </c>
      <c r="B17" s="148" t="s">
        <v>128</v>
      </c>
      <c r="C17" s="149" t="str">
        <f t="shared" si="2"/>
        <v>A.3</v>
      </c>
      <c r="D17" s="147" t="str">
        <f t="shared" si="2"/>
        <v>Archives vivantes</v>
      </c>
      <c r="E17" s="238" t="s">
        <v>724</v>
      </c>
      <c r="F17" s="239" t="s">
        <v>725</v>
      </c>
      <c r="G17" s="239" t="str">
        <f t="shared" si="1"/>
        <v>Archives vivantes compactes (au-delà de 1 m²/ETPc)</v>
      </c>
      <c r="H17" s="240" t="s">
        <v>90</v>
      </c>
      <c r="I17" s="240" t="s">
        <v>327</v>
      </c>
      <c r="J17" s="240"/>
      <c r="K17" s="240"/>
      <c r="L17" s="241"/>
    </row>
    <row r="18" spans="1:12" x14ac:dyDescent="0.25">
      <c r="A18" s="147" t="s">
        <v>359</v>
      </c>
      <c r="B18" s="148" t="s">
        <v>128</v>
      </c>
      <c r="C18" s="150" t="str">
        <f>C15</f>
        <v>A.3</v>
      </c>
      <c r="D18" s="147" t="str">
        <f>D15</f>
        <v>Archives vivantes</v>
      </c>
      <c r="E18" s="195" t="s">
        <v>137</v>
      </c>
      <c r="F18" s="196" t="s">
        <v>132</v>
      </c>
      <c r="G18" s="196" t="str">
        <f t="shared" si="1"/>
        <v>Ne pas utiliser</v>
      </c>
      <c r="H18" s="198"/>
      <c r="I18" s="198"/>
      <c r="J18" s="198"/>
      <c r="K18" s="198"/>
      <c r="L18" s="199"/>
    </row>
    <row r="19" spans="1:12" x14ac:dyDescent="0.25">
      <c r="A19" s="147" t="s">
        <v>359</v>
      </c>
      <c r="B19" s="148" t="s">
        <v>128</v>
      </c>
      <c r="C19" s="171" t="s">
        <v>374</v>
      </c>
      <c r="D19" s="169" t="s">
        <v>138</v>
      </c>
      <c r="E19" s="242" t="s">
        <v>603</v>
      </c>
      <c r="F19" s="243" t="s">
        <v>332</v>
      </c>
      <c r="G19" s="243" t="str">
        <f t="shared" si="1"/>
        <v>Locaux photocopie / imprimant / print corner</v>
      </c>
      <c r="H19" s="244" t="s">
        <v>18</v>
      </c>
      <c r="I19" s="244" t="s">
        <v>24</v>
      </c>
      <c r="J19" s="244"/>
      <c r="K19" s="244"/>
      <c r="L19" s="245"/>
    </row>
    <row r="20" spans="1:12" x14ac:dyDescent="0.25">
      <c r="A20" s="147" t="s">
        <v>359</v>
      </c>
      <c r="B20" s="148" t="s">
        <v>128</v>
      </c>
      <c r="C20" s="149" t="str">
        <f>C19</f>
        <v>A.4</v>
      </c>
      <c r="D20" s="147" t="str">
        <f>D19</f>
        <v>Locaux divers assimilés aux bureaux</v>
      </c>
      <c r="E20" s="238" t="s">
        <v>604</v>
      </c>
      <c r="F20" s="239" t="s">
        <v>139</v>
      </c>
      <c r="G20" s="239" t="str">
        <f t="shared" si="1"/>
        <v>Locaux chauffeurs</v>
      </c>
      <c r="H20" s="240" t="s">
        <v>90</v>
      </c>
      <c r="I20" s="240" t="s">
        <v>325</v>
      </c>
      <c r="J20" s="240" t="s">
        <v>40</v>
      </c>
      <c r="K20" s="240">
        <v>6</v>
      </c>
      <c r="L20" s="241" t="s">
        <v>333</v>
      </c>
    </row>
    <row r="21" spans="1:12" x14ac:dyDescent="0.25">
      <c r="A21" s="147" t="s">
        <v>359</v>
      </c>
      <c r="B21" s="148" t="s">
        <v>128</v>
      </c>
      <c r="C21" s="150" t="str">
        <f>C20</f>
        <v>A.4</v>
      </c>
      <c r="D21" s="147" t="str">
        <f>D20</f>
        <v>Locaux divers assimilés aux bureaux</v>
      </c>
      <c r="E21" s="195" t="s">
        <v>605</v>
      </c>
      <c r="F21" s="196" t="s">
        <v>132</v>
      </c>
      <c r="G21" s="196" t="str">
        <f t="shared" si="1"/>
        <v>Ne pas utiliser</v>
      </c>
      <c r="H21" s="198"/>
      <c r="I21" s="198"/>
      <c r="J21" s="198"/>
      <c r="K21" s="198"/>
      <c r="L21" s="199"/>
    </row>
    <row r="22" spans="1:12" ht="15.75" thickBot="1" x14ac:dyDescent="0.3">
      <c r="A22" s="147" t="s">
        <v>359</v>
      </c>
      <c r="B22" s="148" t="s">
        <v>128</v>
      </c>
      <c r="C22" s="171" t="s">
        <v>140</v>
      </c>
      <c r="D22" s="169" t="s">
        <v>132</v>
      </c>
      <c r="E22" s="204" t="str">
        <f>C22</f>
        <v>A.9.</v>
      </c>
      <c r="F22" s="187" t="str">
        <f>D22</f>
        <v>Autres</v>
      </c>
      <c r="G22" s="187" t="str">
        <f t="shared" si="1"/>
        <v>Ne pas utiliser</v>
      </c>
      <c r="H22" s="188"/>
      <c r="I22" s="188"/>
      <c r="J22" s="188"/>
      <c r="K22" s="188"/>
      <c r="L22" s="189"/>
    </row>
    <row r="23" spans="1:12" x14ac:dyDescent="0.25">
      <c r="A23" s="165" t="s">
        <v>360</v>
      </c>
      <c r="B23" s="166" t="s">
        <v>141</v>
      </c>
      <c r="C23" s="167" t="s">
        <v>560</v>
      </c>
      <c r="D23" s="168" t="s">
        <v>142</v>
      </c>
      <c r="E23" s="246" t="s">
        <v>568</v>
      </c>
      <c r="F23" s="247" t="s">
        <v>143</v>
      </c>
      <c r="G23" s="247" t="str">
        <f t="shared" si="1"/>
        <v>Laboratoires</v>
      </c>
      <c r="H23" s="248" t="s">
        <v>90</v>
      </c>
      <c r="I23" s="248" t="s">
        <v>328</v>
      </c>
      <c r="J23" s="248" t="s">
        <v>644</v>
      </c>
      <c r="K23" s="248"/>
      <c r="L23" s="249"/>
    </row>
    <row r="24" spans="1:12" x14ac:dyDescent="0.25">
      <c r="A24" s="147" t="str">
        <f>A23</f>
        <v>B</v>
      </c>
      <c r="B24" s="148" t="str">
        <f>B23</f>
        <v>Locaux spécifiques</v>
      </c>
      <c r="C24" s="149" t="str">
        <f>C23</f>
        <v>B.1</v>
      </c>
      <c r="D24" s="147" t="str">
        <f>D23</f>
        <v>Locaux à caractère scientifique et de recherche</v>
      </c>
      <c r="E24" s="238" t="s">
        <v>569</v>
      </c>
      <c r="F24" s="239" t="s">
        <v>144</v>
      </c>
      <c r="G24" s="239" t="str">
        <f t="shared" si="1"/>
        <v>Ateliers de restauration d'œuvres d'art</v>
      </c>
      <c r="H24" s="240" t="s">
        <v>90</v>
      </c>
      <c r="I24" s="240" t="s">
        <v>328</v>
      </c>
      <c r="J24" s="240" t="s">
        <v>644</v>
      </c>
      <c r="K24" s="240"/>
      <c r="L24" s="241"/>
    </row>
    <row r="25" spans="1:12" x14ac:dyDescent="0.25">
      <c r="A25" s="147" t="str">
        <f t="shared" ref="A25:A64" si="3">A24</f>
        <v>B</v>
      </c>
      <c r="B25" s="148" t="str">
        <f t="shared" ref="B25:B64" si="4">B24</f>
        <v>Locaux spécifiques</v>
      </c>
      <c r="C25" s="149" t="str">
        <f t="shared" ref="C25:C26" si="5">C24</f>
        <v>B.1</v>
      </c>
      <c r="D25" s="147" t="str">
        <f t="shared" ref="D25:D26" si="6">D24</f>
        <v>Locaux à caractère scientifique et de recherche</v>
      </c>
      <c r="E25" s="238" t="s">
        <v>570</v>
      </c>
      <c r="F25" s="239" t="s">
        <v>145</v>
      </c>
      <c r="G25" s="239" t="str">
        <f t="shared" si="1"/>
        <v>Taxidermie</v>
      </c>
      <c r="H25" s="240" t="s">
        <v>90</v>
      </c>
      <c r="I25" s="240" t="s">
        <v>328</v>
      </c>
      <c r="J25" s="240" t="s">
        <v>644</v>
      </c>
      <c r="K25" s="240"/>
      <c r="L25" s="241"/>
    </row>
    <row r="26" spans="1:12" x14ac:dyDescent="0.25">
      <c r="A26" s="147" t="str">
        <f t="shared" si="3"/>
        <v>B</v>
      </c>
      <c r="B26" s="148" t="str">
        <f t="shared" si="4"/>
        <v>Locaux spécifiques</v>
      </c>
      <c r="C26" s="149" t="str">
        <f t="shared" si="5"/>
        <v>B.1</v>
      </c>
      <c r="D26" s="147" t="str">
        <f t="shared" si="6"/>
        <v>Locaux à caractère scientifique et de recherche</v>
      </c>
      <c r="E26" s="195" t="s">
        <v>571</v>
      </c>
      <c r="F26" s="196" t="s">
        <v>132</v>
      </c>
      <c r="G26" s="196" t="str">
        <f t="shared" si="1"/>
        <v>Ne pas utiliser</v>
      </c>
      <c r="H26" s="198"/>
      <c r="I26" s="198"/>
      <c r="J26" s="198"/>
      <c r="K26" s="198"/>
      <c r="L26" s="199"/>
    </row>
    <row r="27" spans="1:12" x14ac:dyDescent="0.25">
      <c r="A27" s="147" t="str">
        <f t="shared" si="3"/>
        <v>B</v>
      </c>
      <c r="B27" s="148" t="str">
        <f t="shared" si="4"/>
        <v>Locaux spécifiques</v>
      </c>
      <c r="C27" s="171" t="s">
        <v>561</v>
      </c>
      <c r="D27" s="169" t="s">
        <v>146</v>
      </c>
      <c r="E27" s="250" t="s">
        <v>572</v>
      </c>
      <c r="F27" s="251" t="s">
        <v>613</v>
      </c>
      <c r="G27" s="251" t="str">
        <f t="shared" si="1"/>
        <v>Salle serveur</v>
      </c>
      <c r="H27" s="252" t="s">
        <v>90</v>
      </c>
      <c r="I27" s="252" t="s">
        <v>329</v>
      </c>
      <c r="J27" s="252" t="s">
        <v>657</v>
      </c>
      <c r="K27" s="252">
        <v>4</v>
      </c>
      <c r="L27" s="253"/>
    </row>
    <row r="28" spans="1:12" x14ac:dyDescent="0.25">
      <c r="A28" s="153" t="str">
        <f t="shared" si="3"/>
        <v>B</v>
      </c>
      <c r="B28" s="148" t="str">
        <f t="shared" si="4"/>
        <v>Locaux spécifiques</v>
      </c>
      <c r="C28" s="153" t="str">
        <f t="shared" ref="C28:C33" si="7">C27</f>
        <v>B.2</v>
      </c>
      <c r="D28" s="147" t="str">
        <f t="shared" ref="D28:D33" si="8">D27</f>
        <v>Centres de traitement de l'information (CTI)</v>
      </c>
      <c r="E28" s="238" t="s">
        <v>614</v>
      </c>
      <c r="F28" s="239" t="s">
        <v>342</v>
      </c>
      <c r="G28" s="239" t="str">
        <f t="shared" si="1"/>
        <v>UPS</v>
      </c>
      <c r="H28" s="240" t="s">
        <v>90</v>
      </c>
      <c r="I28" s="240" t="s">
        <v>25</v>
      </c>
      <c r="J28" s="240" t="s">
        <v>646</v>
      </c>
      <c r="K28" s="240"/>
      <c r="L28" s="241" t="s">
        <v>343</v>
      </c>
    </row>
    <row r="29" spans="1:12" x14ac:dyDescent="0.25">
      <c r="A29" s="153" t="str">
        <f t="shared" si="3"/>
        <v>B</v>
      </c>
      <c r="B29" s="148" t="str">
        <f t="shared" si="4"/>
        <v>Locaux spécifiques</v>
      </c>
      <c r="C29" s="153" t="str">
        <f t="shared" si="7"/>
        <v>B.2</v>
      </c>
      <c r="D29" s="147" t="str">
        <f t="shared" si="8"/>
        <v>Centres de traitement de l'information (CTI)</v>
      </c>
      <c r="E29" s="238" t="s">
        <v>615</v>
      </c>
      <c r="F29" s="239" t="s">
        <v>337</v>
      </c>
      <c r="G29" s="239" t="str">
        <f t="shared" si="1"/>
        <v>Batteries UPS</v>
      </c>
      <c r="H29" s="240" t="s">
        <v>90</v>
      </c>
      <c r="I29" s="240" t="s">
        <v>25</v>
      </c>
      <c r="J29" s="240" t="s">
        <v>646</v>
      </c>
      <c r="K29" s="240"/>
      <c r="L29" s="241" t="s">
        <v>344</v>
      </c>
    </row>
    <row r="30" spans="1:12" x14ac:dyDescent="0.25">
      <c r="A30" s="153" t="str">
        <f t="shared" si="3"/>
        <v>B</v>
      </c>
      <c r="B30" s="148" t="str">
        <f t="shared" si="4"/>
        <v>Locaux spécifiques</v>
      </c>
      <c r="C30" s="153" t="str">
        <f t="shared" si="7"/>
        <v>B.2</v>
      </c>
      <c r="D30" s="147" t="str">
        <f t="shared" si="8"/>
        <v>Centres de traitement de l'information (CTI)</v>
      </c>
      <c r="E30" s="238" t="s">
        <v>616</v>
      </c>
      <c r="F30" s="239" t="s">
        <v>336</v>
      </c>
      <c r="G30" s="239" t="str">
        <f t="shared" si="1"/>
        <v>Groupe électrogène</v>
      </c>
      <c r="H30" s="240" t="s">
        <v>90</v>
      </c>
      <c r="I30" s="240" t="s">
        <v>25</v>
      </c>
      <c r="J30" s="240" t="s">
        <v>646</v>
      </c>
      <c r="K30" s="240"/>
      <c r="L30" s="241"/>
    </row>
    <row r="31" spans="1:12" x14ac:dyDescent="0.25">
      <c r="A31" s="153" t="str">
        <f t="shared" si="3"/>
        <v>B</v>
      </c>
      <c r="B31" s="148" t="str">
        <f t="shared" si="4"/>
        <v>Locaux spécifiques</v>
      </c>
      <c r="C31" s="153" t="str">
        <f t="shared" si="7"/>
        <v>B.2</v>
      </c>
      <c r="D31" s="147" t="str">
        <f t="shared" si="8"/>
        <v>Centres de traitement de l'information (CTI)</v>
      </c>
      <c r="E31" s="238" t="s">
        <v>617</v>
      </c>
      <c r="F31" s="239" t="s">
        <v>338</v>
      </c>
      <c r="G31" s="239" t="str">
        <f t="shared" si="1"/>
        <v>Stockage fuel</v>
      </c>
      <c r="H31" s="240" t="s">
        <v>90</v>
      </c>
      <c r="I31" s="240" t="s">
        <v>25</v>
      </c>
      <c r="J31" s="240" t="s">
        <v>645</v>
      </c>
      <c r="K31" s="240"/>
      <c r="L31" s="241"/>
    </row>
    <row r="32" spans="1:12" x14ac:dyDescent="0.25">
      <c r="A32" s="153" t="str">
        <f t="shared" si="3"/>
        <v>B</v>
      </c>
      <c r="B32" s="148" t="str">
        <f t="shared" si="4"/>
        <v>Locaux spécifiques</v>
      </c>
      <c r="C32" s="153" t="str">
        <f t="shared" si="7"/>
        <v>B.2</v>
      </c>
      <c r="D32" s="147" t="str">
        <f t="shared" si="8"/>
        <v>Centres de traitement de l'information (CTI)</v>
      </c>
      <c r="E32" s="238" t="s">
        <v>618</v>
      </c>
      <c r="F32" s="239" t="s">
        <v>339</v>
      </c>
      <c r="G32" s="239" t="str">
        <f t="shared" si="1"/>
        <v>Stockage gaz extinction automatique</v>
      </c>
      <c r="H32" s="240" t="s">
        <v>90</v>
      </c>
      <c r="I32" s="240" t="s">
        <v>25</v>
      </c>
      <c r="J32" s="240" t="s">
        <v>647</v>
      </c>
      <c r="K32" s="240"/>
      <c r="L32" s="241" t="s">
        <v>340</v>
      </c>
    </row>
    <row r="33" spans="1:12" x14ac:dyDescent="0.25">
      <c r="A33" s="153" t="str">
        <f t="shared" si="3"/>
        <v>B</v>
      </c>
      <c r="B33" s="148" t="str">
        <f t="shared" si="4"/>
        <v>Locaux spécifiques</v>
      </c>
      <c r="C33" s="153" t="str">
        <f t="shared" si="7"/>
        <v>B.2</v>
      </c>
      <c r="D33" s="147" t="str">
        <f t="shared" si="8"/>
        <v>Centres de traitement de l'information (CTI)</v>
      </c>
      <c r="E33" s="284" t="s">
        <v>619</v>
      </c>
      <c r="F33" s="239" t="s">
        <v>341</v>
      </c>
      <c r="G33" s="239" t="str">
        <f t="shared" si="1"/>
        <v>Inverseur et tableaux électriques externes</v>
      </c>
      <c r="H33" s="240" t="s">
        <v>90</v>
      </c>
      <c r="I33" s="240" t="s">
        <v>25</v>
      </c>
      <c r="J33" s="240" t="s">
        <v>646</v>
      </c>
      <c r="K33" s="240"/>
      <c r="L33" s="241"/>
    </row>
    <row r="34" spans="1:12" x14ac:dyDescent="0.25">
      <c r="A34" s="153" t="str">
        <f t="shared" ref="A34:A35" si="9">A33</f>
        <v>B</v>
      </c>
      <c r="B34" s="148" t="str">
        <f t="shared" ref="B34:B35" si="10">B33</f>
        <v>Locaux spécifiques</v>
      </c>
      <c r="C34" s="153" t="str">
        <f t="shared" ref="C34" si="11">C33</f>
        <v>B.2</v>
      </c>
      <c r="D34" s="147" t="str">
        <f t="shared" ref="D34" si="12">D33</f>
        <v>Centres de traitement de l'information (CTI)</v>
      </c>
      <c r="E34" s="228" t="s">
        <v>620</v>
      </c>
      <c r="F34" s="192" t="s">
        <v>621</v>
      </c>
      <c r="G34" s="192" t="str">
        <f t="shared" si="1"/>
        <v xml:space="preserve">Salle de configuration </v>
      </c>
      <c r="H34" s="193" t="s">
        <v>18</v>
      </c>
      <c r="I34" s="193" t="s">
        <v>24</v>
      </c>
      <c r="J34" s="193"/>
      <c r="K34" s="193"/>
      <c r="L34" s="194" t="s">
        <v>622</v>
      </c>
    </row>
    <row r="35" spans="1:12" x14ac:dyDescent="0.25">
      <c r="A35" s="153" t="str">
        <f t="shared" si="9"/>
        <v>B</v>
      </c>
      <c r="B35" s="148" t="str">
        <f t="shared" si="10"/>
        <v>Locaux spécifiques</v>
      </c>
      <c r="C35" s="151" t="str">
        <f>C27</f>
        <v>B.2</v>
      </c>
      <c r="D35" s="152" t="str">
        <f>D27</f>
        <v>Centres de traitement de l'information (CTI)</v>
      </c>
      <c r="E35" s="195" t="s">
        <v>573</v>
      </c>
      <c r="F35" s="196" t="s">
        <v>132</v>
      </c>
      <c r="G35" s="196" t="str">
        <f t="shared" si="1"/>
        <v>Ne pas utiliser</v>
      </c>
      <c r="H35" s="198"/>
      <c r="I35" s="198"/>
      <c r="J35" s="198"/>
      <c r="K35" s="198"/>
      <c r="L35" s="199"/>
    </row>
    <row r="36" spans="1:12" x14ac:dyDescent="0.25">
      <c r="A36" s="147" t="str">
        <f t="shared" si="3"/>
        <v>B</v>
      </c>
      <c r="B36" s="148" t="str">
        <f t="shared" si="4"/>
        <v>Locaux spécifiques</v>
      </c>
      <c r="C36" s="171" t="s">
        <v>562</v>
      </c>
      <c r="D36" s="169" t="s">
        <v>147</v>
      </c>
      <c r="E36" s="250" t="s">
        <v>574</v>
      </c>
      <c r="F36" s="251" t="s">
        <v>148</v>
      </c>
      <c r="G36" s="251" t="str">
        <f t="shared" si="1"/>
        <v>Salles de Conférence</v>
      </c>
      <c r="H36" s="252" t="s">
        <v>90</v>
      </c>
      <c r="I36" s="252" t="s">
        <v>24</v>
      </c>
      <c r="J36" s="252" t="s">
        <v>46</v>
      </c>
      <c r="K36" s="252">
        <v>1.25</v>
      </c>
      <c r="L36" s="253"/>
    </row>
    <row r="37" spans="1:12" x14ac:dyDescent="0.25">
      <c r="A37" s="147" t="str">
        <f t="shared" si="3"/>
        <v>B</v>
      </c>
      <c r="B37" s="148" t="str">
        <f t="shared" si="4"/>
        <v>Locaux spécifiques</v>
      </c>
      <c r="C37" s="149" t="str">
        <f>C36</f>
        <v>B.3</v>
      </c>
      <c r="D37" s="147" t="str">
        <f>D36</f>
        <v>Locaux de communication</v>
      </c>
      <c r="E37" s="238" t="s">
        <v>575</v>
      </c>
      <c r="F37" s="239" t="s">
        <v>149</v>
      </c>
      <c r="G37" s="239" t="str">
        <f t="shared" si="1"/>
        <v>Salles de Presse</v>
      </c>
      <c r="H37" s="240" t="s">
        <v>90</v>
      </c>
      <c r="I37" s="240" t="s">
        <v>24</v>
      </c>
      <c r="J37" s="240" t="s">
        <v>46</v>
      </c>
      <c r="K37" s="240">
        <v>1.25</v>
      </c>
      <c r="L37" s="241"/>
    </row>
    <row r="38" spans="1:12" x14ac:dyDescent="0.25">
      <c r="A38" s="147" t="str">
        <f t="shared" si="3"/>
        <v>B</v>
      </c>
      <c r="B38" s="148" t="str">
        <f t="shared" si="4"/>
        <v>Locaux spécifiques</v>
      </c>
      <c r="C38" s="149" t="str">
        <f t="shared" ref="C38:C41" si="13">C37</f>
        <v>B.3</v>
      </c>
      <c r="D38" s="147" t="str">
        <f t="shared" ref="D38:D41" si="14">D37</f>
        <v>Locaux de communication</v>
      </c>
      <c r="E38" s="238" t="s">
        <v>576</v>
      </c>
      <c r="F38" s="239" t="s">
        <v>150</v>
      </c>
      <c r="G38" s="239" t="str">
        <f t="shared" si="1"/>
        <v>Grandes salles de réunion communes</v>
      </c>
      <c r="H38" s="240" t="s">
        <v>90</v>
      </c>
      <c r="I38" s="240" t="s">
        <v>24</v>
      </c>
      <c r="J38" s="240" t="s">
        <v>46</v>
      </c>
      <c r="K38" s="240">
        <v>2</v>
      </c>
      <c r="L38" s="241"/>
    </row>
    <row r="39" spans="1:12" x14ac:dyDescent="0.25">
      <c r="A39" s="147" t="str">
        <f t="shared" si="3"/>
        <v>B</v>
      </c>
      <c r="B39" s="148" t="str">
        <f t="shared" si="4"/>
        <v>Locaux spécifiques</v>
      </c>
      <c r="C39" s="149" t="str">
        <f t="shared" si="13"/>
        <v>B.3</v>
      </c>
      <c r="D39" s="147" t="str">
        <f t="shared" si="14"/>
        <v>Locaux de communication</v>
      </c>
      <c r="E39" s="238" t="s">
        <v>577</v>
      </c>
      <c r="F39" s="239" t="s">
        <v>151</v>
      </c>
      <c r="G39" s="239" t="str">
        <f t="shared" si="1"/>
        <v>Cabines d'interprètes</v>
      </c>
      <c r="H39" s="240" t="s">
        <v>90</v>
      </c>
      <c r="I39" s="240" t="s">
        <v>24</v>
      </c>
      <c r="J39" s="240" t="s">
        <v>46</v>
      </c>
      <c r="K39" s="240">
        <v>4</v>
      </c>
      <c r="L39" s="241"/>
    </row>
    <row r="40" spans="1:12" x14ac:dyDescent="0.25">
      <c r="A40" s="147" t="str">
        <f t="shared" si="3"/>
        <v>B</v>
      </c>
      <c r="B40" s="148" t="str">
        <f t="shared" si="4"/>
        <v>Locaux spécifiques</v>
      </c>
      <c r="C40" s="149" t="str">
        <f t="shared" si="13"/>
        <v>B.3</v>
      </c>
      <c r="D40" s="147" t="str">
        <f t="shared" si="14"/>
        <v>Locaux de communication</v>
      </c>
      <c r="E40" s="238" t="s">
        <v>578</v>
      </c>
      <c r="F40" s="239" t="s">
        <v>152</v>
      </c>
      <c r="G40" s="239" t="str">
        <f t="shared" si="1"/>
        <v>Locaux "régie" pour salles</v>
      </c>
      <c r="H40" s="240" t="s">
        <v>90</v>
      </c>
      <c r="I40" s="240" t="s">
        <v>24</v>
      </c>
      <c r="J40" s="240" t="s">
        <v>648</v>
      </c>
      <c r="K40" s="240"/>
      <c r="L40" s="241"/>
    </row>
    <row r="41" spans="1:12" x14ac:dyDescent="0.25">
      <c r="A41" s="147" t="str">
        <f t="shared" si="3"/>
        <v>B</v>
      </c>
      <c r="B41" s="148" t="str">
        <f t="shared" si="4"/>
        <v>Locaux spécifiques</v>
      </c>
      <c r="C41" s="149" t="str">
        <f t="shared" si="13"/>
        <v>B.3</v>
      </c>
      <c r="D41" s="147" t="str">
        <f t="shared" si="14"/>
        <v>Locaux de communication</v>
      </c>
      <c r="E41" s="195" t="s">
        <v>153</v>
      </c>
      <c r="F41" s="196" t="s">
        <v>132</v>
      </c>
      <c r="G41" s="196" t="str">
        <f t="shared" si="1"/>
        <v>Ne pas utiliser</v>
      </c>
      <c r="H41" s="198"/>
      <c r="I41" s="198"/>
      <c r="J41" s="198"/>
      <c r="K41" s="198"/>
      <c r="L41" s="199"/>
    </row>
    <row r="42" spans="1:12" x14ac:dyDescent="0.25">
      <c r="A42" s="147" t="str">
        <f t="shared" si="3"/>
        <v>B</v>
      </c>
      <c r="B42" s="148" t="str">
        <f t="shared" si="4"/>
        <v>Locaux spécifiques</v>
      </c>
      <c r="C42" s="171" t="s">
        <v>563</v>
      </c>
      <c r="D42" s="169" t="s">
        <v>154</v>
      </c>
      <c r="E42" s="250" t="s">
        <v>579</v>
      </c>
      <c r="F42" s="251" t="s">
        <v>155</v>
      </c>
      <c r="G42" s="251" t="str">
        <f t="shared" si="1"/>
        <v>Salles de cours</v>
      </c>
      <c r="H42" s="252" t="s">
        <v>90</v>
      </c>
      <c r="I42" s="252" t="s">
        <v>24</v>
      </c>
      <c r="J42" s="252" t="s">
        <v>46</v>
      </c>
      <c r="K42" s="252">
        <v>1.8</v>
      </c>
      <c r="L42" s="253"/>
    </row>
    <row r="43" spans="1:12" x14ac:dyDescent="0.25">
      <c r="A43" s="147" t="str">
        <f t="shared" si="3"/>
        <v>B</v>
      </c>
      <c r="B43" s="148" t="str">
        <f t="shared" si="4"/>
        <v>Locaux spécifiques</v>
      </c>
      <c r="C43" s="149" t="str">
        <f>C42</f>
        <v>B.4</v>
      </c>
      <c r="D43" s="147" t="str">
        <f>D42</f>
        <v>Locaux de transmission de la connaissance</v>
      </c>
      <c r="E43" s="238" t="s">
        <v>580</v>
      </c>
      <c r="F43" s="239" t="s">
        <v>156</v>
      </c>
      <c r="G43" s="239" t="str">
        <f t="shared" si="1"/>
        <v>Bibliothèques</v>
      </c>
      <c r="H43" s="240" t="s">
        <v>90</v>
      </c>
      <c r="I43" s="240" t="s">
        <v>24</v>
      </c>
      <c r="J43" s="240" t="s">
        <v>649</v>
      </c>
      <c r="K43" s="240"/>
      <c r="L43" s="241"/>
    </row>
    <row r="44" spans="1:12" x14ac:dyDescent="0.25">
      <c r="A44" s="147" t="str">
        <f t="shared" si="3"/>
        <v>B</v>
      </c>
      <c r="B44" s="148" t="str">
        <f t="shared" si="4"/>
        <v>Locaux spécifiques</v>
      </c>
      <c r="C44" s="149" t="str">
        <f>C43</f>
        <v>B.4</v>
      </c>
      <c r="D44" s="147" t="str">
        <f>D43</f>
        <v>Locaux de transmission de la connaissance</v>
      </c>
      <c r="E44" s="195" t="s">
        <v>157</v>
      </c>
      <c r="F44" s="196" t="s">
        <v>132</v>
      </c>
      <c r="G44" s="196" t="str">
        <f t="shared" si="1"/>
        <v>Ne pas utiliser</v>
      </c>
      <c r="H44" s="198"/>
      <c r="I44" s="198"/>
      <c r="J44" s="198"/>
      <c r="K44" s="198"/>
      <c r="L44" s="199"/>
    </row>
    <row r="45" spans="1:12" x14ac:dyDescent="0.25">
      <c r="A45" s="147" t="str">
        <f t="shared" si="3"/>
        <v>B</v>
      </c>
      <c r="B45" s="148" t="str">
        <f t="shared" si="4"/>
        <v>Locaux spécifiques</v>
      </c>
      <c r="C45" s="171" t="s">
        <v>564</v>
      </c>
      <c r="D45" s="169" t="s">
        <v>158</v>
      </c>
      <c r="E45" s="242" t="s">
        <v>581</v>
      </c>
      <c r="F45" s="243" t="s">
        <v>159</v>
      </c>
      <c r="G45" s="243" t="str">
        <f t="shared" si="1"/>
        <v>Salles des guichets</v>
      </c>
      <c r="H45" s="244" t="s">
        <v>90</v>
      </c>
      <c r="I45" s="244" t="s">
        <v>23</v>
      </c>
      <c r="J45" s="244" t="s">
        <v>650</v>
      </c>
      <c r="K45" s="244"/>
      <c r="L45" s="245"/>
    </row>
    <row r="46" spans="1:12" x14ac:dyDescent="0.25">
      <c r="A46" s="147" t="str">
        <f t="shared" si="3"/>
        <v>B</v>
      </c>
      <c r="B46" s="148" t="str">
        <f t="shared" si="4"/>
        <v>Locaux spécifiques</v>
      </c>
      <c r="C46" s="149" t="str">
        <f>C45</f>
        <v>B.5</v>
      </c>
      <c r="D46" s="147" t="str">
        <f>D45</f>
        <v xml:space="preserve"> Locaux de contact avec le public</v>
      </c>
      <c r="E46" s="238" t="s">
        <v>582</v>
      </c>
      <c r="F46" s="239" t="s">
        <v>160</v>
      </c>
      <c r="G46" s="239" t="str">
        <f t="shared" si="1"/>
        <v>"Front office"</v>
      </c>
      <c r="H46" s="240" t="s">
        <v>90</v>
      </c>
      <c r="I46" s="240" t="s">
        <v>23</v>
      </c>
      <c r="J46" s="240" t="s">
        <v>650</v>
      </c>
      <c r="K46" s="240"/>
      <c r="L46" s="241"/>
    </row>
    <row r="47" spans="1:12" x14ac:dyDescent="0.25">
      <c r="A47" s="147" t="str">
        <f t="shared" si="3"/>
        <v>B</v>
      </c>
      <c r="B47" s="148" t="str">
        <f t="shared" si="4"/>
        <v>Locaux spécifiques</v>
      </c>
      <c r="C47" s="149" t="str">
        <f t="shared" ref="C47:C49" si="15">C46</f>
        <v>B.5</v>
      </c>
      <c r="D47" s="147" t="str">
        <f t="shared" ref="D47:D49" si="16">D46</f>
        <v xml:space="preserve"> Locaux de contact avec le public</v>
      </c>
      <c r="E47" s="238" t="s">
        <v>585</v>
      </c>
      <c r="F47" s="239" t="s">
        <v>161</v>
      </c>
      <c r="G47" s="239" t="str">
        <f t="shared" si="1"/>
        <v>Salles d'attente</v>
      </c>
      <c r="H47" s="240" t="s">
        <v>90</v>
      </c>
      <c r="I47" s="240" t="s">
        <v>24</v>
      </c>
      <c r="J47" s="240" t="s">
        <v>46</v>
      </c>
      <c r="K47" s="240"/>
      <c r="L47" s="241"/>
    </row>
    <row r="48" spans="1:12" x14ac:dyDescent="0.25">
      <c r="A48" s="147" t="str">
        <f t="shared" si="3"/>
        <v>B</v>
      </c>
      <c r="B48" s="148" t="str">
        <f t="shared" si="4"/>
        <v>Locaux spécifiques</v>
      </c>
      <c r="C48" s="149" t="str">
        <f t="shared" si="15"/>
        <v>B.5</v>
      </c>
      <c r="D48" s="147" t="str">
        <f t="shared" si="16"/>
        <v xml:space="preserve"> Locaux de contact avec le public</v>
      </c>
      <c r="E48" s="238" t="s">
        <v>583</v>
      </c>
      <c r="F48" s="239" t="s">
        <v>162</v>
      </c>
      <c r="G48" s="239" t="str">
        <f t="shared" si="1"/>
        <v>Parloirs</v>
      </c>
      <c r="H48" s="240" t="s">
        <v>90</v>
      </c>
      <c r="I48" s="240" t="s">
        <v>24</v>
      </c>
      <c r="J48" s="240" t="s">
        <v>46</v>
      </c>
      <c r="K48" s="240"/>
      <c r="L48" s="241"/>
    </row>
    <row r="49" spans="1:12" x14ac:dyDescent="0.25">
      <c r="A49" s="147" t="str">
        <f t="shared" si="3"/>
        <v>B</v>
      </c>
      <c r="B49" s="148" t="str">
        <f t="shared" si="4"/>
        <v>Locaux spécifiques</v>
      </c>
      <c r="C49" s="149" t="str">
        <f t="shared" si="15"/>
        <v>B.5</v>
      </c>
      <c r="D49" s="147" t="str">
        <f t="shared" si="16"/>
        <v xml:space="preserve"> Locaux de contact avec le public</v>
      </c>
      <c r="E49" s="238" t="s">
        <v>584</v>
      </c>
      <c r="F49" s="239" t="s">
        <v>163</v>
      </c>
      <c r="G49" s="239" t="str">
        <f t="shared" si="1"/>
        <v>Locaux de vente</v>
      </c>
      <c r="H49" s="240" t="s">
        <v>90</v>
      </c>
      <c r="I49" s="240" t="s">
        <v>24</v>
      </c>
      <c r="J49" s="240" t="s">
        <v>644</v>
      </c>
      <c r="K49" s="240"/>
      <c r="L49" s="241"/>
    </row>
    <row r="50" spans="1:12" x14ac:dyDescent="0.25">
      <c r="A50" s="147" t="str">
        <f t="shared" ref="A50:A52" si="17">A49</f>
        <v>B</v>
      </c>
      <c r="B50" s="148" t="str">
        <f t="shared" ref="B50:B52" si="18">B49</f>
        <v>Locaux spécifiques</v>
      </c>
      <c r="C50" s="149" t="str">
        <f t="shared" ref="C50" si="19">C49</f>
        <v>B.5</v>
      </c>
      <c r="D50" s="147" t="str">
        <f t="shared" ref="D50" si="20">D49</f>
        <v xml:space="preserve"> Locaux de contact avec le public</v>
      </c>
      <c r="E50" s="238" t="s">
        <v>607</v>
      </c>
      <c r="F50" s="239" t="s">
        <v>608</v>
      </c>
      <c r="G50" s="239" t="str">
        <f t="shared" si="1"/>
        <v>Accueil localisé</v>
      </c>
      <c r="H50" s="240" t="s">
        <v>18</v>
      </c>
      <c r="I50" s="240" t="s">
        <v>23</v>
      </c>
      <c r="J50" s="240"/>
      <c r="K50" s="240"/>
      <c r="L50" s="241"/>
    </row>
    <row r="51" spans="1:12" x14ac:dyDescent="0.25">
      <c r="A51" s="147" t="str">
        <f t="shared" si="17"/>
        <v>B</v>
      </c>
      <c r="B51" s="148" t="str">
        <f t="shared" si="18"/>
        <v>Locaux spécifiques</v>
      </c>
      <c r="C51" s="149" t="str">
        <f t="shared" ref="C51" si="21">C50</f>
        <v>B.5</v>
      </c>
      <c r="D51" s="147" t="str">
        <f t="shared" ref="D51" si="22">D50</f>
        <v xml:space="preserve"> Locaux de contact avec le public</v>
      </c>
      <c r="E51" s="238" t="s">
        <v>609</v>
      </c>
      <c r="F51" s="239" t="s">
        <v>610</v>
      </c>
      <c r="G51" s="239" t="str">
        <f t="shared" si="1"/>
        <v>Accueil commun (général)</v>
      </c>
      <c r="H51" s="240" t="s">
        <v>90</v>
      </c>
      <c r="I51" s="240" t="s">
        <v>23</v>
      </c>
      <c r="J51" s="240" t="s">
        <v>651</v>
      </c>
      <c r="K51" s="240">
        <v>40</v>
      </c>
      <c r="L51" s="241"/>
    </row>
    <row r="52" spans="1:12" x14ac:dyDescent="0.25">
      <c r="A52" s="147" t="str">
        <f t="shared" si="17"/>
        <v>B</v>
      </c>
      <c r="B52" s="148" t="str">
        <f t="shared" si="18"/>
        <v>Locaux spécifiques</v>
      </c>
      <c r="C52" s="149" t="str">
        <f>C49</f>
        <v>B.5</v>
      </c>
      <c r="D52" s="147" t="str">
        <f>D49</f>
        <v xml:space="preserve"> Locaux de contact avec le public</v>
      </c>
      <c r="E52" s="195" t="s">
        <v>586</v>
      </c>
      <c r="F52" s="196" t="s">
        <v>132</v>
      </c>
      <c r="G52" s="196" t="str">
        <f t="shared" si="1"/>
        <v>Ne pas utiliser</v>
      </c>
      <c r="H52" s="198"/>
      <c r="I52" s="198"/>
      <c r="J52" s="198"/>
      <c r="K52" s="198"/>
      <c r="L52" s="199"/>
    </row>
    <row r="53" spans="1:12" x14ac:dyDescent="0.25">
      <c r="A53" s="147" t="str">
        <f t="shared" si="3"/>
        <v>B</v>
      </c>
      <c r="B53" s="148" t="str">
        <f t="shared" si="4"/>
        <v>Locaux spécifiques</v>
      </c>
      <c r="C53" s="171" t="s">
        <v>565</v>
      </c>
      <c r="D53" s="169" t="s">
        <v>164</v>
      </c>
      <c r="E53" s="250" t="s">
        <v>587</v>
      </c>
      <c r="F53" s="251" t="s">
        <v>165</v>
      </c>
      <c r="G53" s="251" t="str">
        <f t="shared" si="1"/>
        <v>Salles de tribunal</v>
      </c>
      <c r="H53" s="252" t="s">
        <v>90</v>
      </c>
      <c r="I53" s="252" t="s">
        <v>325</v>
      </c>
      <c r="J53" s="252" t="s">
        <v>40</v>
      </c>
      <c r="K53" s="252"/>
      <c r="L53" s="253"/>
    </row>
    <row r="54" spans="1:12" x14ac:dyDescent="0.25">
      <c r="A54" s="147" t="str">
        <f t="shared" si="3"/>
        <v>B</v>
      </c>
      <c r="B54" s="148" t="str">
        <f t="shared" si="4"/>
        <v>Locaux spécifiques</v>
      </c>
      <c r="C54" s="149" t="str">
        <f>C53</f>
        <v>B.6</v>
      </c>
      <c r="D54" s="152" t="str">
        <f>D53</f>
        <v>Locaux judiciaires</v>
      </c>
      <c r="E54" s="195" t="s">
        <v>588</v>
      </c>
      <c r="F54" s="196" t="s">
        <v>132</v>
      </c>
      <c r="G54" s="196" t="str">
        <f t="shared" si="1"/>
        <v>Ne pas utiliser</v>
      </c>
      <c r="H54" s="198"/>
      <c r="I54" s="198"/>
      <c r="J54" s="198"/>
      <c r="K54" s="198"/>
      <c r="L54" s="199"/>
    </row>
    <row r="55" spans="1:12" x14ac:dyDescent="0.25">
      <c r="A55" s="147" t="str">
        <f t="shared" si="3"/>
        <v>B</v>
      </c>
      <c r="B55" s="148" t="str">
        <f t="shared" si="4"/>
        <v>Locaux spécifiques</v>
      </c>
      <c r="C55" s="171" t="s">
        <v>566</v>
      </c>
      <c r="D55" s="169" t="s">
        <v>166</v>
      </c>
      <c r="E55" s="250" t="s">
        <v>589</v>
      </c>
      <c r="F55" s="251" t="s">
        <v>167</v>
      </c>
      <c r="G55" s="251" t="str">
        <f t="shared" si="1"/>
        <v>Cabinets médicaux</v>
      </c>
      <c r="H55" s="252" t="s">
        <v>90</v>
      </c>
      <c r="I55" s="252" t="s">
        <v>24</v>
      </c>
      <c r="J55" s="252" t="s">
        <v>644</v>
      </c>
      <c r="K55" s="252"/>
      <c r="L55" s="253"/>
    </row>
    <row r="56" spans="1:12" x14ac:dyDescent="0.25">
      <c r="A56" s="147" t="str">
        <f t="shared" si="3"/>
        <v>B</v>
      </c>
      <c r="B56" s="148" t="str">
        <f t="shared" si="4"/>
        <v>Locaux spécifiques</v>
      </c>
      <c r="C56" s="149" t="str">
        <f>C55</f>
        <v>B.7</v>
      </c>
      <c r="D56" s="147" t="str">
        <f>D55</f>
        <v>Locaux médicaux ou vétérinaires</v>
      </c>
      <c r="E56" s="238" t="s">
        <v>590</v>
      </c>
      <c r="F56" s="239" t="s">
        <v>168</v>
      </c>
      <c r="G56" s="239" t="str">
        <f t="shared" si="1"/>
        <v>Salles d'opération</v>
      </c>
      <c r="H56" s="240" t="s">
        <v>90</v>
      </c>
      <c r="I56" s="240" t="s">
        <v>334</v>
      </c>
      <c r="J56" s="240" t="s">
        <v>644</v>
      </c>
      <c r="K56" s="240"/>
      <c r="L56" s="241"/>
    </row>
    <row r="57" spans="1:12" x14ac:dyDescent="0.25">
      <c r="A57" s="147" t="str">
        <f t="shared" si="3"/>
        <v>B</v>
      </c>
      <c r="B57" s="148" t="str">
        <f t="shared" si="4"/>
        <v>Locaux spécifiques</v>
      </c>
      <c r="C57" s="149" t="str">
        <f>C56</f>
        <v>B.7</v>
      </c>
      <c r="D57" s="147" t="str">
        <f>D56</f>
        <v>Locaux médicaux ou vétérinaires</v>
      </c>
      <c r="E57" s="195" t="s">
        <v>591</v>
      </c>
      <c r="F57" s="196" t="s">
        <v>132</v>
      </c>
      <c r="G57" s="196" t="str">
        <f t="shared" si="1"/>
        <v>Ne pas utiliser</v>
      </c>
      <c r="H57" s="198"/>
      <c r="I57" s="198"/>
      <c r="J57" s="198"/>
      <c r="K57" s="198"/>
      <c r="L57" s="199"/>
    </row>
    <row r="58" spans="1:12" x14ac:dyDescent="0.25">
      <c r="A58" s="147" t="str">
        <f t="shared" si="3"/>
        <v>B</v>
      </c>
      <c r="B58" s="148" t="str">
        <f t="shared" si="4"/>
        <v>Locaux spécifiques</v>
      </c>
      <c r="C58" s="171" t="s">
        <v>567</v>
      </c>
      <c r="D58" s="169" t="s">
        <v>169</v>
      </c>
      <c r="E58" s="250" t="s">
        <v>592</v>
      </c>
      <c r="F58" s="251" t="s">
        <v>170</v>
      </c>
      <c r="G58" s="251" t="str">
        <f t="shared" si="1"/>
        <v>Vestiaires pour personnel de cuisine</v>
      </c>
      <c r="H58" s="252" t="s">
        <v>90</v>
      </c>
      <c r="I58" s="252" t="s">
        <v>25</v>
      </c>
      <c r="J58" s="252" t="s">
        <v>46</v>
      </c>
      <c r="K58" s="252"/>
      <c r="L58" s="253"/>
    </row>
    <row r="59" spans="1:12" x14ac:dyDescent="0.25">
      <c r="A59" s="147" t="str">
        <f t="shared" si="3"/>
        <v>B</v>
      </c>
      <c r="B59" s="148" t="str">
        <f t="shared" si="4"/>
        <v>Locaux spécifiques</v>
      </c>
      <c r="C59" s="149" t="str">
        <f>C58</f>
        <v>B.8</v>
      </c>
      <c r="D59" s="147" t="str">
        <f>D58</f>
        <v>Vestiaires</v>
      </c>
      <c r="E59" s="238" t="s">
        <v>593</v>
      </c>
      <c r="F59" s="239" t="s">
        <v>171</v>
      </c>
      <c r="G59" s="239" t="str">
        <f t="shared" si="1"/>
        <v>Vestiaire pour personnel de nettoyage et d'entretien</v>
      </c>
      <c r="H59" s="240" t="s">
        <v>90</v>
      </c>
      <c r="I59" s="240" t="s">
        <v>25</v>
      </c>
      <c r="J59" s="240" t="s">
        <v>46</v>
      </c>
      <c r="K59" s="240"/>
      <c r="L59" s="241"/>
    </row>
    <row r="60" spans="1:12" x14ac:dyDescent="0.25">
      <c r="A60" s="147" t="str">
        <f t="shared" si="3"/>
        <v>B</v>
      </c>
      <c r="B60" s="148" t="str">
        <f t="shared" si="4"/>
        <v>Locaux spécifiques</v>
      </c>
      <c r="C60" s="149" t="str">
        <f t="shared" ref="C60:C63" si="23">C59</f>
        <v>B.8</v>
      </c>
      <c r="D60" s="147" t="str">
        <f t="shared" ref="D60:D63" si="24">D59</f>
        <v>Vestiaires</v>
      </c>
      <c r="E60" s="238" t="s">
        <v>594</v>
      </c>
      <c r="F60" s="239" t="s">
        <v>172</v>
      </c>
      <c r="G60" s="239" t="str">
        <f t="shared" si="1"/>
        <v>Vestiaires pour personnel opérationnel</v>
      </c>
      <c r="H60" s="240" t="s">
        <v>90</v>
      </c>
      <c r="I60" s="240" t="s">
        <v>25</v>
      </c>
      <c r="J60" s="240" t="s">
        <v>46</v>
      </c>
      <c r="K60" s="240"/>
      <c r="L60" s="241"/>
    </row>
    <row r="61" spans="1:12" x14ac:dyDescent="0.25">
      <c r="A61" s="147" t="str">
        <f t="shared" si="3"/>
        <v>B</v>
      </c>
      <c r="B61" s="148" t="str">
        <f t="shared" si="4"/>
        <v>Locaux spécifiques</v>
      </c>
      <c r="C61" s="149" t="str">
        <f t="shared" si="23"/>
        <v>B.8</v>
      </c>
      <c r="D61" s="147" t="str">
        <f t="shared" si="24"/>
        <v>Vestiaires</v>
      </c>
      <c r="E61" s="238" t="s">
        <v>595</v>
      </c>
      <c r="F61" s="239" t="s">
        <v>173</v>
      </c>
      <c r="G61" s="239" t="str">
        <f t="shared" si="1"/>
        <v>Vestiaires pour équipements sportifs</v>
      </c>
      <c r="H61" s="240" t="s">
        <v>90</v>
      </c>
      <c r="I61" s="240" t="s">
        <v>25</v>
      </c>
      <c r="J61" s="240" t="s">
        <v>46</v>
      </c>
      <c r="K61" s="240"/>
      <c r="L61" s="241"/>
    </row>
    <row r="62" spans="1:12" x14ac:dyDescent="0.25">
      <c r="A62" s="147" t="str">
        <f t="shared" si="3"/>
        <v>B</v>
      </c>
      <c r="B62" s="148" t="str">
        <f t="shared" si="4"/>
        <v>Locaux spécifiques</v>
      </c>
      <c r="C62" s="149" t="str">
        <f t="shared" si="23"/>
        <v>B.8</v>
      </c>
      <c r="D62" s="147" t="str">
        <f t="shared" si="24"/>
        <v>Vestiaires</v>
      </c>
      <c r="E62" s="238" t="s">
        <v>596</v>
      </c>
      <c r="F62" s="239" t="s">
        <v>667</v>
      </c>
      <c r="G62" s="239" t="str">
        <f t="shared" si="1"/>
        <v>Loges d'artistes pour salles de spectacle</v>
      </c>
      <c r="H62" s="240" t="s">
        <v>90</v>
      </c>
      <c r="I62" s="240" t="s">
        <v>334</v>
      </c>
      <c r="J62" s="240" t="s">
        <v>46</v>
      </c>
      <c r="K62" s="240"/>
      <c r="L62" s="241"/>
    </row>
    <row r="63" spans="1:12" x14ac:dyDescent="0.25">
      <c r="A63" s="147" t="str">
        <f t="shared" si="3"/>
        <v>B</v>
      </c>
      <c r="B63" s="148" t="str">
        <f t="shared" si="4"/>
        <v>Locaux spécifiques</v>
      </c>
      <c r="C63" s="149" t="str">
        <f t="shared" si="23"/>
        <v>B.8</v>
      </c>
      <c r="D63" s="147" t="str">
        <f t="shared" si="24"/>
        <v>Vestiaires</v>
      </c>
      <c r="E63" s="195" t="s">
        <v>597</v>
      </c>
      <c r="F63" s="196" t="s">
        <v>132</v>
      </c>
      <c r="G63" s="196" t="str">
        <f t="shared" si="1"/>
        <v>Ne pas utiliser</v>
      </c>
      <c r="H63" s="198"/>
      <c r="I63" s="198"/>
      <c r="J63" s="198"/>
      <c r="K63" s="198"/>
      <c r="L63" s="199"/>
    </row>
    <row r="64" spans="1:12" ht="15.75" thickBot="1" x14ac:dyDescent="0.3">
      <c r="A64" s="147" t="str">
        <f t="shared" si="3"/>
        <v>B</v>
      </c>
      <c r="B64" s="148" t="str">
        <f t="shared" si="4"/>
        <v>Locaux spécifiques</v>
      </c>
      <c r="C64" s="172" t="s">
        <v>174</v>
      </c>
      <c r="D64" s="170" t="s">
        <v>132</v>
      </c>
      <c r="E64" s="204" t="str">
        <f>C64</f>
        <v>B.9.</v>
      </c>
      <c r="F64" s="187" t="str">
        <f>D64</f>
        <v>Autres</v>
      </c>
      <c r="G64" s="187" t="str">
        <f t="shared" si="1"/>
        <v>Ne pas utiliser</v>
      </c>
      <c r="H64" s="188"/>
      <c r="I64" s="188"/>
      <c r="J64" s="188"/>
      <c r="K64" s="188"/>
      <c r="L64" s="189"/>
    </row>
    <row r="65" spans="1:12" x14ac:dyDescent="0.25">
      <c r="A65" s="165" t="s">
        <v>361</v>
      </c>
      <c r="B65" s="166" t="s">
        <v>175</v>
      </c>
      <c r="C65" s="167" t="s">
        <v>553</v>
      </c>
      <c r="D65" s="168" t="s">
        <v>176</v>
      </c>
      <c r="E65" s="246" t="s">
        <v>558</v>
      </c>
      <c r="F65" s="247" t="s">
        <v>177</v>
      </c>
      <c r="G65" s="247" t="str">
        <f t="shared" si="1"/>
        <v>Garages de réparation et d'entretien</v>
      </c>
      <c r="H65" s="248" t="s">
        <v>90</v>
      </c>
      <c r="I65" s="248" t="s">
        <v>25</v>
      </c>
      <c r="J65" s="248" t="s">
        <v>644</v>
      </c>
      <c r="K65" s="248"/>
      <c r="L65" s="249"/>
    </row>
    <row r="66" spans="1:12" x14ac:dyDescent="0.25">
      <c r="A66" s="147" t="str">
        <f>A65</f>
        <v>C</v>
      </c>
      <c r="B66" s="148" t="str">
        <f>B65</f>
        <v>Ateliers</v>
      </c>
      <c r="C66" s="151" t="str">
        <f>C65</f>
        <v>C.1</v>
      </c>
      <c r="D66" s="152" t="str">
        <f>D65</f>
        <v>Ateliers pour véhicules</v>
      </c>
      <c r="E66" s="195" t="s">
        <v>559</v>
      </c>
      <c r="F66" s="196" t="s">
        <v>132</v>
      </c>
      <c r="G66" s="196" t="str">
        <f t="shared" si="1"/>
        <v>Ne pas utiliser</v>
      </c>
      <c r="H66" s="198"/>
      <c r="I66" s="198"/>
      <c r="J66" s="198"/>
      <c r="K66" s="198"/>
      <c r="L66" s="199"/>
    </row>
    <row r="67" spans="1:12" x14ac:dyDescent="0.25">
      <c r="A67" s="147" t="str">
        <f t="shared" ref="A67:A74" si="25">A66</f>
        <v>C</v>
      </c>
      <c r="B67" s="148" t="str">
        <f t="shared" ref="B67:B74" si="26">B66</f>
        <v>Ateliers</v>
      </c>
      <c r="C67" s="169" t="s">
        <v>552</v>
      </c>
      <c r="D67" s="163" t="s">
        <v>178</v>
      </c>
      <c r="E67" s="250" t="s">
        <v>554</v>
      </c>
      <c r="F67" s="251" t="s">
        <v>179</v>
      </c>
      <c r="G67" s="251" t="str">
        <f t="shared" si="1"/>
        <v>Menuiserie</v>
      </c>
      <c r="H67" s="252" t="s">
        <v>90</v>
      </c>
      <c r="I67" s="252" t="s">
        <v>25</v>
      </c>
      <c r="J67" s="252" t="s">
        <v>644</v>
      </c>
      <c r="K67" s="252"/>
      <c r="L67" s="253"/>
    </row>
    <row r="68" spans="1:12" x14ac:dyDescent="0.25">
      <c r="A68" s="147" t="str">
        <f t="shared" si="25"/>
        <v>C</v>
      </c>
      <c r="B68" s="148" t="str">
        <f t="shared" si="26"/>
        <v>Ateliers</v>
      </c>
      <c r="C68" s="149" t="str">
        <f t="shared" ref="C68:D70" si="27">C67</f>
        <v>C.2</v>
      </c>
      <c r="D68" s="147" t="str">
        <f t="shared" si="27"/>
        <v>Ateliers pour entretien des immeubles</v>
      </c>
      <c r="E68" s="238" t="s">
        <v>555</v>
      </c>
      <c r="F68" s="239" t="s">
        <v>180</v>
      </c>
      <c r="G68" s="239" t="str">
        <f t="shared" si="1"/>
        <v>Travail des métaux</v>
      </c>
      <c r="H68" s="240" t="s">
        <v>90</v>
      </c>
      <c r="I68" s="240" t="s">
        <v>25</v>
      </c>
      <c r="J68" s="240" t="s">
        <v>644</v>
      </c>
      <c r="K68" s="240"/>
      <c r="L68" s="241"/>
    </row>
    <row r="69" spans="1:12" x14ac:dyDescent="0.25">
      <c r="A69" s="147" t="str">
        <f t="shared" si="25"/>
        <v>C</v>
      </c>
      <c r="B69" s="148" t="str">
        <f t="shared" si="26"/>
        <v>Ateliers</v>
      </c>
      <c r="C69" s="149" t="str">
        <f t="shared" si="27"/>
        <v>C.2</v>
      </c>
      <c r="D69" s="147" t="str">
        <f t="shared" si="27"/>
        <v>Ateliers pour entretien des immeubles</v>
      </c>
      <c r="E69" s="238" t="s">
        <v>556</v>
      </c>
      <c r="F69" s="239" t="s">
        <v>181</v>
      </c>
      <c r="G69" s="239" t="str">
        <f t="shared" si="1"/>
        <v>Serrurerie</v>
      </c>
      <c r="H69" s="240" t="s">
        <v>90</v>
      </c>
      <c r="I69" s="240" t="s">
        <v>25</v>
      </c>
      <c r="J69" s="240" t="s">
        <v>644</v>
      </c>
      <c r="K69" s="240"/>
      <c r="L69" s="241"/>
    </row>
    <row r="70" spans="1:12" x14ac:dyDescent="0.25">
      <c r="A70" s="147" t="str">
        <f t="shared" si="25"/>
        <v>C</v>
      </c>
      <c r="B70" s="148" t="str">
        <f t="shared" si="26"/>
        <v>Ateliers</v>
      </c>
      <c r="C70" s="149" t="str">
        <f t="shared" si="27"/>
        <v>C.2</v>
      </c>
      <c r="D70" s="147" t="str">
        <f t="shared" si="27"/>
        <v>Ateliers pour entretien des immeubles</v>
      </c>
      <c r="E70" s="195" t="s">
        <v>557</v>
      </c>
      <c r="F70" s="196" t="s">
        <v>132</v>
      </c>
      <c r="G70" s="196" t="str">
        <f t="shared" si="1"/>
        <v>Ne pas utiliser</v>
      </c>
      <c r="H70" s="198"/>
      <c r="I70" s="198"/>
      <c r="J70" s="198"/>
      <c r="K70" s="198"/>
      <c r="L70" s="199"/>
    </row>
    <row r="71" spans="1:12" x14ac:dyDescent="0.25">
      <c r="A71" s="147" t="str">
        <f t="shared" si="25"/>
        <v>C</v>
      </c>
      <c r="B71" s="148" t="str">
        <f t="shared" si="26"/>
        <v>Ateliers</v>
      </c>
      <c r="C71" s="171" t="s">
        <v>548</v>
      </c>
      <c r="D71" s="169" t="s">
        <v>182</v>
      </c>
      <c r="E71" s="200" t="str">
        <f t="shared" ref="E71:F74" si="28">C71</f>
        <v>C.3</v>
      </c>
      <c r="F71" s="201" t="str">
        <f t="shared" si="28"/>
        <v>Imprimeries</v>
      </c>
      <c r="G71" s="201" t="str">
        <f t="shared" si="1"/>
        <v>Imprimeries</v>
      </c>
      <c r="H71" s="202" t="s">
        <v>90</v>
      </c>
      <c r="I71" s="202" t="s">
        <v>334</v>
      </c>
      <c r="J71" s="202" t="s">
        <v>644</v>
      </c>
      <c r="K71" s="202"/>
      <c r="L71" s="203"/>
    </row>
    <row r="72" spans="1:12" x14ac:dyDescent="0.25">
      <c r="A72" s="147" t="str">
        <f t="shared" si="25"/>
        <v>C</v>
      </c>
      <c r="B72" s="148" t="str">
        <f t="shared" si="26"/>
        <v>Ateliers</v>
      </c>
      <c r="C72" s="171" t="s">
        <v>549</v>
      </c>
      <c r="D72" s="169" t="s">
        <v>183</v>
      </c>
      <c r="E72" s="200" t="str">
        <f t="shared" si="28"/>
        <v>C.4</v>
      </c>
      <c r="F72" s="201" t="str">
        <f t="shared" si="28"/>
        <v>Ateliers de fabrication</v>
      </c>
      <c r="G72" s="201" t="str">
        <f t="shared" si="1"/>
        <v>Ateliers de fabrication</v>
      </c>
      <c r="H72" s="202" t="s">
        <v>90</v>
      </c>
      <c r="I72" s="202" t="s">
        <v>25</v>
      </c>
      <c r="J72" s="202" t="s">
        <v>644</v>
      </c>
      <c r="K72" s="202"/>
      <c r="L72" s="203"/>
    </row>
    <row r="73" spans="1:12" x14ac:dyDescent="0.25">
      <c r="A73" s="147" t="str">
        <f t="shared" si="25"/>
        <v>C</v>
      </c>
      <c r="B73" s="148" t="str">
        <f t="shared" si="26"/>
        <v>Ateliers</v>
      </c>
      <c r="C73" s="171" t="s">
        <v>550</v>
      </c>
      <c r="D73" s="169" t="s">
        <v>184</v>
      </c>
      <c r="E73" s="200" t="str">
        <f t="shared" si="28"/>
        <v>C.5</v>
      </c>
      <c r="F73" s="201" t="str">
        <f t="shared" si="28"/>
        <v>Armureries</v>
      </c>
      <c r="G73" s="201" t="str">
        <f t="shared" si="1"/>
        <v>Armureries</v>
      </c>
      <c r="H73" s="202" t="s">
        <v>90</v>
      </c>
      <c r="I73" s="209" t="s">
        <v>25</v>
      </c>
      <c r="J73" s="209" t="s">
        <v>644</v>
      </c>
      <c r="K73" s="209"/>
      <c r="L73" s="210"/>
    </row>
    <row r="74" spans="1:12" ht="15.75" thickBot="1" x14ac:dyDescent="0.3">
      <c r="A74" s="147" t="str">
        <f t="shared" si="25"/>
        <v>C</v>
      </c>
      <c r="B74" s="148" t="str">
        <f t="shared" si="26"/>
        <v>Ateliers</v>
      </c>
      <c r="C74" s="170" t="s">
        <v>551</v>
      </c>
      <c r="D74" s="170" t="s">
        <v>132</v>
      </c>
      <c r="E74" s="211" t="str">
        <f t="shared" si="28"/>
        <v>C.9</v>
      </c>
      <c r="F74" s="212" t="str">
        <f t="shared" si="28"/>
        <v>Autres</v>
      </c>
      <c r="G74" s="212" t="str">
        <f t="shared" si="1"/>
        <v>Ne pas utiliser</v>
      </c>
      <c r="H74" s="213"/>
      <c r="I74" s="188"/>
      <c r="J74" s="188"/>
      <c r="K74" s="188"/>
      <c r="L74" s="189"/>
    </row>
    <row r="75" spans="1:12" x14ac:dyDescent="0.25">
      <c r="A75" s="165" t="s">
        <v>362</v>
      </c>
      <c r="B75" s="166" t="s">
        <v>185</v>
      </c>
      <c r="C75" s="168" t="s">
        <v>497</v>
      </c>
      <c r="D75" s="234" t="s">
        <v>186</v>
      </c>
      <c r="E75" s="246" t="s">
        <v>502</v>
      </c>
      <c r="F75" s="247" t="s">
        <v>187</v>
      </c>
      <c r="G75" s="247" t="str">
        <f t="shared" si="1"/>
        <v>Serres</v>
      </c>
      <c r="H75" s="248" t="s">
        <v>90</v>
      </c>
      <c r="I75" s="248" t="s">
        <v>328</v>
      </c>
      <c r="J75" s="248" t="s">
        <v>644</v>
      </c>
      <c r="K75" s="248"/>
      <c r="L75" s="249"/>
    </row>
    <row r="76" spans="1:12" x14ac:dyDescent="0.25">
      <c r="A76" s="147" t="str">
        <f>A75</f>
        <v>D</v>
      </c>
      <c r="B76" s="148" t="str">
        <f>B75</f>
        <v>Locaux agricoles et locaux y assimilés</v>
      </c>
      <c r="C76" s="152" t="str">
        <f>C75</f>
        <v>D.1</v>
      </c>
      <c r="D76" s="152" t="str">
        <f>D75</f>
        <v>Locaux n'hébergeant pas d'animaux</v>
      </c>
      <c r="E76" s="195" t="s">
        <v>503</v>
      </c>
      <c r="F76" s="196" t="s">
        <v>132</v>
      </c>
      <c r="G76" s="196" t="str">
        <f t="shared" si="1"/>
        <v>Ne pas utiliser</v>
      </c>
      <c r="H76" s="198"/>
      <c r="I76" s="198"/>
      <c r="J76" s="198"/>
      <c r="K76" s="198"/>
      <c r="L76" s="199"/>
    </row>
    <row r="77" spans="1:12" x14ac:dyDescent="0.25">
      <c r="A77" s="147" t="str">
        <f t="shared" ref="A77:A82" si="29">A76</f>
        <v>D</v>
      </c>
      <c r="B77" s="148" t="str">
        <f t="shared" ref="B77:B82" si="30">B76</f>
        <v>Locaux agricoles et locaux y assimilés</v>
      </c>
      <c r="C77" s="171" t="s">
        <v>498</v>
      </c>
      <c r="D77" s="169" t="s">
        <v>188</v>
      </c>
      <c r="E77" s="250" t="s">
        <v>504</v>
      </c>
      <c r="F77" s="251" t="s">
        <v>189</v>
      </c>
      <c r="G77" s="251" t="str">
        <f t="shared" si="1"/>
        <v>Etables</v>
      </c>
      <c r="H77" s="252" t="s">
        <v>90</v>
      </c>
      <c r="I77" s="252" t="s">
        <v>328</v>
      </c>
      <c r="J77" s="252" t="s">
        <v>652</v>
      </c>
      <c r="K77" s="252"/>
      <c r="L77" s="253"/>
    </row>
    <row r="78" spans="1:12" x14ac:dyDescent="0.25">
      <c r="A78" s="147" t="str">
        <f t="shared" si="29"/>
        <v>D</v>
      </c>
      <c r="B78" s="148" t="str">
        <f t="shared" si="30"/>
        <v>Locaux agricoles et locaux y assimilés</v>
      </c>
      <c r="C78" s="149" t="str">
        <f t="shared" ref="C78:D80" si="31">C77</f>
        <v>D.2</v>
      </c>
      <c r="D78" s="147" t="str">
        <f t="shared" si="31"/>
        <v>Locaux hébergeant des animaux</v>
      </c>
      <c r="E78" s="238" t="s">
        <v>505</v>
      </c>
      <c r="F78" s="239" t="s">
        <v>190</v>
      </c>
      <c r="G78" s="239" t="str">
        <f t="shared" si="1"/>
        <v>Ecuries</v>
      </c>
      <c r="H78" s="240" t="s">
        <v>90</v>
      </c>
      <c r="I78" s="240" t="s">
        <v>328</v>
      </c>
      <c r="J78" s="240" t="s">
        <v>652</v>
      </c>
      <c r="K78" s="240"/>
      <c r="L78" s="241"/>
    </row>
    <row r="79" spans="1:12" x14ac:dyDescent="0.25">
      <c r="A79" s="147" t="str">
        <f t="shared" si="29"/>
        <v>D</v>
      </c>
      <c r="B79" s="148" t="str">
        <f t="shared" si="30"/>
        <v>Locaux agricoles et locaux y assimilés</v>
      </c>
      <c r="C79" s="149" t="str">
        <f t="shared" si="31"/>
        <v>D.2</v>
      </c>
      <c r="D79" s="147" t="str">
        <f t="shared" si="31"/>
        <v>Locaux hébergeant des animaux</v>
      </c>
      <c r="E79" s="238" t="s">
        <v>506</v>
      </c>
      <c r="F79" s="239" t="s">
        <v>191</v>
      </c>
      <c r="G79" s="239" t="str">
        <f t="shared" si="1"/>
        <v>Animaleries</v>
      </c>
      <c r="H79" s="240" t="s">
        <v>90</v>
      </c>
      <c r="I79" s="240" t="s">
        <v>328</v>
      </c>
      <c r="J79" s="240" t="s">
        <v>644</v>
      </c>
      <c r="K79" s="240"/>
      <c r="L79" s="241"/>
    </row>
    <row r="80" spans="1:12" x14ac:dyDescent="0.25">
      <c r="A80" s="147" t="str">
        <f t="shared" si="29"/>
        <v>D</v>
      </c>
      <c r="B80" s="148" t="str">
        <f t="shared" si="30"/>
        <v>Locaux agricoles et locaux y assimilés</v>
      </c>
      <c r="C80" s="149" t="str">
        <f t="shared" si="31"/>
        <v>D.2</v>
      </c>
      <c r="D80" s="147" t="str">
        <f t="shared" si="31"/>
        <v>Locaux hébergeant des animaux</v>
      </c>
      <c r="E80" s="195" t="s">
        <v>501</v>
      </c>
      <c r="F80" s="196" t="s">
        <v>132</v>
      </c>
      <c r="G80" s="196" t="str">
        <f t="shared" si="1"/>
        <v>Ne pas utiliser</v>
      </c>
      <c r="H80" s="198"/>
      <c r="I80" s="198"/>
      <c r="J80" s="198"/>
      <c r="K80" s="198"/>
      <c r="L80" s="199"/>
    </row>
    <row r="81" spans="1:12" x14ac:dyDescent="0.25">
      <c r="A81" s="147" t="str">
        <f t="shared" si="29"/>
        <v>D</v>
      </c>
      <c r="B81" s="148" t="str">
        <f t="shared" si="30"/>
        <v>Locaux agricoles et locaux y assimilés</v>
      </c>
      <c r="C81" s="164" t="s">
        <v>499</v>
      </c>
      <c r="D81" s="164" t="s">
        <v>192</v>
      </c>
      <c r="E81" s="191" t="str">
        <f>C81</f>
        <v>D.3</v>
      </c>
      <c r="F81" s="192" t="str">
        <f>D81</f>
        <v>Stocks de fourrage</v>
      </c>
      <c r="G81" s="192" t="str">
        <f t="shared" si="1"/>
        <v>Ne pas utiliser</v>
      </c>
      <c r="H81" s="193"/>
      <c r="I81" s="193" t="s">
        <v>25</v>
      </c>
      <c r="J81" s="193"/>
      <c r="K81" s="193"/>
      <c r="L81" s="194"/>
    </row>
    <row r="82" spans="1:12" ht="15.75" thickBot="1" x14ac:dyDescent="0.3">
      <c r="A82" s="147" t="str">
        <f t="shared" si="29"/>
        <v>D</v>
      </c>
      <c r="B82" s="148" t="str">
        <f t="shared" si="30"/>
        <v>Locaux agricoles et locaux y assimilés</v>
      </c>
      <c r="C82" s="171" t="s">
        <v>500</v>
      </c>
      <c r="D82" s="171" t="s">
        <v>132</v>
      </c>
      <c r="E82" s="186" t="str">
        <f>C82</f>
        <v>D.9</v>
      </c>
      <c r="F82" s="235" t="str">
        <f>D82</f>
        <v>Autres</v>
      </c>
      <c r="G82" s="235" t="str">
        <f t="shared" si="1"/>
        <v>Ne pas utiliser</v>
      </c>
      <c r="H82" s="236"/>
      <c r="I82" s="236"/>
      <c r="J82" s="236"/>
      <c r="K82" s="236"/>
      <c r="L82" s="237"/>
    </row>
    <row r="83" spans="1:12" x14ac:dyDescent="0.25">
      <c r="A83" s="165" t="s">
        <v>363</v>
      </c>
      <c r="B83" s="166" t="s">
        <v>193</v>
      </c>
      <c r="C83" s="167" t="s">
        <v>513</v>
      </c>
      <c r="D83" s="168" t="s">
        <v>194</v>
      </c>
      <c r="E83" s="205" t="s">
        <v>522</v>
      </c>
      <c r="F83" s="206" t="s">
        <v>195</v>
      </c>
      <c r="G83" s="206" t="str">
        <f t="shared" ref="G83:G149" si="32">IF(ISBLANK(H83),"Ne pas utiliser",F83)</f>
        <v>Archives mortes</v>
      </c>
      <c r="H83" s="207" t="s">
        <v>90</v>
      </c>
      <c r="I83" s="207" t="s">
        <v>25</v>
      </c>
      <c r="J83" s="207" t="s">
        <v>649</v>
      </c>
      <c r="K83" s="207"/>
      <c r="L83" s="208"/>
    </row>
    <row r="84" spans="1:12" x14ac:dyDescent="0.25">
      <c r="A84" s="147" t="str">
        <f>A83</f>
        <v>E</v>
      </c>
      <c r="B84" s="148" t="str">
        <f>B83</f>
        <v>Locaux d'entreposage</v>
      </c>
      <c r="C84" s="152" t="str">
        <f>C83</f>
        <v>E.1</v>
      </c>
      <c r="D84" s="152" t="str">
        <f>D83</f>
        <v>Archives</v>
      </c>
      <c r="E84" s="195" t="s">
        <v>523</v>
      </c>
      <c r="F84" s="196" t="s">
        <v>132</v>
      </c>
      <c r="G84" s="196" t="str">
        <f t="shared" si="32"/>
        <v>Ne pas utiliser</v>
      </c>
      <c r="H84" s="198"/>
      <c r="I84" s="198"/>
      <c r="J84" s="198"/>
      <c r="K84" s="198"/>
      <c r="L84" s="199"/>
    </row>
    <row r="85" spans="1:12" x14ac:dyDescent="0.25">
      <c r="A85" s="147" t="str">
        <f t="shared" ref="A85:A112" si="33">A84</f>
        <v>E</v>
      </c>
      <c r="B85" s="148" t="str">
        <f t="shared" ref="B85:B112" si="34">B84</f>
        <v>Locaux d'entreposage</v>
      </c>
      <c r="C85" s="171" t="s">
        <v>514</v>
      </c>
      <c r="D85" s="169" t="s">
        <v>197</v>
      </c>
      <c r="E85" s="250" t="s">
        <v>524</v>
      </c>
      <c r="F85" s="251" t="s">
        <v>198</v>
      </c>
      <c r="G85" s="251" t="str">
        <f t="shared" si="32"/>
        <v>Dépôts de mobilier</v>
      </c>
      <c r="H85" s="252" t="s">
        <v>90</v>
      </c>
      <c r="I85" s="252" t="s">
        <v>25</v>
      </c>
      <c r="J85" s="252" t="s">
        <v>644</v>
      </c>
      <c r="K85" s="252"/>
      <c r="L85" s="253"/>
    </row>
    <row r="86" spans="1:12" x14ac:dyDescent="0.25">
      <c r="A86" s="147" t="str">
        <f t="shared" si="33"/>
        <v>E</v>
      </c>
      <c r="B86" s="148" t="str">
        <f t="shared" si="34"/>
        <v>Locaux d'entreposage</v>
      </c>
      <c r="C86" s="149" t="str">
        <f>C85</f>
        <v>E.2</v>
      </c>
      <c r="D86" s="147" t="str">
        <f>D85</f>
        <v>Entreposage de marchandises</v>
      </c>
      <c r="E86" s="238" t="s">
        <v>525</v>
      </c>
      <c r="F86" s="239" t="s">
        <v>199</v>
      </c>
      <c r="G86" s="239" t="str">
        <f t="shared" si="32"/>
        <v>Dépôts de vêtements</v>
      </c>
      <c r="H86" s="240" t="s">
        <v>90</v>
      </c>
      <c r="I86" s="240" t="s">
        <v>25</v>
      </c>
      <c r="J86" s="240" t="s">
        <v>644</v>
      </c>
      <c r="K86" s="240"/>
      <c r="L86" s="241"/>
    </row>
    <row r="87" spans="1:12" x14ac:dyDescent="0.25">
      <c r="A87" s="147" t="str">
        <f t="shared" si="33"/>
        <v>E</v>
      </c>
      <c r="B87" s="148" t="str">
        <f t="shared" si="34"/>
        <v>Locaux d'entreposage</v>
      </c>
      <c r="C87" s="149" t="s">
        <v>196</v>
      </c>
      <c r="D87" s="147" t="s">
        <v>197</v>
      </c>
      <c r="E87" s="238" t="s">
        <v>526</v>
      </c>
      <c r="F87" s="239" t="s">
        <v>200</v>
      </c>
      <c r="G87" s="239" t="str">
        <f t="shared" si="32"/>
        <v>Dépôts de marchandises saisies</v>
      </c>
      <c r="H87" s="240" t="s">
        <v>90</v>
      </c>
      <c r="I87" s="240" t="s">
        <v>25</v>
      </c>
      <c r="J87" s="240" t="s">
        <v>644</v>
      </c>
      <c r="K87" s="240"/>
      <c r="L87" s="241"/>
    </row>
    <row r="88" spans="1:12" x14ac:dyDescent="0.25">
      <c r="A88" s="147" t="str">
        <f t="shared" si="33"/>
        <v>E</v>
      </c>
      <c r="B88" s="148" t="str">
        <f t="shared" si="34"/>
        <v>Locaux d'entreposage</v>
      </c>
      <c r="C88" s="149" t="s">
        <v>196</v>
      </c>
      <c r="D88" s="147" t="s">
        <v>197</v>
      </c>
      <c r="E88" s="238" t="s">
        <v>527</v>
      </c>
      <c r="F88" s="239" t="s">
        <v>201</v>
      </c>
      <c r="G88" s="239" t="str">
        <f t="shared" si="32"/>
        <v>Dépôts de pièces à conviction</v>
      </c>
      <c r="H88" s="240" t="s">
        <v>90</v>
      </c>
      <c r="I88" s="240" t="s">
        <v>25</v>
      </c>
      <c r="J88" s="240" t="s">
        <v>644</v>
      </c>
      <c r="K88" s="240"/>
      <c r="L88" s="241"/>
    </row>
    <row r="89" spans="1:12" x14ac:dyDescent="0.25">
      <c r="A89" s="147" t="str">
        <f t="shared" ref="A89:A90" si="35">A88</f>
        <v>E</v>
      </c>
      <c r="B89" s="148" t="str">
        <f t="shared" ref="B89:B90" si="36">B88</f>
        <v>Locaux d'entreposage</v>
      </c>
      <c r="C89" s="149" t="s">
        <v>196</v>
      </c>
      <c r="D89" s="147" t="s">
        <v>197</v>
      </c>
      <c r="E89" s="238" t="s">
        <v>624</v>
      </c>
      <c r="F89" s="239" t="s">
        <v>626</v>
      </c>
      <c r="G89" s="239" t="str">
        <f t="shared" si="32"/>
        <v>Dépôts de matériel informatique (stocks)</v>
      </c>
      <c r="H89" s="240" t="s">
        <v>90</v>
      </c>
      <c r="I89" s="240" t="s">
        <v>25</v>
      </c>
      <c r="J89" s="306" t="s">
        <v>644</v>
      </c>
      <c r="K89" s="252"/>
      <c r="L89" s="253"/>
    </row>
    <row r="90" spans="1:12" x14ac:dyDescent="0.25">
      <c r="A90" s="147" t="str">
        <f t="shared" si="35"/>
        <v>E</v>
      </c>
      <c r="B90" s="148" t="str">
        <f t="shared" si="36"/>
        <v>Locaux d'entreposage</v>
      </c>
      <c r="C90" s="149" t="s">
        <v>196</v>
      </c>
      <c r="D90" s="147" t="s">
        <v>197</v>
      </c>
      <c r="E90" s="238" t="s">
        <v>625</v>
      </c>
      <c r="F90" s="239" t="s">
        <v>627</v>
      </c>
      <c r="G90" s="239" t="str">
        <f t="shared" si="32"/>
        <v>Dépôts de matériel entretien / nettoyage (stocks)</v>
      </c>
      <c r="H90" s="240" t="s">
        <v>90</v>
      </c>
      <c r="I90" s="240" t="s">
        <v>25</v>
      </c>
      <c r="J90" s="305" t="s">
        <v>644</v>
      </c>
      <c r="K90" s="240"/>
      <c r="L90" s="241"/>
    </row>
    <row r="91" spans="1:12" x14ac:dyDescent="0.25">
      <c r="A91" s="147" t="str">
        <f t="shared" ref="A91" si="37">A90</f>
        <v>E</v>
      </c>
      <c r="B91" s="148" t="str">
        <f t="shared" ref="B91" si="38">B90</f>
        <v>Locaux d'entreposage</v>
      </c>
      <c r="C91" s="149" t="s">
        <v>196</v>
      </c>
      <c r="D91" s="147" t="s">
        <v>197</v>
      </c>
      <c r="E91" s="238" t="s">
        <v>628</v>
      </c>
      <c r="F91" s="239" t="s">
        <v>629</v>
      </c>
      <c r="G91" s="239" t="str">
        <f t="shared" si="32"/>
        <v>Dépôts de matériel bureau / logistique (stocks)</v>
      </c>
      <c r="H91" s="240" t="s">
        <v>90</v>
      </c>
      <c r="I91" s="240" t="s">
        <v>25</v>
      </c>
      <c r="J91" s="305" t="s">
        <v>644</v>
      </c>
      <c r="K91" s="240"/>
      <c r="L91" s="241"/>
    </row>
    <row r="92" spans="1:12" x14ac:dyDescent="0.25">
      <c r="A92" s="147" t="str">
        <f>A88</f>
        <v>E</v>
      </c>
      <c r="B92" s="148" t="str">
        <f>B88</f>
        <v>Locaux d'entreposage</v>
      </c>
      <c r="C92" s="152" t="s">
        <v>196</v>
      </c>
      <c r="D92" s="152" t="s">
        <v>197</v>
      </c>
      <c r="E92" s="195" t="s">
        <v>528</v>
      </c>
      <c r="F92" s="196" t="s">
        <v>132</v>
      </c>
      <c r="G92" s="196" t="str">
        <f t="shared" si="32"/>
        <v>Ne pas utiliser</v>
      </c>
      <c r="H92" s="198"/>
      <c r="I92" s="198"/>
      <c r="J92" s="198"/>
      <c r="K92" s="198"/>
      <c r="L92" s="199"/>
    </row>
    <row r="93" spans="1:12" x14ac:dyDescent="0.25">
      <c r="A93" s="147" t="str">
        <f t="shared" si="33"/>
        <v>E</v>
      </c>
      <c r="B93" s="148" t="str">
        <f t="shared" si="34"/>
        <v>Locaux d'entreposage</v>
      </c>
      <c r="C93" s="171" t="s">
        <v>515</v>
      </c>
      <c r="D93" s="169" t="s">
        <v>202</v>
      </c>
      <c r="E93" s="250" t="s">
        <v>529</v>
      </c>
      <c r="F93" s="251" t="s">
        <v>203</v>
      </c>
      <c r="G93" s="251" t="str">
        <f t="shared" si="32"/>
        <v>Dépôts de munitions</v>
      </c>
      <c r="H93" s="252" t="s">
        <v>90</v>
      </c>
      <c r="I93" s="252" t="s">
        <v>25</v>
      </c>
      <c r="J93" s="306" t="s">
        <v>644</v>
      </c>
      <c r="K93" s="252"/>
      <c r="L93" s="253"/>
    </row>
    <row r="94" spans="1:12" x14ac:dyDescent="0.25">
      <c r="A94" s="147" t="str">
        <f t="shared" si="33"/>
        <v>E</v>
      </c>
      <c r="B94" s="148" t="str">
        <f t="shared" si="34"/>
        <v>Locaux d'entreposage</v>
      </c>
      <c r="C94" s="149" t="str">
        <f t="shared" ref="C94:D97" si="39">C93</f>
        <v>E.3</v>
      </c>
      <c r="D94" s="147" t="str">
        <f t="shared" si="39"/>
        <v>Dépôts à caractère dangereux</v>
      </c>
      <c r="E94" s="238" t="s">
        <v>530</v>
      </c>
      <c r="F94" s="239" t="s">
        <v>204</v>
      </c>
      <c r="G94" s="239" t="str">
        <f t="shared" si="32"/>
        <v>Dépôts d'armes</v>
      </c>
      <c r="H94" s="240" t="s">
        <v>90</v>
      </c>
      <c r="I94" s="240" t="s">
        <v>25</v>
      </c>
      <c r="J94" s="252" t="s">
        <v>644</v>
      </c>
      <c r="K94" s="252"/>
      <c r="L94" s="253"/>
    </row>
    <row r="95" spans="1:12" x14ac:dyDescent="0.25">
      <c r="A95" s="147" t="str">
        <f t="shared" si="33"/>
        <v>E</v>
      </c>
      <c r="B95" s="148" t="str">
        <f t="shared" si="34"/>
        <v>Locaux d'entreposage</v>
      </c>
      <c r="C95" s="149" t="str">
        <f t="shared" si="39"/>
        <v>E.3</v>
      </c>
      <c r="D95" s="147" t="str">
        <f t="shared" si="39"/>
        <v>Dépôts à caractère dangereux</v>
      </c>
      <c r="E95" s="238" t="s">
        <v>532</v>
      </c>
      <c r="F95" s="239" t="s">
        <v>205</v>
      </c>
      <c r="G95" s="239" t="str">
        <f t="shared" si="32"/>
        <v>Dépôts d'asbeste</v>
      </c>
      <c r="H95" s="240" t="s">
        <v>90</v>
      </c>
      <c r="I95" s="240" t="s">
        <v>25</v>
      </c>
      <c r="J95" s="240" t="s">
        <v>644</v>
      </c>
      <c r="K95" s="240"/>
      <c r="L95" s="241"/>
    </row>
    <row r="96" spans="1:12" x14ac:dyDescent="0.25">
      <c r="A96" s="147" t="str">
        <f t="shared" si="33"/>
        <v>E</v>
      </c>
      <c r="B96" s="148" t="str">
        <f t="shared" si="34"/>
        <v>Locaux d'entreposage</v>
      </c>
      <c r="C96" s="149" t="str">
        <f t="shared" si="39"/>
        <v>E.3</v>
      </c>
      <c r="D96" s="147" t="str">
        <f t="shared" si="39"/>
        <v>Dépôts à caractère dangereux</v>
      </c>
      <c r="E96" s="238" t="s">
        <v>531</v>
      </c>
      <c r="F96" s="239" t="s">
        <v>206</v>
      </c>
      <c r="G96" s="239" t="str">
        <f t="shared" si="32"/>
        <v>Dépôts de produits toxiques</v>
      </c>
      <c r="H96" s="240" t="s">
        <v>90</v>
      </c>
      <c r="I96" s="240" t="s">
        <v>25</v>
      </c>
      <c r="J96" s="240" t="s">
        <v>644</v>
      </c>
      <c r="K96" s="240"/>
      <c r="L96" s="241"/>
    </row>
    <row r="97" spans="1:12" x14ac:dyDescent="0.25">
      <c r="A97" s="147" t="str">
        <f t="shared" si="33"/>
        <v>E</v>
      </c>
      <c r="B97" s="148" t="str">
        <f t="shared" si="34"/>
        <v>Locaux d'entreposage</v>
      </c>
      <c r="C97" s="152" t="str">
        <f t="shared" si="39"/>
        <v>E.3</v>
      </c>
      <c r="D97" s="152" t="str">
        <f t="shared" si="39"/>
        <v>Dépôts à caractère dangereux</v>
      </c>
      <c r="E97" s="195" t="s">
        <v>533</v>
      </c>
      <c r="F97" s="196" t="s">
        <v>132</v>
      </c>
      <c r="G97" s="196" t="str">
        <f t="shared" si="32"/>
        <v>Ne pas utiliser</v>
      </c>
      <c r="H97" s="198"/>
      <c r="I97" s="198"/>
      <c r="J97" s="198"/>
      <c r="K97" s="198"/>
      <c r="L97" s="199"/>
    </row>
    <row r="98" spans="1:12" x14ac:dyDescent="0.25">
      <c r="A98" s="147" t="str">
        <f t="shared" si="33"/>
        <v>E</v>
      </c>
      <c r="B98" s="148" t="str">
        <f t="shared" si="34"/>
        <v>Locaux d'entreposage</v>
      </c>
      <c r="C98" s="171" t="s">
        <v>516</v>
      </c>
      <c r="D98" s="169" t="s">
        <v>207</v>
      </c>
      <c r="E98" s="250" t="s">
        <v>534</v>
      </c>
      <c r="F98" s="251" t="s">
        <v>208</v>
      </c>
      <c r="G98" s="251" t="str">
        <f t="shared" si="32"/>
        <v>Dépôts de déchets inertes</v>
      </c>
      <c r="H98" s="252" t="s">
        <v>90</v>
      </c>
      <c r="I98" s="252" t="s">
        <v>25</v>
      </c>
      <c r="J98" s="252" t="s">
        <v>644</v>
      </c>
      <c r="K98" s="252"/>
      <c r="L98" s="253"/>
    </row>
    <row r="99" spans="1:12" x14ac:dyDescent="0.25">
      <c r="A99" s="147" t="str">
        <f t="shared" si="33"/>
        <v>E</v>
      </c>
      <c r="B99" s="148" t="str">
        <f t="shared" si="34"/>
        <v>Locaux d'entreposage</v>
      </c>
      <c r="C99" s="149" t="str">
        <f t="shared" ref="C99:D101" si="40">C98</f>
        <v>E.4</v>
      </c>
      <c r="D99" s="147" t="str">
        <f t="shared" si="40"/>
        <v>Entreposage des déchets</v>
      </c>
      <c r="E99" s="238" t="s">
        <v>535</v>
      </c>
      <c r="F99" s="239" t="s">
        <v>209</v>
      </c>
      <c r="G99" s="239" t="str">
        <f t="shared" si="32"/>
        <v>Dépôts de déchets dégradables</v>
      </c>
      <c r="H99" s="240" t="s">
        <v>90</v>
      </c>
      <c r="I99" s="240" t="s">
        <v>25</v>
      </c>
      <c r="J99" s="240" t="s">
        <v>644</v>
      </c>
      <c r="K99" s="240"/>
      <c r="L99" s="241"/>
    </row>
    <row r="100" spans="1:12" x14ac:dyDescent="0.25">
      <c r="A100" s="147" t="str">
        <f t="shared" si="33"/>
        <v>E</v>
      </c>
      <c r="B100" s="148" t="str">
        <f t="shared" si="34"/>
        <v>Locaux d'entreposage</v>
      </c>
      <c r="C100" s="149" t="str">
        <f t="shared" si="40"/>
        <v>E.4</v>
      </c>
      <c r="D100" s="147" t="str">
        <f t="shared" si="40"/>
        <v>Entreposage des déchets</v>
      </c>
      <c r="E100" s="238" t="s">
        <v>536</v>
      </c>
      <c r="F100" s="239" t="s">
        <v>210</v>
      </c>
      <c r="G100" s="239" t="str">
        <f t="shared" si="32"/>
        <v>Local "tri-sélectif"</v>
      </c>
      <c r="H100" s="240" t="s">
        <v>90</v>
      </c>
      <c r="I100" s="240" t="s">
        <v>25</v>
      </c>
      <c r="J100" s="240" t="s">
        <v>644</v>
      </c>
      <c r="K100" s="240"/>
      <c r="L100" s="241"/>
    </row>
    <row r="101" spans="1:12" x14ac:dyDescent="0.25">
      <c r="A101" s="147" t="str">
        <f t="shared" si="33"/>
        <v>E</v>
      </c>
      <c r="B101" s="148" t="str">
        <f t="shared" si="34"/>
        <v>Locaux d'entreposage</v>
      </c>
      <c r="C101" s="152" t="str">
        <f t="shared" si="40"/>
        <v>E.4</v>
      </c>
      <c r="D101" s="152" t="str">
        <f t="shared" si="40"/>
        <v>Entreposage des déchets</v>
      </c>
      <c r="E101" s="195" t="s">
        <v>537</v>
      </c>
      <c r="F101" s="196" t="s">
        <v>132</v>
      </c>
      <c r="G101" s="196" t="str">
        <f t="shared" si="32"/>
        <v>Ne pas utiliser</v>
      </c>
      <c r="H101" s="198"/>
      <c r="I101" s="198"/>
      <c r="J101" s="198"/>
      <c r="K101" s="198"/>
      <c r="L101" s="199"/>
    </row>
    <row r="102" spans="1:12" x14ac:dyDescent="0.25">
      <c r="A102" s="147" t="str">
        <f t="shared" si="33"/>
        <v>E</v>
      </c>
      <c r="B102" s="148" t="str">
        <f t="shared" si="34"/>
        <v>Locaux d'entreposage</v>
      </c>
      <c r="C102" s="171" t="s">
        <v>517</v>
      </c>
      <c r="D102" s="169" t="s">
        <v>211</v>
      </c>
      <c r="E102" s="250" t="s">
        <v>538</v>
      </c>
      <c r="F102" s="251" t="s">
        <v>212</v>
      </c>
      <c r="G102" s="251" t="str">
        <f t="shared" si="32"/>
        <v>Stock périsable cuisine/restaurant</v>
      </c>
      <c r="H102" s="252" t="s">
        <v>90</v>
      </c>
      <c r="I102" s="252" t="s">
        <v>334</v>
      </c>
      <c r="J102" s="252" t="s">
        <v>644</v>
      </c>
      <c r="K102" s="252"/>
      <c r="L102" s="253"/>
    </row>
    <row r="103" spans="1:12" x14ac:dyDescent="0.25">
      <c r="A103" s="147" t="str">
        <f t="shared" si="33"/>
        <v>E</v>
      </c>
      <c r="B103" s="148" t="str">
        <f t="shared" si="34"/>
        <v>Locaux d'entreposage</v>
      </c>
      <c r="C103" s="149" t="str">
        <f>C102</f>
        <v>E.5</v>
      </c>
      <c r="D103" s="147" t="str">
        <f>D102</f>
        <v>Dépôts de nourriture</v>
      </c>
      <c r="E103" s="238" t="s">
        <v>539</v>
      </c>
      <c r="F103" s="239" t="s">
        <v>213</v>
      </c>
      <c r="G103" s="239" t="str">
        <f t="shared" si="32"/>
        <v>Stock inerte cuisine/restaurant</v>
      </c>
      <c r="H103" s="240" t="s">
        <v>90</v>
      </c>
      <c r="I103" s="240" t="s">
        <v>334</v>
      </c>
      <c r="J103" s="240" t="s">
        <v>644</v>
      </c>
      <c r="K103" s="240"/>
      <c r="L103" s="241"/>
    </row>
    <row r="104" spans="1:12" x14ac:dyDescent="0.25">
      <c r="A104" s="147" t="str">
        <f t="shared" si="33"/>
        <v>E</v>
      </c>
      <c r="B104" s="148" t="str">
        <f t="shared" si="34"/>
        <v>Locaux d'entreposage</v>
      </c>
      <c r="C104" s="152" t="str">
        <f>C103</f>
        <v>E.5</v>
      </c>
      <c r="D104" s="152" t="str">
        <f>D103</f>
        <v>Dépôts de nourriture</v>
      </c>
      <c r="E104" s="195" t="s">
        <v>540</v>
      </c>
      <c r="F104" s="196" t="s">
        <v>132</v>
      </c>
      <c r="G104" s="196" t="str">
        <f t="shared" si="32"/>
        <v>Ne pas utiliser</v>
      </c>
      <c r="H104" s="198"/>
      <c r="I104" s="198"/>
      <c r="J104" s="198"/>
      <c r="K104" s="198"/>
      <c r="L104" s="199"/>
    </row>
    <row r="105" spans="1:12" x14ac:dyDescent="0.25">
      <c r="A105" s="147" t="str">
        <f t="shared" si="33"/>
        <v>E</v>
      </c>
      <c r="B105" s="148" t="str">
        <f t="shared" si="34"/>
        <v>Locaux d'entreposage</v>
      </c>
      <c r="C105" s="171" t="s">
        <v>518</v>
      </c>
      <c r="D105" s="169" t="s">
        <v>214</v>
      </c>
      <c r="E105" s="250" t="s">
        <v>541</v>
      </c>
      <c r="F105" s="251" t="s">
        <v>215</v>
      </c>
      <c r="G105" s="251" t="str">
        <f t="shared" si="32"/>
        <v>Chambres froides pour restaurant</v>
      </c>
      <c r="H105" s="252" t="s">
        <v>90</v>
      </c>
      <c r="I105" s="252" t="s">
        <v>334</v>
      </c>
      <c r="J105" s="252" t="s">
        <v>644</v>
      </c>
      <c r="K105" s="252"/>
      <c r="L105" s="253"/>
    </row>
    <row r="106" spans="1:12" x14ac:dyDescent="0.25">
      <c r="A106" s="147" t="str">
        <f t="shared" si="33"/>
        <v>E</v>
      </c>
      <c r="B106" s="148" t="str">
        <f t="shared" si="34"/>
        <v>Locaux d'entreposage</v>
      </c>
      <c r="C106" s="149" t="str">
        <f>C105</f>
        <v>E.6</v>
      </c>
      <c r="D106" s="147" t="str">
        <f>D105</f>
        <v>Chambres froides</v>
      </c>
      <c r="E106" s="204" t="s">
        <v>542</v>
      </c>
      <c r="F106" s="187" t="s">
        <v>132</v>
      </c>
      <c r="G106" s="187" t="str">
        <f t="shared" si="32"/>
        <v>Ne pas utiliser</v>
      </c>
      <c r="H106" s="188"/>
      <c r="I106" s="188"/>
      <c r="J106" s="188"/>
      <c r="K106" s="188"/>
      <c r="L106" s="189"/>
    </row>
    <row r="107" spans="1:12" x14ac:dyDescent="0.25">
      <c r="A107" s="147" t="str">
        <f t="shared" si="33"/>
        <v>E</v>
      </c>
      <c r="B107" s="148" t="str">
        <f t="shared" si="34"/>
        <v>Locaux d'entreposage</v>
      </c>
      <c r="C107" s="171" t="s">
        <v>519</v>
      </c>
      <c r="D107" s="169" t="s">
        <v>216</v>
      </c>
      <c r="E107" s="254" t="s">
        <v>543</v>
      </c>
      <c r="F107" s="255" t="s">
        <v>217</v>
      </c>
      <c r="G107" s="255" t="str">
        <f t="shared" si="32"/>
        <v>Ne pas utiliser</v>
      </c>
      <c r="H107" s="256"/>
      <c r="I107" s="256" t="s">
        <v>25</v>
      </c>
      <c r="J107" s="256"/>
      <c r="K107" s="256"/>
      <c r="L107" s="257"/>
    </row>
    <row r="108" spans="1:12" x14ac:dyDescent="0.25">
      <c r="A108" s="147" t="str">
        <f t="shared" si="33"/>
        <v>E</v>
      </c>
      <c r="B108" s="148" t="str">
        <f t="shared" si="34"/>
        <v>Locaux d'entreposage</v>
      </c>
      <c r="C108" s="149" t="str">
        <f>C107</f>
        <v>E.7</v>
      </c>
      <c r="D108" s="147" t="str">
        <f>D107</f>
        <v>Stock pour la gestion de l'immeuble</v>
      </c>
      <c r="E108" s="204" t="s">
        <v>544</v>
      </c>
      <c r="F108" s="187" t="s">
        <v>132</v>
      </c>
      <c r="G108" s="187" t="str">
        <f t="shared" si="32"/>
        <v>Ne pas utiliser</v>
      </c>
      <c r="H108" s="188"/>
      <c r="I108" s="188"/>
      <c r="J108" s="188"/>
      <c r="K108" s="188"/>
      <c r="L108" s="189"/>
    </row>
    <row r="109" spans="1:12" x14ac:dyDescent="0.25">
      <c r="A109" s="147" t="str">
        <f t="shared" si="33"/>
        <v>E</v>
      </c>
      <c r="B109" s="148" t="str">
        <f t="shared" si="34"/>
        <v>Locaux d'entreposage</v>
      </c>
      <c r="C109" s="171" t="s">
        <v>520</v>
      </c>
      <c r="D109" s="169" t="s">
        <v>218</v>
      </c>
      <c r="E109" s="242" t="s">
        <v>545</v>
      </c>
      <c r="F109" s="243" t="s">
        <v>219</v>
      </c>
      <c r="G109" s="243" t="str">
        <f t="shared" si="32"/>
        <v>Réserves des Musées</v>
      </c>
      <c r="H109" s="244" t="s">
        <v>90</v>
      </c>
      <c r="I109" s="244" t="s">
        <v>25</v>
      </c>
      <c r="J109" s="244" t="s">
        <v>644</v>
      </c>
      <c r="K109" s="244"/>
      <c r="L109" s="245"/>
    </row>
    <row r="110" spans="1:12" x14ac:dyDescent="0.25">
      <c r="A110" s="147" t="str">
        <f t="shared" si="33"/>
        <v>E</v>
      </c>
      <c r="B110" s="148" t="str">
        <f t="shared" si="34"/>
        <v>Locaux d'entreposage</v>
      </c>
      <c r="C110" s="149" t="str">
        <f>C109</f>
        <v>E.8</v>
      </c>
      <c r="D110" s="147" t="str">
        <f>D109</f>
        <v>Entreposage de collections</v>
      </c>
      <c r="E110" s="238" t="s">
        <v>546</v>
      </c>
      <c r="F110" s="239" t="s">
        <v>220</v>
      </c>
      <c r="G110" s="239" t="str">
        <f t="shared" si="32"/>
        <v>Stock d'échantillons</v>
      </c>
      <c r="H110" s="240" t="s">
        <v>90</v>
      </c>
      <c r="I110" s="240" t="s">
        <v>25</v>
      </c>
      <c r="J110" s="240" t="s">
        <v>644</v>
      </c>
      <c r="K110" s="240"/>
      <c r="L110" s="241"/>
    </row>
    <row r="111" spans="1:12" x14ac:dyDescent="0.25">
      <c r="A111" s="147" t="str">
        <f t="shared" si="33"/>
        <v>E</v>
      </c>
      <c r="B111" s="148" t="str">
        <f t="shared" si="34"/>
        <v>Locaux d'entreposage</v>
      </c>
      <c r="C111" s="149" t="str">
        <f>C110</f>
        <v>E.8</v>
      </c>
      <c r="D111" s="152" t="str">
        <f>D110</f>
        <v>Entreposage de collections</v>
      </c>
      <c r="E111" s="204" t="s">
        <v>547</v>
      </c>
      <c r="F111" s="187" t="s">
        <v>132</v>
      </c>
      <c r="G111" s="187" t="str">
        <f t="shared" si="32"/>
        <v>Ne pas utiliser</v>
      </c>
      <c r="H111" s="188"/>
      <c r="I111" s="188"/>
      <c r="J111" s="188"/>
      <c r="K111" s="188"/>
      <c r="L111" s="189"/>
    </row>
    <row r="112" spans="1:12" ht="15.75" thickBot="1" x14ac:dyDescent="0.3">
      <c r="A112" s="147" t="str">
        <f t="shared" si="33"/>
        <v>E</v>
      </c>
      <c r="B112" s="148" t="str">
        <f t="shared" si="34"/>
        <v>Locaux d'entreposage</v>
      </c>
      <c r="C112" s="172" t="s">
        <v>521</v>
      </c>
      <c r="D112" s="172" t="s">
        <v>132</v>
      </c>
      <c r="E112" s="214" t="str">
        <f>C112</f>
        <v>E.9</v>
      </c>
      <c r="F112" s="215" t="str">
        <f>D112</f>
        <v>Autres</v>
      </c>
      <c r="G112" s="215" t="str">
        <f t="shared" si="32"/>
        <v>Ne pas utiliser</v>
      </c>
      <c r="H112" s="216"/>
      <c r="I112" s="216"/>
      <c r="J112" s="216"/>
      <c r="K112" s="216"/>
      <c r="L112" s="217"/>
    </row>
    <row r="113" spans="1:12" x14ac:dyDescent="0.25">
      <c r="A113" s="165" t="s">
        <v>364</v>
      </c>
      <c r="B113" s="166" t="s">
        <v>221</v>
      </c>
      <c r="C113" s="167" t="s">
        <v>507</v>
      </c>
      <c r="D113" s="168" t="s">
        <v>222</v>
      </c>
      <c r="E113" s="258" t="s">
        <v>508</v>
      </c>
      <c r="F113" s="259" t="s">
        <v>223</v>
      </c>
      <c r="G113" s="259" t="str">
        <f t="shared" si="32"/>
        <v>Ne pas utiliser</v>
      </c>
      <c r="H113" s="260"/>
      <c r="I113" s="260"/>
      <c r="J113" s="260"/>
      <c r="K113" s="260"/>
      <c r="L113" s="261"/>
    </row>
    <row r="114" spans="1:12" x14ac:dyDescent="0.25">
      <c r="A114" s="147" t="str">
        <f>A113</f>
        <v>F</v>
      </c>
      <c r="B114" s="148" t="str">
        <f>B113</f>
        <v>Locaux de parcage de véhicules</v>
      </c>
      <c r="C114" s="149" t="str">
        <f t="shared" ref="C114:D116" si="41">C113</f>
        <v>F.1</v>
      </c>
      <c r="D114" s="147" t="str">
        <f t="shared" si="41"/>
        <v>Parcage d'automobiles et de motos</v>
      </c>
      <c r="E114" s="262" t="s">
        <v>509</v>
      </c>
      <c r="F114" s="263" t="s">
        <v>224</v>
      </c>
      <c r="G114" s="263" t="str">
        <f t="shared" si="32"/>
        <v>Ne pas utiliser</v>
      </c>
      <c r="H114" s="264"/>
      <c r="I114" s="264"/>
      <c r="J114" s="264"/>
      <c r="K114" s="264"/>
      <c r="L114" s="265"/>
    </row>
    <row r="115" spans="1:12" x14ac:dyDescent="0.25">
      <c r="A115" s="147" t="str">
        <f t="shared" ref="A115:A117" si="42">A114</f>
        <v>F</v>
      </c>
      <c r="B115" s="148" t="str">
        <f t="shared" ref="B115:B117" si="43">B114</f>
        <v>Locaux de parcage de véhicules</v>
      </c>
      <c r="C115" s="149" t="str">
        <f t="shared" si="41"/>
        <v>F.1</v>
      </c>
      <c r="D115" s="147" t="str">
        <f t="shared" si="41"/>
        <v>Parcage d'automobiles et de motos</v>
      </c>
      <c r="E115" s="262" t="s">
        <v>510</v>
      </c>
      <c r="F115" s="263" t="s">
        <v>225</v>
      </c>
      <c r="G115" s="263" t="str">
        <f t="shared" si="32"/>
        <v>Ne pas utiliser</v>
      </c>
      <c r="H115" s="264"/>
      <c r="I115" s="264"/>
      <c r="J115" s="264"/>
      <c r="K115" s="264"/>
      <c r="L115" s="265"/>
    </row>
    <row r="116" spans="1:12" x14ac:dyDescent="0.25">
      <c r="A116" s="147" t="str">
        <f t="shared" si="42"/>
        <v>F</v>
      </c>
      <c r="B116" s="148" t="str">
        <f t="shared" si="43"/>
        <v>Locaux de parcage de véhicules</v>
      </c>
      <c r="C116" s="147" t="str">
        <f t="shared" si="41"/>
        <v>F.1</v>
      </c>
      <c r="D116" s="147" t="str">
        <f t="shared" si="41"/>
        <v>Parcage d'automobiles et de motos</v>
      </c>
      <c r="E116" s="195" t="s">
        <v>511</v>
      </c>
      <c r="F116" s="196" t="s">
        <v>132</v>
      </c>
      <c r="G116" s="196" t="str">
        <f t="shared" si="32"/>
        <v>Ne pas utiliser</v>
      </c>
      <c r="H116" s="198"/>
      <c r="I116" s="198"/>
      <c r="J116" s="198"/>
      <c r="K116" s="198"/>
      <c r="L116" s="199"/>
    </row>
    <row r="117" spans="1:12" ht="15.75" thickBot="1" x14ac:dyDescent="0.3">
      <c r="A117" s="147" t="str">
        <f t="shared" si="42"/>
        <v>F</v>
      </c>
      <c r="B117" s="148" t="str">
        <f t="shared" si="43"/>
        <v>Locaux de parcage de véhicules</v>
      </c>
      <c r="C117" s="171" t="s">
        <v>512</v>
      </c>
      <c r="D117" s="169" t="s">
        <v>226</v>
      </c>
      <c r="E117" s="204" t="str">
        <f>C117</f>
        <v>F.2</v>
      </c>
      <c r="F117" s="187" t="str">
        <f>D117</f>
        <v>Remise pour vélos</v>
      </c>
      <c r="G117" s="187" t="str">
        <f t="shared" si="32"/>
        <v>Ne pas utiliser</v>
      </c>
      <c r="H117" s="188"/>
      <c r="I117" s="188"/>
      <c r="J117" s="188"/>
      <c r="K117" s="188"/>
      <c r="L117" s="189"/>
    </row>
    <row r="118" spans="1:12" x14ac:dyDescent="0.25">
      <c r="A118" s="165" t="s">
        <v>365</v>
      </c>
      <c r="B118" s="166" t="s">
        <v>227</v>
      </c>
      <c r="C118" s="167" t="s">
        <v>478</v>
      </c>
      <c r="D118" s="168" t="s">
        <v>228</v>
      </c>
      <c r="E118" s="246" t="s">
        <v>479</v>
      </c>
      <c r="F118" s="266" t="s">
        <v>229</v>
      </c>
      <c r="G118" s="266" t="str">
        <f t="shared" si="32"/>
        <v>Salle de restaurant</v>
      </c>
      <c r="H118" s="267" t="s">
        <v>90</v>
      </c>
      <c r="I118" s="267" t="s">
        <v>334</v>
      </c>
      <c r="J118" s="267" t="s">
        <v>46</v>
      </c>
      <c r="K118" s="267"/>
      <c r="L118" s="268"/>
    </row>
    <row r="119" spans="1:12" x14ac:dyDescent="0.25">
      <c r="A119" s="147" t="str">
        <f>A118</f>
        <v>G</v>
      </c>
      <c r="B119" s="148" t="str">
        <f>B118</f>
        <v>Lieux de services</v>
      </c>
      <c r="C119" s="149" t="str">
        <f>C118</f>
        <v>G.1</v>
      </c>
      <c r="D119" s="147" t="str">
        <f>D118</f>
        <v>Restaurant</v>
      </c>
      <c r="E119" s="238" t="s">
        <v>480</v>
      </c>
      <c r="F119" s="269" t="s">
        <v>230</v>
      </c>
      <c r="G119" s="269" t="str">
        <f t="shared" si="32"/>
        <v>Cuisine</v>
      </c>
      <c r="H119" s="270" t="s">
        <v>90</v>
      </c>
      <c r="I119" s="270" t="s">
        <v>334</v>
      </c>
      <c r="J119" s="270" t="s">
        <v>653</v>
      </c>
      <c r="K119" s="270"/>
      <c r="L119" s="271"/>
    </row>
    <row r="120" spans="1:12" x14ac:dyDescent="0.25">
      <c r="A120" s="147" t="str">
        <f t="shared" ref="A120:A138" si="44">A119</f>
        <v>G</v>
      </c>
      <c r="B120" s="148" t="str">
        <f t="shared" ref="B120:B138" si="45">B119</f>
        <v>Lieux de services</v>
      </c>
      <c r="C120" s="147" t="str">
        <f>C119</f>
        <v>G.1</v>
      </c>
      <c r="D120" s="147" t="str">
        <f>D119</f>
        <v>Restaurant</v>
      </c>
      <c r="E120" s="195" t="s">
        <v>481</v>
      </c>
      <c r="F120" s="221" t="s">
        <v>132</v>
      </c>
      <c r="G120" s="221" t="str">
        <f t="shared" si="32"/>
        <v>Ne pas utiliser</v>
      </c>
      <c r="H120" s="222"/>
      <c r="I120" s="222"/>
      <c r="J120" s="222"/>
      <c r="K120" s="222"/>
      <c r="L120" s="223"/>
    </row>
    <row r="121" spans="1:12" x14ac:dyDescent="0.25">
      <c r="A121" s="147" t="str">
        <f t="shared" si="44"/>
        <v>G</v>
      </c>
      <c r="B121" s="148" t="str">
        <f t="shared" si="45"/>
        <v>Lieux de services</v>
      </c>
      <c r="C121" s="171" t="s">
        <v>477</v>
      </c>
      <c r="D121" s="169" t="s">
        <v>231</v>
      </c>
      <c r="E121" s="242" t="s">
        <v>482</v>
      </c>
      <c r="F121" s="272" t="s">
        <v>232</v>
      </c>
      <c r="G121" s="272" t="str">
        <f t="shared" si="32"/>
        <v>Cafeteria locale</v>
      </c>
      <c r="H121" s="273" t="s">
        <v>18</v>
      </c>
      <c r="I121" s="273" t="s">
        <v>24</v>
      </c>
      <c r="J121" s="273"/>
      <c r="K121" s="273"/>
      <c r="L121" s="274"/>
    </row>
    <row r="122" spans="1:12" x14ac:dyDescent="0.25">
      <c r="A122" s="147" t="str">
        <f t="shared" si="44"/>
        <v>G</v>
      </c>
      <c r="B122" s="148" t="str">
        <f t="shared" si="45"/>
        <v>Lieux de services</v>
      </c>
      <c r="C122" s="149" t="str">
        <f>C121</f>
        <v>G.2</v>
      </c>
      <c r="D122" s="147" t="str">
        <f>D121</f>
        <v>Cafeteria</v>
      </c>
      <c r="E122" s="238" t="s">
        <v>483</v>
      </c>
      <c r="F122" s="269" t="s">
        <v>233</v>
      </c>
      <c r="G122" s="269" t="str">
        <f t="shared" si="32"/>
        <v>Cafeteria commune</v>
      </c>
      <c r="H122" s="270" t="s">
        <v>90</v>
      </c>
      <c r="I122" s="270" t="s">
        <v>327</v>
      </c>
      <c r="J122" s="270" t="s">
        <v>46</v>
      </c>
      <c r="K122" s="270"/>
      <c r="L122" s="271"/>
    </row>
    <row r="123" spans="1:12" x14ac:dyDescent="0.25">
      <c r="A123" s="147" t="str">
        <f t="shared" si="44"/>
        <v>G</v>
      </c>
      <c r="B123" s="148" t="str">
        <f t="shared" si="45"/>
        <v>Lieux de services</v>
      </c>
      <c r="C123" s="149" t="str">
        <f>C122</f>
        <v>G.2</v>
      </c>
      <c r="D123" s="147" t="str">
        <f>D122</f>
        <v>Cafeteria</v>
      </c>
      <c r="E123" s="195" t="s">
        <v>234</v>
      </c>
      <c r="F123" s="221" t="s">
        <v>132</v>
      </c>
      <c r="G123" s="221" t="str">
        <f t="shared" si="32"/>
        <v>Ne pas utiliser</v>
      </c>
      <c r="H123" s="222"/>
      <c r="I123" s="222"/>
      <c r="J123" s="222"/>
      <c r="K123" s="222"/>
      <c r="L123" s="223"/>
    </row>
    <row r="124" spans="1:12" x14ac:dyDescent="0.25">
      <c r="A124" s="147" t="str">
        <f t="shared" si="44"/>
        <v>G</v>
      </c>
      <c r="B124" s="148" t="str">
        <f t="shared" si="45"/>
        <v>Lieux de services</v>
      </c>
      <c r="C124" s="171" t="s">
        <v>476</v>
      </c>
      <c r="D124" s="169" t="s">
        <v>235</v>
      </c>
      <c r="E124" s="242" t="s">
        <v>484</v>
      </c>
      <c r="F124" s="272" t="s">
        <v>236</v>
      </c>
      <c r="G124" s="272" t="str">
        <f t="shared" si="32"/>
        <v>Infirmerie</v>
      </c>
      <c r="H124" s="273" t="s">
        <v>90</v>
      </c>
      <c r="I124" s="273" t="s">
        <v>328</v>
      </c>
      <c r="J124" s="273" t="s">
        <v>651</v>
      </c>
      <c r="K124" s="273">
        <v>20</v>
      </c>
      <c r="L124" s="274"/>
    </row>
    <row r="125" spans="1:12" x14ac:dyDescent="0.25">
      <c r="A125" s="147" t="str">
        <f t="shared" si="44"/>
        <v>G</v>
      </c>
      <c r="B125" s="148" t="str">
        <f t="shared" si="45"/>
        <v>Lieux de services</v>
      </c>
      <c r="C125" s="149" t="str">
        <f>C124</f>
        <v>G.3</v>
      </c>
      <c r="D125" s="147" t="str">
        <f>D124</f>
        <v>Locaux de premiers soins</v>
      </c>
      <c r="E125" s="238" t="s">
        <v>485</v>
      </c>
      <c r="F125" s="269" t="s">
        <v>237</v>
      </c>
      <c r="G125" s="269" t="str">
        <f t="shared" si="32"/>
        <v>Local "EHBO"</v>
      </c>
      <c r="H125" s="270" t="s">
        <v>90</v>
      </c>
      <c r="I125" s="270" t="s">
        <v>328</v>
      </c>
      <c r="J125" s="270" t="s">
        <v>651</v>
      </c>
      <c r="K125" s="270">
        <v>12</v>
      </c>
      <c r="L125" s="271"/>
    </row>
    <row r="126" spans="1:12" x14ac:dyDescent="0.25">
      <c r="A126" s="147" t="str">
        <f t="shared" si="44"/>
        <v>G</v>
      </c>
      <c r="B126" s="148" t="str">
        <f t="shared" si="45"/>
        <v>Lieux de services</v>
      </c>
      <c r="C126" s="149" t="str">
        <f>C125</f>
        <v>G.3</v>
      </c>
      <c r="D126" s="147" t="str">
        <f>D125</f>
        <v>Locaux de premiers soins</v>
      </c>
      <c r="E126" s="195" t="s">
        <v>486</v>
      </c>
      <c r="F126" s="221" t="s">
        <v>132</v>
      </c>
      <c r="G126" s="221" t="str">
        <f t="shared" si="32"/>
        <v>Ne pas utiliser</v>
      </c>
      <c r="H126" s="222"/>
      <c r="I126" s="222"/>
      <c r="J126" s="222"/>
      <c r="K126" s="222"/>
      <c r="L126" s="223"/>
    </row>
    <row r="127" spans="1:12" x14ac:dyDescent="0.25">
      <c r="A127" s="147" t="str">
        <f t="shared" si="44"/>
        <v>G</v>
      </c>
      <c r="B127" s="148" t="str">
        <f t="shared" si="45"/>
        <v>Lieux de services</v>
      </c>
      <c r="C127" s="171" t="s">
        <v>475</v>
      </c>
      <c r="D127" s="169" t="s">
        <v>238</v>
      </c>
      <c r="E127" s="242" t="s">
        <v>487</v>
      </c>
      <c r="F127" s="272" t="s">
        <v>239</v>
      </c>
      <c r="G127" s="272" t="str">
        <f t="shared" si="32"/>
        <v>Locaux fumeurs localisés</v>
      </c>
      <c r="H127" s="273" t="s">
        <v>18</v>
      </c>
      <c r="I127" s="273" t="s">
        <v>24</v>
      </c>
      <c r="J127" s="273"/>
      <c r="K127" s="273"/>
      <c r="L127" s="274"/>
    </row>
    <row r="128" spans="1:12" x14ac:dyDescent="0.25">
      <c r="A128" s="147" t="str">
        <f t="shared" si="44"/>
        <v>G</v>
      </c>
      <c r="B128" s="148" t="str">
        <f t="shared" si="45"/>
        <v>Lieux de services</v>
      </c>
      <c r="C128" s="149" t="str">
        <f>C127</f>
        <v>G.4</v>
      </c>
      <c r="D128" s="147" t="str">
        <f>D127</f>
        <v>Locaux fumeurs</v>
      </c>
      <c r="E128" s="238" t="s">
        <v>488</v>
      </c>
      <c r="F128" s="269" t="s">
        <v>240</v>
      </c>
      <c r="G128" s="269" t="str">
        <f t="shared" si="32"/>
        <v>Locaux fumeurs communs</v>
      </c>
      <c r="H128" s="270" t="s">
        <v>90</v>
      </c>
      <c r="I128" s="270" t="s">
        <v>334</v>
      </c>
      <c r="J128" s="270" t="s">
        <v>46</v>
      </c>
      <c r="K128" s="270"/>
      <c r="L128" s="271"/>
    </row>
    <row r="129" spans="1:12" x14ac:dyDescent="0.25">
      <c r="A129" s="147" t="str">
        <f t="shared" si="44"/>
        <v>G</v>
      </c>
      <c r="B129" s="148" t="str">
        <f t="shared" si="45"/>
        <v>Lieux de services</v>
      </c>
      <c r="C129" s="149" t="str">
        <f>C128</f>
        <v>G.4</v>
      </c>
      <c r="D129" s="147" t="str">
        <f>D128</f>
        <v>Locaux fumeurs</v>
      </c>
      <c r="E129" s="195" t="s">
        <v>489</v>
      </c>
      <c r="F129" s="221" t="s">
        <v>132</v>
      </c>
      <c r="G129" s="221" t="str">
        <f t="shared" si="32"/>
        <v>Ne pas utiliser</v>
      </c>
      <c r="H129" s="222"/>
      <c r="I129" s="222"/>
      <c r="J129" s="222"/>
      <c r="K129" s="222"/>
      <c r="L129" s="223"/>
    </row>
    <row r="130" spans="1:12" x14ac:dyDescent="0.25">
      <c r="A130" s="147" t="str">
        <f t="shared" si="44"/>
        <v>G</v>
      </c>
      <c r="B130" s="148" t="str">
        <f t="shared" si="45"/>
        <v>Lieux de services</v>
      </c>
      <c r="C130" s="171" t="s">
        <v>474</v>
      </c>
      <c r="D130" s="169" t="s">
        <v>241</v>
      </c>
      <c r="E130" s="242" t="s">
        <v>490</v>
      </c>
      <c r="F130" s="272" t="s">
        <v>242</v>
      </c>
      <c r="G130" s="272" t="str">
        <f t="shared" si="32"/>
        <v>Cuisinettes localisées</v>
      </c>
      <c r="H130" s="273" t="s">
        <v>18</v>
      </c>
      <c r="I130" s="273" t="s">
        <v>24</v>
      </c>
      <c r="J130" s="273"/>
      <c r="K130" s="273"/>
      <c r="L130" s="274" t="s">
        <v>352</v>
      </c>
    </row>
    <row r="131" spans="1:12" x14ac:dyDescent="0.25">
      <c r="A131" s="147" t="str">
        <f t="shared" si="44"/>
        <v>G</v>
      </c>
      <c r="B131" s="148" t="str">
        <f t="shared" si="45"/>
        <v>Lieux de services</v>
      </c>
      <c r="C131" s="147" t="str">
        <f>C130</f>
        <v>G.5</v>
      </c>
      <c r="D131" s="147" t="str">
        <f>D130</f>
        <v>Locaux kitchenettes</v>
      </c>
      <c r="E131" s="195" t="s">
        <v>491</v>
      </c>
      <c r="F131" s="221" t="s">
        <v>132</v>
      </c>
      <c r="G131" s="221" t="str">
        <f t="shared" si="32"/>
        <v>Ne pas utiliser</v>
      </c>
      <c r="H131" s="222"/>
      <c r="I131" s="222"/>
      <c r="J131" s="222"/>
      <c r="K131" s="222"/>
      <c r="L131" s="223"/>
    </row>
    <row r="132" spans="1:12" x14ac:dyDescent="0.25">
      <c r="A132" s="147" t="str">
        <f t="shared" si="44"/>
        <v>G</v>
      </c>
      <c r="B132" s="148" t="str">
        <f t="shared" si="45"/>
        <v>Lieux de services</v>
      </c>
      <c r="C132" s="171" t="s">
        <v>473</v>
      </c>
      <c r="D132" s="169" t="s">
        <v>243</v>
      </c>
      <c r="E132" s="242" t="s">
        <v>492</v>
      </c>
      <c r="F132" s="272" t="s">
        <v>244</v>
      </c>
      <c r="G132" s="272" t="str">
        <f t="shared" si="32"/>
        <v>Locaux nettoyage d'étage</v>
      </c>
      <c r="H132" s="273" t="s">
        <v>18</v>
      </c>
      <c r="I132" s="273" t="s">
        <v>24</v>
      </c>
      <c r="J132" s="273"/>
      <c r="K132" s="273"/>
      <c r="L132" s="274" t="str">
        <f>L130</f>
        <v>à placer en fonction des surfaces prévues dans l'immeuble de base, ne pas en tenir compte dans les surfaces dans un premier temps</v>
      </c>
    </row>
    <row r="133" spans="1:12" x14ac:dyDescent="0.25">
      <c r="A133" s="147" t="str">
        <f t="shared" si="44"/>
        <v>G</v>
      </c>
      <c r="B133" s="148" t="str">
        <f t="shared" si="45"/>
        <v>Lieux de services</v>
      </c>
      <c r="C133" s="147" t="str">
        <f>C132</f>
        <v>G.6</v>
      </c>
      <c r="D133" s="147" t="str">
        <f>D132</f>
        <v>Locaux pour nettoyage</v>
      </c>
      <c r="E133" s="195" t="s">
        <v>493</v>
      </c>
      <c r="F133" s="221" t="s">
        <v>132</v>
      </c>
      <c r="G133" s="221" t="str">
        <f t="shared" si="32"/>
        <v>Ne pas utiliser</v>
      </c>
      <c r="H133" s="222"/>
      <c r="I133" s="222"/>
      <c r="J133" s="222"/>
      <c r="K133" s="222"/>
      <c r="L133" s="223"/>
    </row>
    <row r="134" spans="1:12" x14ac:dyDescent="0.25">
      <c r="A134" s="147" t="str">
        <f t="shared" si="44"/>
        <v>G</v>
      </c>
      <c r="B134" s="148" t="str">
        <f t="shared" si="45"/>
        <v>Lieux de services</v>
      </c>
      <c r="C134" s="171" t="s">
        <v>611</v>
      </c>
      <c r="D134" s="169" t="s">
        <v>245</v>
      </c>
      <c r="E134" s="242" t="s">
        <v>494</v>
      </c>
      <c r="F134" s="272" t="s">
        <v>246</v>
      </c>
      <c r="G134" s="272" t="str">
        <f t="shared" si="32"/>
        <v>Locaux "dispaching"</v>
      </c>
      <c r="H134" s="273" t="s">
        <v>90</v>
      </c>
      <c r="I134" s="273" t="s">
        <v>328</v>
      </c>
      <c r="J134" s="273" t="s">
        <v>651</v>
      </c>
      <c r="K134" s="273">
        <v>20</v>
      </c>
      <c r="L134" s="274" t="s">
        <v>350</v>
      </c>
    </row>
    <row r="135" spans="1:12" x14ac:dyDescent="0.25">
      <c r="A135" s="147" t="str">
        <f t="shared" si="44"/>
        <v>G</v>
      </c>
      <c r="B135" s="148" t="str">
        <f t="shared" si="45"/>
        <v>Lieux de services</v>
      </c>
      <c r="C135" s="149" t="str">
        <f>C134</f>
        <v>G.7</v>
      </c>
      <c r="D135" s="147" t="str">
        <f>D134</f>
        <v>Locaux de surveillance et de gestion</v>
      </c>
      <c r="E135" s="238" t="s">
        <v>495</v>
      </c>
      <c r="F135" s="269" t="s">
        <v>247</v>
      </c>
      <c r="G135" s="269" t="str">
        <f t="shared" si="32"/>
        <v>Locaux "gardiens"</v>
      </c>
      <c r="H135" s="270" t="s">
        <v>90</v>
      </c>
      <c r="I135" s="270" t="s">
        <v>328</v>
      </c>
      <c r="J135" s="270" t="s">
        <v>46</v>
      </c>
      <c r="K135" s="270"/>
      <c r="L135" s="271" t="s">
        <v>349</v>
      </c>
    </row>
    <row r="136" spans="1:12" x14ac:dyDescent="0.25">
      <c r="A136" s="147" t="str">
        <f t="shared" si="44"/>
        <v>G</v>
      </c>
      <c r="B136" s="148" t="str">
        <f t="shared" si="45"/>
        <v>Lieux de services</v>
      </c>
      <c r="C136" s="149" t="str">
        <f>C135</f>
        <v>G.7</v>
      </c>
      <c r="D136" s="147" t="str">
        <f>D135</f>
        <v>Locaux de surveillance et de gestion</v>
      </c>
      <c r="E136" s="195" t="s">
        <v>496</v>
      </c>
      <c r="F136" s="221" t="s">
        <v>132</v>
      </c>
      <c r="G136" s="221" t="str">
        <f t="shared" si="32"/>
        <v>Ne pas utiliser</v>
      </c>
      <c r="H136" s="222"/>
      <c r="I136" s="222"/>
      <c r="J136" s="222"/>
      <c r="K136" s="222"/>
      <c r="L136" s="223"/>
    </row>
    <row r="137" spans="1:12" x14ac:dyDescent="0.25">
      <c r="A137" s="147" t="str">
        <f t="shared" si="44"/>
        <v>G</v>
      </c>
      <c r="B137" s="148" t="str">
        <f t="shared" si="45"/>
        <v>Lieux de services</v>
      </c>
      <c r="C137" s="177" t="s">
        <v>472</v>
      </c>
      <c r="D137" s="164" t="s">
        <v>248</v>
      </c>
      <c r="E137" s="191" t="str">
        <f>C137</f>
        <v>G.8</v>
      </c>
      <c r="F137" s="218" t="str">
        <f>D137</f>
        <v>Crèches, accueil des enfants</v>
      </c>
      <c r="G137" s="218" t="str">
        <f t="shared" si="32"/>
        <v>Crèches, accueil des enfants</v>
      </c>
      <c r="H137" s="219" t="s">
        <v>90</v>
      </c>
      <c r="I137" s="219" t="s">
        <v>328</v>
      </c>
      <c r="J137" s="219" t="s">
        <v>46</v>
      </c>
      <c r="K137" s="219"/>
      <c r="L137" s="220"/>
    </row>
    <row r="138" spans="1:12" ht="15.75" thickBot="1" x14ac:dyDescent="0.3">
      <c r="A138" s="147" t="str">
        <f t="shared" si="44"/>
        <v>G</v>
      </c>
      <c r="B138" s="148" t="str">
        <f t="shared" si="45"/>
        <v>Lieux de services</v>
      </c>
      <c r="C138" s="177" t="s">
        <v>471</v>
      </c>
      <c r="D138" s="164" t="s">
        <v>132</v>
      </c>
      <c r="E138" s="214" t="str">
        <f>C138</f>
        <v>G.9</v>
      </c>
      <c r="F138" s="224" t="str">
        <f>D138</f>
        <v>Autres</v>
      </c>
      <c r="G138" s="224" t="str">
        <f t="shared" si="32"/>
        <v>Ne pas utiliser</v>
      </c>
      <c r="H138" s="216"/>
      <c r="I138" s="216"/>
      <c r="J138" s="216"/>
      <c r="K138" s="216"/>
      <c r="L138" s="217"/>
    </row>
    <row r="139" spans="1:12" x14ac:dyDescent="0.25">
      <c r="A139" s="173" t="s">
        <v>366</v>
      </c>
      <c r="B139" s="174" t="s">
        <v>249</v>
      </c>
      <c r="C139" s="176" t="s">
        <v>455</v>
      </c>
      <c r="D139" s="169" t="s">
        <v>250</v>
      </c>
      <c r="E139" s="246" t="s">
        <v>458</v>
      </c>
      <c r="F139" s="266" t="s">
        <v>251</v>
      </c>
      <c r="G139" s="266" t="str">
        <f t="shared" si="32"/>
        <v>Conciergeries</v>
      </c>
      <c r="H139" s="267" t="s">
        <v>90</v>
      </c>
      <c r="I139" s="267" t="s">
        <v>23</v>
      </c>
      <c r="J139" s="267" t="s">
        <v>644</v>
      </c>
      <c r="K139" s="267"/>
      <c r="L139" s="268" t="s">
        <v>351</v>
      </c>
    </row>
    <row r="140" spans="1:12" x14ac:dyDescent="0.25">
      <c r="A140" s="153" t="str">
        <f>A139</f>
        <v>H</v>
      </c>
      <c r="B140" s="155" t="str">
        <f>B139</f>
        <v>Logements</v>
      </c>
      <c r="C140" s="153" t="str">
        <f>C139</f>
        <v>H.1</v>
      </c>
      <c r="D140" s="147" t="str">
        <f>D139</f>
        <v>Locaux d'habitation</v>
      </c>
      <c r="E140" s="238" t="s">
        <v>459</v>
      </c>
      <c r="F140" s="269" t="s">
        <v>252</v>
      </c>
      <c r="G140" s="269" t="str">
        <f t="shared" si="32"/>
        <v>Logements de fonction</v>
      </c>
      <c r="H140" s="270" t="s">
        <v>90</v>
      </c>
      <c r="I140" s="270" t="s">
        <v>23</v>
      </c>
      <c r="J140" s="270" t="s">
        <v>644</v>
      </c>
      <c r="K140" s="270"/>
      <c r="L140" s="271"/>
    </row>
    <row r="141" spans="1:12" x14ac:dyDescent="0.25">
      <c r="A141" s="153" t="str">
        <f t="shared" ref="A141:A152" si="46">A140</f>
        <v>H</v>
      </c>
      <c r="B141" s="155" t="str">
        <f t="shared" ref="B141:B152" si="47">B140</f>
        <v>Logements</v>
      </c>
      <c r="C141" s="153" t="str">
        <f>C140</f>
        <v>H.1</v>
      </c>
      <c r="D141" s="147" t="str">
        <f>D140</f>
        <v>Locaux d'habitation</v>
      </c>
      <c r="E141" s="195" t="s">
        <v>460</v>
      </c>
      <c r="F141" s="196" t="s">
        <v>132</v>
      </c>
      <c r="G141" s="196" t="str">
        <f t="shared" si="32"/>
        <v>Ne pas utiliser</v>
      </c>
      <c r="H141" s="198"/>
      <c r="I141" s="198"/>
      <c r="J141" s="198"/>
      <c r="K141" s="198"/>
      <c r="L141" s="199"/>
    </row>
    <row r="142" spans="1:12" x14ac:dyDescent="0.25">
      <c r="A142" s="153" t="str">
        <f t="shared" si="46"/>
        <v>H</v>
      </c>
      <c r="B142" s="155" t="str">
        <f t="shared" si="47"/>
        <v>Logements</v>
      </c>
      <c r="C142" s="171" t="s">
        <v>456</v>
      </c>
      <c r="D142" s="169" t="s">
        <v>253</v>
      </c>
      <c r="E142" s="250" t="s">
        <v>461</v>
      </c>
      <c r="F142" s="251" t="s">
        <v>254</v>
      </c>
      <c r="G142" s="251" t="str">
        <f t="shared" si="32"/>
        <v>Chambres d'hôte</v>
      </c>
      <c r="H142" s="252" t="s">
        <v>90</v>
      </c>
      <c r="I142" s="252" t="s">
        <v>328</v>
      </c>
      <c r="J142" s="252" t="s">
        <v>46</v>
      </c>
      <c r="K142" s="252"/>
      <c r="L142" s="253"/>
    </row>
    <row r="143" spans="1:12" x14ac:dyDescent="0.25">
      <c r="A143" s="153" t="str">
        <f t="shared" si="46"/>
        <v>H</v>
      </c>
      <c r="B143" s="155" t="str">
        <f t="shared" si="47"/>
        <v>Logements</v>
      </c>
      <c r="C143" s="153" t="str">
        <f t="shared" ref="C143:D145" si="48">C142</f>
        <v>H.2</v>
      </c>
      <c r="D143" s="147" t="str">
        <f t="shared" si="48"/>
        <v>Locaux d'hébergement et de séjour</v>
      </c>
      <c r="E143" s="238" t="s">
        <v>462</v>
      </c>
      <c r="F143" s="239" t="s">
        <v>255</v>
      </c>
      <c r="G143" s="239" t="str">
        <f t="shared" si="32"/>
        <v>Chambrées pour écoles</v>
      </c>
      <c r="H143" s="240" t="s">
        <v>90</v>
      </c>
      <c r="I143" s="240" t="s">
        <v>328</v>
      </c>
      <c r="J143" s="240" t="s">
        <v>46</v>
      </c>
      <c r="K143" s="240"/>
      <c r="L143" s="241"/>
    </row>
    <row r="144" spans="1:12" x14ac:dyDescent="0.25">
      <c r="A144" s="153" t="str">
        <f t="shared" si="46"/>
        <v>H</v>
      </c>
      <c r="B144" s="155" t="str">
        <f t="shared" si="47"/>
        <v>Logements</v>
      </c>
      <c r="C144" s="153" t="str">
        <f t="shared" si="48"/>
        <v>H.2</v>
      </c>
      <c r="D144" s="147" t="str">
        <f t="shared" si="48"/>
        <v>Locaux d'hébergement et de séjour</v>
      </c>
      <c r="E144" s="238" t="s">
        <v>463</v>
      </c>
      <c r="F144" s="239" t="s">
        <v>256</v>
      </c>
      <c r="G144" s="239" t="str">
        <f t="shared" si="32"/>
        <v>Chambres dans centres pour réfugiés</v>
      </c>
      <c r="H144" s="240" t="s">
        <v>90</v>
      </c>
      <c r="I144" s="240" t="s">
        <v>328</v>
      </c>
      <c r="J144" s="240" t="s">
        <v>46</v>
      </c>
      <c r="K144" s="240"/>
      <c r="L144" s="241"/>
    </row>
    <row r="145" spans="1:12" x14ac:dyDescent="0.25">
      <c r="A145" s="153" t="str">
        <f t="shared" si="46"/>
        <v>H</v>
      </c>
      <c r="B145" s="155" t="str">
        <f t="shared" si="47"/>
        <v>Logements</v>
      </c>
      <c r="C145" s="153" t="str">
        <f t="shared" si="48"/>
        <v>H.2</v>
      </c>
      <c r="D145" s="147" t="str">
        <f t="shared" si="48"/>
        <v>Locaux d'hébergement et de séjour</v>
      </c>
      <c r="E145" s="195" t="s">
        <v>464</v>
      </c>
      <c r="F145" s="196" t="s">
        <v>132</v>
      </c>
      <c r="G145" s="196" t="str">
        <f t="shared" si="32"/>
        <v>Ne pas utiliser</v>
      </c>
      <c r="H145" s="198"/>
      <c r="I145" s="198"/>
      <c r="J145" s="198"/>
      <c r="K145" s="198"/>
      <c r="L145" s="199"/>
    </row>
    <row r="146" spans="1:12" x14ac:dyDescent="0.25">
      <c r="A146" s="153" t="str">
        <f t="shared" si="46"/>
        <v>H</v>
      </c>
      <c r="B146" s="155" t="str">
        <f t="shared" si="47"/>
        <v>Logements</v>
      </c>
      <c r="C146" s="171" t="s">
        <v>457</v>
      </c>
      <c r="D146" s="169" t="s">
        <v>257</v>
      </c>
      <c r="E146" s="250" t="s">
        <v>465</v>
      </c>
      <c r="F146" s="251" t="s">
        <v>258</v>
      </c>
      <c r="G146" s="251" t="str">
        <f t="shared" si="32"/>
        <v>Cellules de prisons</v>
      </c>
      <c r="H146" s="252" t="s">
        <v>90</v>
      </c>
      <c r="I146" s="252" t="s">
        <v>25</v>
      </c>
      <c r="J146" s="252" t="s">
        <v>46</v>
      </c>
      <c r="K146" s="252"/>
      <c r="L146" s="253"/>
    </row>
    <row r="147" spans="1:12" x14ac:dyDescent="0.25">
      <c r="A147" s="153" t="str">
        <f t="shared" si="46"/>
        <v>H</v>
      </c>
      <c r="B147" s="155" t="str">
        <f t="shared" si="47"/>
        <v>Logements</v>
      </c>
      <c r="C147" s="153" t="str">
        <f t="shared" ref="C147:D149" si="49">C146</f>
        <v>H.3</v>
      </c>
      <c r="D147" s="147" t="str">
        <f t="shared" si="49"/>
        <v>Locaux de détention</v>
      </c>
      <c r="E147" s="238" t="s">
        <v>466</v>
      </c>
      <c r="F147" s="239" t="s">
        <v>259</v>
      </c>
      <c r="G147" s="239" t="str">
        <f t="shared" si="32"/>
        <v>Cellules des palais de justice</v>
      </c>
      <c r="H147" s="240" t="s">
        <v>90</v>
      </c>
      <c r="I147" s="240" t="s">
        <v>25</v>
      </c>
      <c r="J147" s="240" t="s">
        <v>46</v>
      </c>
      <c r="K147" s="240"/>
      <c r="L147" s="241"/>
    </row>
    <row r="148" spans="1:12" x14ac:dyDescent="0.25">
      <c r="A148" s="153" t="str">
        <f t="shared" si="46"/>
        <v>H</v>
      </c>
      <c r="B148" s="155" t="str">
        <f t="shared" si="47"/>
        <v>Logements</v>
      </c>
      <c r="C148" s="153" t="str">
        <f t="shared" si="49"/>
        <v>H.3</v>
      </c>
      <c r="D148" s="147" t="str">
        <f t="shared" si="49"/>
        <v>Locaux de détention</v>
      </c>
      <c r="E148" s="238" t="s">
        <v>467</v>
      </c>
      <c r="F148" s="239" t="s">
        <v>260</v>
      </c>
      <c r="G148" s="239" t="str">
        <f t="shared" si="32"/>
        <v>Cellules dans les locaux policiers</v>
      </c>
      <c r="H148" s="240" t="s">
        <v>90</v>
      </c>
      <c r="I148" s="240" t="s">
        <v>25</v>
      </c>
      <c r="J148" s="240" t="s">
        <v>46</v>
      </c>
      <c r="K148" s="240"/>
      <c r="L148" s="241"/>
    </row>
    <row r="149" spans="1:12" x14ac:dyDescent="0.25">
      <c r="A149" s="153" t="str">
        <f t="shared" si="46"/>
        <v>H</v>
      </c>
      <c r="B149" s="155" t="str">
        <f t="shared" si="47"/>
        <v>Logements</v>
      </c>
      <c r="C149" s="153" t="str">
        <f t="shared" si="49"/>
        <v>H.3</v>
      </c>
      <c r="D149" s="147" t="str">
        <f t="shared" si="49"/>
        <v>Locaux de détention</v>
      </c>
      <c r="E149" s="195" t="s">
        <v>468</v>
      </c>
      <c r="F149" s="196" t="s">
        <v>132</v>
      </c>
      <c r="G149" s="196" t="str">
        <f t="shared" si="32"/>
        <v>Ne pas utiliser</v>
      </c>
      <c r="H149" s="198"/>
      <c r="I149" s="198"/>
      <c r="J149" s="198"/>
      <c r="K149" s="198"/>
      <c r="L149" s="199"/>
    </row>
    <row r="150" spans="1:12" x14ac:dyDescent="0.25">
      <c r="A150" s="153" t="str">
        <f t="shared" si="46"/>
        <v>H</v>
      </c>
      <c r="B150" s="155" t="str">
        <f t="shared" si="47"/>
        <v>Logements</v>
      </c>
      <c r="C150" s="171" t="s">
        <v>454</v>
      </c>
      <c r="D150" s="169" t="s">
        <v>261</v>
      </c>
      <c r="E150" s="250" t="s">
        <v>469</v>
      </c>
      <c r="F150" s="251" t="s">
        <v>262</v>
      </c>
      <c r="G150" s="251" t="str">
        <f t="shared" ref="G150:G212" si="50">IF(ISBLANK(H150),"Ne pas utiliser",F150)</f>
        <v>Chambres d'hôpital</v>
      </c>
      <c r="H150" s="252" t="s">
        <v>90</v>
      </c>
      <c r="I150" s="252" t="s">
        <v>325</v>
      </c>
      <c r="J150" s="252" t="s">
        <v>46</v>
      </c>
      <c r="K150" s="252"/>
      <c r="L150" s="253"/>
    </row>
    <row r="151" spans="1:12" x14ac:dyDescent="0.25">
      <c r="A151" s="153" t="str">
        <f t="shared" si="46"/>
        <v>H</v>
      </c>
      <c r="B151" s="155" t="str">
        <f t="shared" si="47"/>
        <v>Logements</v>
      </c>
      <c r="C151" s="147" t="str">
        <f>C150</f>
        <v>H.4</v>
      </c>
      <c r="D151" s="147" t="str">
        <f>D150</f>
        <v>Locaux de soins</v>
      </c>
      <c r="E151" s="204" t="s">
        <v>470</v>
      </c>
      <c r="F151" s="187" t="s">
        <v>132</v>
      </c>
      <c r="G151" s="187" t="str">
        <f t="shared" si="50"/>
        <v>Ne pas utiliser</v>
      </c>
      <c r="H151" s="188"/>
      <c r="I151" s="188"/>
      <c r="J151" s="188"/>
      <c r="K151" s="188"/>
      <c r="L151" s="189"/>
    </row>
    <row r="152" spans="1:12" ht="15.75" thickBot="1" x14ac:dyDescent="0.3">
      <c r="A152" s="153" t="str">
        <f t="shared" si="46"/>
        <v>H</v>
      </c>
      <c r="B152" s="155" t="str">
        <f t="shared" si="47"/>
        <v>Logements</v>
      </c>
      <c r="C152" s="172" t="s">
        <v>453</v>
      </c>
      <c r="D152" s="172" t="s">
        <v>132</v>
      </c>
      <c r="E152" s="214" t="str">
        <f>C152</f>
        <v>H.9</v>
      </c>
      <c r="F152" s="215" t="str">
        <f>D152</f>
        <v>Autres</v>
      </c>
      <c r="G152" s="215" t="str">
        <f t="shared" si="50"/>
        <v>Ne pas utiliser</v>
      </c>
      <c r="H152" s="216"/>
      <c r="I152" s="216"/>
      <c r="J152" s="216"/>
      <c r="K152" s="216"/>
      <c r="L152" s="217"/>
    </row>
    <row r="153" spans="1:12" x14ac:dyDescent="0.25">
      <c r="A153" s="173" t="s">
        <v>367</v>
      </c>
      <c r="B153" s="166" t="s">
        <v>263</v>
      </c>
      <c r="C153" s="176" t="s">
        <v>425</v>
      </c>
      <c r="D153" s="169" t="s">
        <v>264</v>
      </c>
      <c r="E153" s="246" t="s">
        <v>432</v>
      </c>
      <c r="F153" s="247" t="s">
        <v>265</v>
      </c>
      <c r="G153" s="247" t="str">
        <f t="shared" si="50"/>
        <v>Gymnase</v>
      </c>
      <c r="H153" s="248" t="s">
        <v>90</v>
      </c>
      <c r="I153" s="248" t="s">
        <v>25</v>
      </c>
      <c r="J153" s="248" t="s">
        <v>644</v>
      </c>
      <c r="K153" s="248"/>
      <c r="L153" s="249"/>
    </row>
    <row r="154" spans="1:12" x14ac:dyDescent="0.25">
      <c r="A154" s="153" t="str">
        <f>A153</f>
        <v>I</v>
      </c>
      <c r="B154" s="148" t="str">
        <f>B153</f>
        <v>Locaux culturels, cultuels et sportifs</v>
      </c>
      <c r="C154" s="153" t="str">
        <f>C153</f>
        <v>I.1</v>
      </c>
      <c r="D154" s="147" t="str">
        <f>D153</f>
        <v>Salle de sport</v>
      </c>
      <c r="E154" s="238" t="s">
        <v>433</v>
      </c>
      <c r="F154" s="239" t="s">
        <v>266</v>
      </c>
      <c r="G154" s="239" t="str">
        <f t="shared" si="50"/>
        <v>Salles multi-sport</v>
      </c>
      <c r="H154" s="240" t="s">
        <v>90</v>
      </c>
      <c r="I154" s="240" t="s">
        <v>25</v>
      </c>
      <c r="J154" s="240" t="s">
        <v>644</v>
      </c>
      <c r="K154" s="240"/>
      <c r="L154" s="241"/>
    </row>
    <row r="155" spans="1:12" x14ac:dyDescent="0.25">
      <c r="A155" s="153" t="str">
        <f t="shared" ref="A155:A174" si="51">A154</f>
        <v>I</v>
      </c>
      <c r="B155" s="148" t="str">
        <f t="shared" ref="B155:B174" si="52">B154</f>
        <v>Locaux culturels, cultuels et sportifs</v>
      </c>
      <c r="C155" s="153" t="str">
        <f t="shared" ref="C155:C156" si="53">C154</f>
        <v>I.1</v>
      </c>
      <c r="D155" s="147" t="str">
        <f t="shared" ref="D155:D156" si="54">D154</f>
        <v>Salle de sport</v>
      </c>
      <c r="E155" s="238" t="s">
        <v>434</v>
      </c>
      <c r="F155" s="239" t="s">
        <v>267</v>
      </c>
      <c r="G155" s="239" t="str">
        <f t="shared" si="50"/>
        <v>Salles de filtness</v>
      </c>
      <c r="H155" s="240" t="s">
        <v>90</v>
      </c>
      <c r="I155" s="240" t="s">
        <v>25</v>
      </c>
      <c r="J155" s="240" t="s">
        <v>644</v>
      </c>
      <c r="K155" s="240"/>
      <c r="L155" s="241"/>
    </row>
    <row r="156" spans="1:12" x14ac:dyDescent="0.25">
      <c r="A156" s="153" t="str">
        <f t="shared" si="51"/>
        <v>I</v>
      </c>
      <c r="B156" s="148" t="str">
        <f t="shared" si="52"/>
        <v>Locaux culturels, cultuels et sportifs</v>
      </c>
      <c r="C156" s="153" t="str">
        <f t="shared" si="53"/>
        <v>I.1</v>
      </c>
      <c r="D156" s="147" t="str">
        <f t="shared" si="54"/>
        <v>Salle de sport</v>
      </c>
      <c r="E156" s="195" t="s">
        <v>435</v>
      </c>
      <c r="F156" s="196" t="s">
        <v>132</v>
      </c>
      <c r="G156" s="196" t="str">
        <f t="shared" si="50"/>
        <v>Ne pas utiliser</v>
      </c>
      <c r="H156" s="198"/>
      <c r="I156" s="198"/>
      <c r="J156" s="198"/>
      <c r="K156" s="198"/>
      <c r="L156" s="199"/>
    </row>
    <row r="157" spans="1:12" x14ac:dyDescent="0.25">
      <c r="A157" s="153" t="str">
        <f t="shared" si="51"/>
        <v>I</v>
      </c>
      <c r="B157" s="148" t="str">
        <f t="shared" si="52"/>
        <v>Locaux culturels, cultuels et sportifs</v>
      </c>
      <c r="C157" s="176" t="s">
        <v>426</v>
      </c>
      <c r="D157" s="169" t="s">
        <v>268</v>
      </c>
      <c r="E157" s="250" t="s">
        <v>436</v>
      </c>
      <c r="F157" s="251" t="s">
        <v>269</v>
      </c>
      <c r="G157" s="251" t="str">
        <f t="shared" si="50"/>
        <v>Piscine couverte</v>
      </c>
      <c r="H157" s="252" t="s">
        <v>90</v>
      </c>
      <c r="I157" s="252" t="s">
        <v>25</v>
      </c>
      <c r="J157" s="240" t="s">
        <v>644</v>
      </c>
      <c r="K157" s="252"/>
      <c r="L157" s="253"/>
    </row>
    <row r="158" spans="1:12" x14ac:dyDescent="0.25">
      <c r="A158" s="153" t="str">
        <f t="shared" si="51"/>
        <v>I</v>
      </c>
      <c r="B158" s="148" t="str">
        <f t="shared" si="52"/>
        <v>Locaux culturels, cultuels et sportifs</v>
      </c>
      <c r="C158" s="153" t="str">
        <f>C157</f>
        <v>I.2</v>
      </c>
      <c r="D158" s="147" t="str">
        <f>D157</f>
        <v>Piscine</v>
      </c>
      <c r="E158" s="238" t="s">
        <v>437</v>
      </c>
      <c r="F158" s="239" t="s">
        <v>270</v>
      </c>
      <c r="G158" s="239" t="str">
        <f t="shared" si="50"/>
        <v>Piscine en plein air</v>
      </c>
      <c r="H158" s="240" t="s">
        <v>90</v>
      </c>
      <c r="I158" s="240" t="s">
        <v>328</v>
      </c>
      <c r="J158" s="240" t="s">
        <v>644</v>
      </c>
      <c r="K158" s="240"/>
      <c r="L158" s="241"/>
    </row>
    <row r="159" spans="1:12" x14ac:dyDescent="0.25">
      <c r="A159" s="153" t="str">
        <f t="shared" si="51"/>
        <v>I</v>
      </c>
      <c r="B159" s="148" t="str">
        <f t="shared" si="52"/>
        <v>Locaux culturels, cultuels et sportifs</v>
      </c>
      <c r="C159" s="153" t="str">
        <f>C158</f>
        <v>I.2</v>
      </c>
      <c r="D159" s="147" t="str">
        <f>D158</f>
        <v>Piscine</v>
      </c>
      <c r="E159" s="195" t="s">
        <v>438</v>
      </c>
      <c r="F159" s="196" t="s">
        <v>132</v>
      </c>
      <c r="G159" s="196" t="str">
        <f t="shared" si="50"/>
        <v>Ne pas utiliser</v>
      </c>
      <c r="H159" s="198"/>
      <c r="I159" s="198"/>
      <c r="J159" s="198"/>
      <c r="K159" s="198"/>
      <c r="L159" s="199"/>
    </row>
    <row r="160" spans="1:12" x14ac:dyDescent="0.25">
      <c r="A160" s="153" t="str">
        <f t="shared" si="51"/>
        <v>I</v>
      </c>
      <c r="B160" s="148" t="str">
        <f t="shared" si="52"/>
        <v>Locaux culturels, cultuels et sportifs</v>
      </c>
      <c r="C160" s="176" t="s">
        <v>427</v>
      </c>
      <c r="D160" s="169" t="s">
        <v>271</v>
      </c>
      <c r="E160" s="250" t="s">
        <v>439</v>
      </c>
      <c r="F160" s="251" t="s">
        <v>272</v>
      </c>
      <c r="G160" s="251" t="str">
        <f t="shared" si="50"/>
        <v>Salles de musée</v>
      </c>
      <c r="H160" s="252" t="s">
        <v>90</v>
      </c>
      <c r="I160" s="252" t="s">
        <v>328</v>
      </c>
      <c r="J160" s="240" t="s">
        <v>644</v>
      </c>
      <c r="K160" s="252"/>
      <c r="L160" s="253"/>
    </row>
    <row r="161" spans="1:12" x14ac:dyDescent="0.25">
      <c r="A161" s="153" t="str">
        <f t="shared" si="51"/>
        <v>I</v>
      </c>
      <c r="B161" s="148" t="str">
        <f t="shared" si="52"/>
        <v>Locaux culturels, cultuels et sportifs</v>
      </c>
      <c r="C161" s="154" t="str">
        <f>C160</f>
        <v>I.3</v>
      </c>
      <c r="D161" s="152" t="str">
        <f>D160</f>
        <v>Locaux d'exposition</v>
      </c>
      <c r="E161" s="195" t="s">
        <v>440</v>
      </c>
      <c r="F161" s="196" t="s">
        <v>132</v>
      </c>
      <c r="G161" s="196" t="str">
        <f t="shared" si="50"/>
        <v>Ne pas utiliser</v>
      </c>
      <c r="H161" s="198"/>
      <c r="I161" s="198"/>
      <c r="J161" s="198"/>
      <c r="K161" s="198"/>
      <c r="L161" s="199"/>
    </row>
    <row r="162" spans="1:12" x14ac:dyDescent="0.25">
      <c r="A162" s="153" t="str">
        <f t="shared" si="51"/>
        <v>I</v>
      </c>
      <c r="B162" s="148" t="str">
        <f t="shared" si="52"/>
        <v>Locaux culturels, cultuels et sportifs</v>
      </c>
      <c r="C162" s="176" t="s">
        <v>428</v>
      </c>
      <c r="D162" s="169" t="s">
        <v>273</v>
      </c>
      <c r="E162" s="250" t="s">
        <v>441</v>
      </c>
      <c r="F162" s="251" t="s">
        <v>274</v>
      </c>
      <c r="G162" s="251" t="str">
        <f t="shared" si="50"/>
        <v>Eglise</v>
      </c>
      <c r="H162" s="252" t="s">
        <v>90</v>
      </c>
      <c r="I162" s="252" t="s">
        <v>328</v>
      </c>
      <c r="J162" s="240" t="s">
        <v>644</v>
      </c>
      <c r="K162" s="252"/>
      <c r="L162" s="253"/>
    </row>
    <row r="163" spans="1:12" x14ac:dyDescent="0.25">
      <c r="A163" s="153" t="str">
        <f t="shared" si="51"/>
        <v>I</v>
      </c>
      <c r="B163" s="148" t="str">
        <f t="shared" si="52"/>
        <v>Locaux culturels, cultuels et sportifs</v>
      </c>
      <c r="C163" s="153" t="str">
        <f>C162</f>
        <v>I.4</v>
      </c>
      <c r="D163" s="147" t="str">
        <f>D162</f>
        <v>Locaux affectés au culte</v>
      </c>
      <c r="E163" s="238" t="s">
        <v>442</v>
      </c>
      <c r="F163" s="239" t="s">
        <v>275</v>
      </c>
      <c r="G163" s="239" t="str">
        <f t="shared" si="50"/>
        <v>Temple protestant</v>
      </c>
      <c r="H163" s="240" t="s">
        <v>90</v>
      </c>
      <c r="I163" s="240" t="s">
        <v>328</v>
      </c>
      <c r="J163" s="240" t="s">
        <v>644</v>
      </c>
      <c r="K163" s="240"/>
      <c r="L163" s="241"/>
    </row>
    <row r="164" spans="1:12" x14ac:dyDescent="0.25">
      <c r="A164" s="153" t="str">
        <f t="shared" si="51"/>
        <v>I</v>
      </c>
      <c r="B164" s="148" t="str">
        <f t="shared" si="52"/>
        <v>Locaux culturels, cultuels et sportifs</v>
      </c>
      <c r="C164" s="153" t="str">
        <f t="shared" ref="C164:C166" si="55">C163</f>
        <v>I.4</v>
      </c>
      <c r="D164" s="147" t="str">
        <f t="shared" ref="D164:D166" si="56">D163</f>
        <v>Locaux affectés au culte</v>
      </c>
      <c r="E164" s="238" t="s">
        <v>443</v>
      </c>
      <c r="F164" s="239" t="s">
        <v>276</v>
      </c>
      <c r="G164" s="239" t="str">
        <f t="shared" si="50"/>
        <v>Synagogue</v>
      </c>
      <c r="H164" s="240" t="s">
        <v>90</v>
      </c>
      <c r="I164" s="240" t="s">
        <v>328</v>
      </c>
      <c r="J164" s="240" t="s">
        <v>644</v>
      </c>
      <c r="K164" s="240"/>
      <c r="L164" s="241"/>
    </row>
    <row r="165" spans="1:12" x14ac:dyDescent="0.25">
      <c r="A165" s="153" t="str">
        <f t="shared" si="51"/>
        <v>I</v>
      </c>
      <c r="B165" s="148" t="str">
        <f t="shared" si="52"/>
        <v>Locaux culturels, cultuels et sportifs</v>
      </c>
      <c r="C165" s="153" t="str">
        <f t="shared" si="55"/>
        <v>I.4</v>
      </c>
      <c r="D165" s="147" t="str">
        <f t="shared" si="56"/>
        <v>Locaux affectés au culte</v>
      </c>
      <c r="E165" s="238" t="s">
        <v>444</v>
      </c>
      <c r="F165" s="239" t="s">
        <v>277</v>
      </c>
      <c r="G165" s="239" t="str">
        <f t="shared" si="50"/>
        <v>Mosquée</v>
      </c>
      <c r="H165" s="240" t="s">
        <v>90</v>
      </c>
      <c r="I165" s="240" t="s">
        <v>328</v>
      </c>
      <c r="J165" s="240" t="s">
        <v>644</v>
      </c>
      <c r="K165" s="240"/>
      <c r="L165" s="241"/>
    </row>
    <row r="166" spans="1:12" x14ac:dyDescent="0.25">
      <c r="A166" s="153" t="str">
        <f t="shared" si="51"/>
        <v>I</v>
      </c>
      <c r="B166" s="148" t="str">
        <f t="shared" si="52"/>
        <v>Locaux culturels, cultuels et sportifs</v>
      </c>
      <c r="C166" s="153" t="str">
        <f t="shared" si="55"/>
        <v>I.4</v>
      </c>
      <c r="D166" s="147" t="str">
        <f t="shared" si="56"/>
        <v>Locaux affectés au culte</v>
      </c>
      <c r="E166" s="195" t="s">
        <v>445</v>
      </c>
      <c r="F166" s="196" t="s">
        <v>132</v>
      </c>
      <c r="G166" s="196" t="str">
        <f t="shared" si="50"/>
        <v>Ne pas utiliser</v>
      </c>
      <c r="H166" s="198"/>
      <c r="I166" s="198"/>
      <c r="J166" s="198"/>
      <c r="K166" s="198"/>
      <c r="L166" s="199"/>
    </row>
    <row r="167" spans="1:12" x14ac:dyDescent="0.25">
      <c r="A167" s="153" t="str">
        <f t="shared" si="51"/>
        <v>I</v>
      </c>
      <c r="B167" s="148" t="str">
        <f t="shared" si="52"/>
        <v>Locaux culturels, cultuels et sportifs</v>
      </c>
      <c r="C167" s="176" t="s">
        <v>429</v>
      </c>
      <c r="D167" s="169" t="s">
        <v>278</v>
      </c>
      <c r="E167" s="250" t="s">
        <v>446</v>
      </c>
      <c r="F167" s="251" t="s">
        <v>279</v>
      </c>
      <c r="G167" s="251" t="str">
        <f t="shared" si="50"/>
        <v>Salle de spectacle</v>
      </c>
      <c r="H167" s="252" t="s">
        <v>90</v>
      </c>
      <c r="I167" s="252" t="s">
        <v>25</v>
      </c>
      <c r="J167" s="252" t="s">
        <v>46</v>
      </c>
      <c r="K167" s="252"/>
      <c r="L167" s="253"/>
    </row>
    <row r="168" spans="1:12" x14ac:dyDescent="0.25">
      <c r="A168" s="153" t="str">
        <f t="shared" si="51"/>
        <v>I</v>
      </c>
      <c r="B168" s="148" t="str">
        <f t="shared" si="52"/>
        <v>Locaux culturels, cultuels et sportifs</v>
      </c>
      <c r="C168" s="153" t="str">
        <f>C167</f>
        <v>I.5</v>
      </c>
      <c r="D168" s="147" t="str">
        <f>D167</f>
        <v>Locaux affectés au spectacle</v>
      </c>
      <c r="E168" s="238" t="s">
        <v>447</v>
      </c>
      <c r="F168" s="239" t="s">
        <v>280</v>
      </c>
      <c r="G168" s="239" t="str">
        <f t="shared" si="50"/>
        <v>Scène de théâtre</v>
      </c>
      <c r="H168" s="240" t="s">
        <v>90</v>
      </c>
      <c r="I168" s="240" t="s">
        <v>25</v>
      </c>
      <c r="J168" s="240" t="s">
        <v>46</v>
      </c>
      <c r="K168" s="240"/>
      <c r="L168" s="241"/>
    </row>
    <row r="169" spans="1:12" x14ac:dyDescent="0.25">
      <c r="A169" s="153" t="str">
        <f t="shared" si="51"/>
        <v>I</v>
      </c>
      <c r="B169" s="148" t="str">
        <f t="shared" si="52"/>
        <v>Locaux culturels, cultuels et sportifs</v>
      </c>
      <c r="C169" s="153" t="str">
        <f t="shared" ref="C169:C170" si="57">C168</f>
        <v>I.5</v>
      </c>
      <c r="D169" s="147" t="str">
        <f t="shared" ref="D169:D170" si="58">D168</f>
        <v>Locaux affectés au spectacle</v>
      </c>
      <c r="E169" s="238" t="s">
        <v>448</v>
      </c>
      <c r="F169" s="239" t="s">
        <v>281</v>
      </c>
      <c r="G169" s="239" t="str">
        <f t="shared" si="50"/>
        <v>Coulisses et cintres</v>
      </c>
      <c r="H169" s="240" t="s">
        <v>90</v>
      </c>
      <c r="I169" s="240" t="s">
        <v>25</v>
      </c>
      <c r="J169" s="240" t="s">
        <v>644</v>
      </c>
      <c r="K169" s="240"/>
      <c r="L169" s="241"/>
    </row>
    <row r="170" spans="1:12" x14ac:dyDescent="0.25">
      <c r="A170" s="153" t="str">
        <f t="shared" si="51"/>
        <v>I</v>
      </c>
      <c r="B170" s="148" t="str">
        <f t="shared" si="52"/>
        <v>Locaux culturels, cultuels et sportifs</v>
      </c>
      <c r="C170" s="153" t="str">
        <f t="shared" si="57"/>
        <v>I.5</v>
      </c>
      <c r="D170" s="147" t="str">
        <f t="shared" si="58"/>
        <v>Locaux affectés au spectacle</v>
      </c>
      <c r="E170" s="195" t="s">
        <v>449</v>
      </c>
      <c r="F170" s="196" t="s">
        <v>132</v>
      </c>
      <c r="G170" s="196" t="str">
        <f t="shared" si="50"/>
        <v>Ne pas utiliser</v>
      </c>
      <c r="H170" s="198"/>
      <c r="I170" s="198"/>
      <c r="J170" s="198"/>
      <c r="K170" s="198"/>
      <c r="L170" s="199"/>
    </row>
    <row r="171" spans="1:12" x14ac:dyDescent="0.25">
      <c r="A171" s="153" t="str">
        <f t="shared" si="51"/>
        <v>I</v>
      </c>
      <c r="B171" s="148" t="str">
        <f t="shared" si="52"/>
        <v>Locaux culturels, cultuels et sportifs</v>
      </c>
      <c r="C171" s="176" t="s">
        <v>430</v>
      </c>
      <c r="D171" s="169" t="s">
        <v>282</v>
      </c>
      <c r="E171" s="250" t="s">
        <v>450</v>
      </c>
      <c r="F171" s="251" t="s">
        <v>283</v>
      </c>
      <c r="G171" s="251" t="str">
        <f t="shared" si="50"/>
        <v>Manèges</v>
      </c>
      <c r="H171" s="252" t="s">
        <v>90</v>
      </c>
      <c r="I171" s="252" t="s">
        <v>328</v>
      </c>
      <c r="J171" s="252" t="s">
        <v>644</v>
      </c>
      <c r="K171" s="252"/>
      <c r="L171" s="253"/>
    </row>
    <row r="172" spans="1:12" x14ac:dyDescent="0.25">
      <c r="A172" s="153" t="str">
        <f t="shared" si="51"/>
        <v>I</v>
      </c>
      <c r="B172" s="148" t="str">
        <f t="shared" si="52"/>
        <v>Locaux culturels, cultuels et sportifs</v>
      </c>
      <c r="C172" s="153" t="str">
        <f>C171</f>
        <v>I.6</v>
      </c>
      <c r="D172" s="147" t="str">
        <f>D171</f>
        <v>Locaux sportifs de formation</v>
      </c>
      <c r="E172" s="238" t="s">
        <v>451</v>
      </c>
      <c r="F172" s="239" t="s">
        <v>284</v>
      </c>
      <c r="G172" s="239" t="str">
        <f t="shared" si="50"/>
        <v>Stands de tir</v>
      </c>
      <c r="H172" s="240" t="s">
        <v>90</v>
      </c>
      <c r="I172" s="240" t="s">
        <v>25</v>
      </c>
      <c r="J172" s="240" t="s">
        <v>644</v>
      </c>
      <c r="K172" s="240"/>
      <c r="L172" s="241"/>
    </row>
    <row r="173" spans="1:12" x14ac:dyDescent="0.25">
      <c r="A173" s="153" t="str">
        <f t="shared" si="51"/>
        <v>I</v>
      </c>
      <c r="B173" s="148" t="str">
        <f t="shared" si="52"/>
        <v>Locaux culturels, cultuels et sportifs</v>
      </c>
      <c r="C173" s="153" t="str">
        <f>C172</f>
        <v>I.6</v>
      </c>
      <c r="D173" s="147" t="str">
        <f>D172</f>
        <v>Locaux sportifs de formation</v>
      </c>
      <c r="E173" s="195" t="s">
        <v>452</v>
      </c>
      <c r="F173" s="196" t="s">
        <v>132</v>
      </c>
      <c r="G173" s="196" t="str">
        <f t="shared" si="50"/>
        <v>Ne pas utiliser</v>
      </c>
      <c r="H173" s="198"/>
      <c r="I173" s="198"/>
      <c r="J173" s="198"/>
      <c r="K173" s="198"/>
      <c r="L173" s="199"/>
    </row>
    <row r="174" spans="1:12" ht="15.75" thickBot="1" x14ac:dyDescent="0.3">
      <c r="A174" s="153" t="str">
        <f t="shared" si="51"/>
        <v>I</v>
      </c>
      <c r="B174" s="148" t="str">
        <f t="shared" si="52"/>
        <v>Locaux culturels, cultuels et sportifs</v>
      </c>
      <c r="C174" s="177" t="s">
        <v>431</v>
      </c>
      <c r="D174" s="164" t="s">
        <v>132</v>
      </c>
      <c r="E174" s="204" t="str">
        <f>C174</f>
        <v>I.9</v>
      </c>
      <c r="F174" s="187" t="str">
        <f>D174</f>
        <v>Autres</v>
      </c>
      <c r="G174" s="187" t="str">
        <f t="shared" si="50"/>
        <v>Ne pas utiliser</v>
      </c>
      <c r="H174" s="188"/>
      <c r="I174" s="188"/>
      <c r="J174" s="188"/>
      <c r="K174" s="188"/>
      <c r="L174" s="189"/>
    </row>
    <row r="175" spans="1:12" x14ac:dyDescent="0.25">
      <c r="A175" s="173" t="s">
        <v>368</v>
      </c>
      <c r="B175" s="166" t="s">
        <v>285</v>
      </c>
      <c r="C175" s="175" t="s">
        <v>415</v>
      </c>
      <c r="D175" s="168" t="s">
        <v>286</v>
      </c>
      <c r="E175" s="258" t="s">
        <v>416</v>
      </c>
      <c r="F175" s="259" t="s">
        <v>287</v>
      </c>
      <c r="G175" s="259" t="str">
        <f t="shared" si="50"/>
        <v>Ne pas utiliser</v>
      </c>
      <c r="H175" s="260"/>
      <c r="I175" s="260"/>
      <c r="J175" s="260"/>
      <c r="K175" s="260"/>
      <c r="L175" s="261"/>
    </row>
    <row r="176" spans="1:12" x14ac:dyDescent="0.25">
      <c r="A176" s="153" t="str">
        <f>A175</f>
        <v>K</v>
      </c>
      <c r="B176" s="148" t="str">
        <f>B175</f>
        <v>Locaux sanitaires</v>
      </c>
      <c r="C176" s="153" t="str">
        <f>C175</f>
        <v>K.1</v>
      </c>
      <c r="D176" s="147" t="str">
        <f>D175</f>
        <v>Toilettes</v>
      </c>
      <c r="E176" s="262" t="s">
        <v>417</v>
      </c>
      <c r="F176" s="263" t="s">
        <v>288</v>
      </c>
      <c r="G176" s="263" t="str">
        <f t="shared" si="50"/>
        <v>Ne pas utiliser</v>
      </c>
      <c r="H176" s="264"/>
      <c r="I176" s="264"/>
      <c r="J176" s="264"/>
      <c r="K176" s="264"/>
      <c r="L176" s="265"/>
    </row>
    <row r="177" spans="1:12" x14ac:dyDescent="0.25">
      <c r="A177" s="153" t="str">
        <f t="shared" ref="A177:A185" si="59">A176</f>
        <v>K</v>
      </c>
      <c r="B177" s="148" t="str">
        <f t="shared" ref="B177:B185" si="60">B176</f>
        <v>Locaux sanitaires</v>
      </c>
      <c r="C177" s="153" t="str">
        <f t="shared" ref="C177:C178" si="61">C176</f>
        <v>K.1</v>
      </c>
      <c r="D177" s="147" t="str">
        <f t="shared" ref="D177:D178" si="62">D176</f>
        <v>Toilettes</v>
      </c>
      <c r="E177" s="262" t="s">
        <v>418</v>
      </c>
      <c r="F177" s="263" t="s">
        <v>289</v>
      </c>
      <c r="G177" s="263" t="str">
        <f t="shared" si="50"/>
        <v>Ne pas utiliser</v>
      </c>
      <c r="H177" s="264"/>
      <c r="I177" s="264"/>
      <c r="J177" s="264"/>
      <c r="K177" s="264"/>
      <c r="L177" s="265"/>
    </row>
    <row r="178" spans="1:12" x14ac:dyDescent="0.25">
      <c r="A178" s="153" t="str">
        <f t="shared" si="59"/>
        <v>K</v>
      </c>
      <c r="B178" s="148" t="str">
        <f t="shared" si="60"/>
        <v>Locaux sanitaires</v>
      </c>
      <c r="C178" s="153" t="str">
        <f t="shared" si="61"/>
        <v>K.1</v>
      </c>
      <c r="D178" s="147" t="str">
        <f t="shared" si="62"/>
        <v>Toilettes</v>
      </c>
      <c r="E178" s="195" t="s">
        <v>419</v>
      </c>
      <c r="F178" s="196" t="s">
        <v>132</v>
      </c>
      <c r="G178" s="196" t="str">
        <f t="shared" si="50"/>
        <v>Ne pas utiliser</v>
      </c>
      <c r="H178" s="198"/>
      <c r="I178" s="198"/>
      <c r="J178" s="198"/>
      <c r="K178" s="198"/>
      <c r="L178" s="199"/>
    </row>
    <row r="179" spans="1:12" x14ac:dyDescent="0.25">
      <c r="A179" s="153" t="str">
        <f t="shared" si="59"/>
        <v>K</v>
      </c>
      <c r="B179" s="148" t="str">
        <f t="shared" si="60"/>
        <v>Locaux sanitaires</v>
      </c>
      <c r="C179" s="176" t="s">
        <v>414</v>
      </c>
      <c r="D179" s="171" t="s">
        <v>290</v>
      </c>
      <c r="E179" s="250" t="s">
        <v>420</v>
      </c>
      <c r="F179" s="251" t="s">
        <v>291</v>
      </c>
      <c r="G179" s="251" t="str">
        <f t="shared" si="50"/>
        <v>Douches pour personnel de cuisine</v>
      </c>
      <c r="H179" s="252" t="s">
        <v>90</v>
      </c>
      <c r="I179" s="252" t="s">
        <v>25</v>
      </c>
      <c r="J179" s="303" t="s">
        <v>46</v>
      </c>
      <c r="K179" s="303"/>
      <c r="L179" s="487" t="s">
        <v>347</v>
      </c>
    </row>
    <row r="180" spans="1:12" x14ac:dyDescent="0.25">
      <c r="A180" s="153" t="str">
        <f t="shared" si="59"/>
        <v>K</v>
      </c>
      <c r="B180" s="148" t="str">
        <f t="shared" si="60"/>
        <v>Locaux sanitaires</v>
      </c>
      <c r="C180" s="153" t="str">
        <f>C179</f>
        <v>K.2</v>
      </c>
      <c r="D180" s="147" t="str">
        <f>D179</f>
        <v>Douches</v>
      </c>
      <c r="E180" s="238" t="s">
        <v>421</v>
      </c>
      <c r="F180" s="239" t="s">
        <v>292</v>
      </c>
      <c r="G180" s="239" t="str">
        <f t="shared" si="50"/>
        <v>Douches pour personnel de nettoyage et d'entretien</v>
      </c>
      <c r="H180" s="240" t="s">
        <v>90</v>
      </c>
      <c r="I180" s="240" t="s">
        <v>25</v>
      </c>
      <c r="J180" s="270" t="s">
        <v>46</v>
      </c>
      <c r="K180" s="270"/>
      <c r="L180" s="488"/>
    </row>
    <row r="181" spans="1:12" x14ac:dyDescent="0.25">
      <c r="A181" s="153" t="str">
        <f t="shared" si="59"/>
        <v>K</v>
      </c>
      <c r="B181" s="148" t="str">
        <f t="shared" si="60"/>
        <v>Locaux sanitaires</v>
      </c>
      <c r="C181" s="153" t="str">
        <f t="shared" ref="C181:C183" si="63">C180</f>
        <v>K.2</v>
      </c>
      <c r="D181" s="147" t="str">
        <f t="shared" ref="D181:D183" si="64">D180</f>
        <v>Douches</v>
      </c>
      <c r="E181" s="238" t="s">
        <v>422</v>
      </c>
      <c r="F181" s="239" t="s">
        <v>293</v>
      </c>
      <c r="G181" s="239" t="str">
        <f t="shared" si="50"/>
        <v>Douches pour personnel opérationnel</v>
      </c>
      <c r="H181" s="240" t="s">
        <v>90</v>
      </c>
      <c r="I181" s="240" t="s">
        <v>25</v>
      </c>
      <c r="J181" s="270" t="s">
        <v>46</v>
      </c>
      <c r="K181" s="270"/>
      <c r="L181" s="488"/>
    </row>
    <row r="182" spans="1:12" x14ac:dyDescent="0.25">
      <c r="A182" s="153" t="str">
        <f t="shared" si="59"/>
        <v>K</v>
      </c>
      <c r="B182" s="148" t="str">
        <f t="shared" si="60"/>
        <v>Locaux sanitaires</v>
      </c>
      <c r="C182" s="153" t="str">
        <f t="shared" si="63"/>
        <v>K.2</v>
      </c>
      <c r="D182" s="147" t="str">
        <f t="shared" si="64"/>
        <v>Douches</v>
      </c>
      <c r="E182" s="238" t="s">
        <v>423</v>
      </c>
      <c r="F182" s="239" t="s">
        <v>294</v>
      </c>
      <c r="G182" s="239" t="str">
        <f t="shared" si="50"/>
        <v>Douches pour équipements sportifs</v>
      </c>
      <c r="H182" s="240" t="s">
        <v>90</v>
      </c>
      <c r="I182" s="240" t="s">
        <v>25</v>
      </c>
      <c r="J182" s="240" t="s">
        <v>46</v>
      </c>
      <c r="K182" s="240"/>
      <c r="L182" s="241" t="s">
        <v>348</v>
      </c>
    </row>
    <row r="183" spans="1:12" x14ac:dyDescent="0.25">
      <c r="A183" s="153" t="str">
        <f t="shared" si="59"/>
        <v>K</v>
      </c>
      <c r="B183" s="148" t="str">
        <f t="shared" si="60"/>
        <v>Locaux sanitaires</v>
      </c>
      <c r="C183" s="153" t="str">
        <f t="shared" si="63"/>
        <v>K.2</v>
      </c>
      <c r="D183" s="147" t="str">
        <f t="shared" si="64"/>
        <v>Douches</v>
      </c>
      <c r="E183" s="195" t="s">
        <v>424</v>
      </c>
      <c r="F183" s="196" t="s">
        <v>132</v>
      </c>
      <c r="G183" s="196" t="str">
        <f t="shared" si="50"/>
        <v>Ne pas utiliser</v>
      </c>
      <c r="H183" s="198"/>
      <c r="I183" s="198"/>
      <c r="J183" s="198"/>
      <c r="K183" s="198"/>
      <c r="L183" s="199"/>
    </row>
    <row r="184" spans="1:12" x14ac:dyDescent="0.25">
      <c r="A184" s="153" t="str">
        <f t="shared" si="59"/>
        <v>K</v>
      </c>
      <c r="B184" s="148" t="str">
        <f t="shared" si="60"/>
        <v>Locaux sanitaires</v>
      </c>
      <c r="C184" s="177" t="s">
        <v>413</v>
      </c>
      <c r="D184" s="164" t="s">
        <v>295</v>
      </c>
      <c r="E184" s="191" t="str">
        <f>C184</f>
        <v>K.3</v>
      </c>
      <c r="F184" s="192" t="str">
        <f>D184</f>
        <v>Locaux de décontamination</v>
      </c>
      <c r="G184" s="192" t="str">
        <f t="shared" si="50"/>
        <v>Locaux de décontamination</v>
      </c>
      <c r="H184" s="193" t="s">
        <v>90</v>
      </c>
      <c r="I184" s="193" t="s">
        <v>25</v>
      </c>
      <c r="J184" s="193" t="s">
        <v>46</v>
      </c>
      <c r="K184" s="193"/>
      <c r="L184" s="194"/>
    </row>
    <row r="185" spans="1:12" ht="15.75" thickBot="1" x14ac:dyDescent="0.3">
      <c r="A185" s="153" t="str">
        <f t="shared" si="59"/>
        <v>K</v>
      </c>
      <c r="B185" s="148" t="str">
        <f t="shared" si="60"/>
        <v>Locaux sanitaires</v>
      </c>
      <c r="C185" s="172" t="s">
        <v>412</v>
      </c>
      <c r="D185" s="172" t="s">
        <v>132</v>
      </c>
      <c r="E185" s="214" t="str">
        <f>C185</f>
        <v>K.9</v>
      </c>
      <c r="F185" s="215" t="str">
        <f>D185</f>
        <v>Autres</v>
      </c>
      <c r="G185" s="215" t="str">
        <f t="shared" si="50"/>
        <v>Ne pas utiliser</v>
      </c>
      <c r="H185" s="216"/>
      <c r="I185" s="216"/>
      <c r="J185" s="216"/>
      <c r="K185" s="216"/>
      <c r="L185" s="217"/>
    </row>
    <row r="186" spans="1:12" x14ac:dyDescent="0.25">
      <c r="A186" s="165" t="s">
        <v>369</v>
      </c>
      <c r="B186" s="178" t="s">
        <v>296</v>
      </c>
      <c r="C186" s="168" t="s">
        <v>395</v>
      </c>
      <c r="D186" s="168" t="s">
        <v>297</v>
      </c>
      <c r="E186" s="258" t="s">
        <v>402</v>
      </c>
      <c r="F186" s="259" t="s">
        <v>298</v>
      </c>
      <c r="G186" s="259" t="str">
        <f t="shared" si="50"/>
        <v>Ne pas utiliser</v>
      </c>
      <c r="H186" s="260"/>
      <c r="I186" s="260"/>
      <c r="J186" s="260"/>
      <c r="K186" s="260"/>
      <c r="L186" s="261"/>
    </row>
    <row r="187" spans="1:12" x14ac:dyDescent="0.25">
      <c r="A187" s="158" t="str">
        <f>A186</f>
        <v>J</v>
      </c>
      <c r="B187" s="159" t="str">
        <f>B186</f>
        <v>Surfaces de circulation</v>
      </c>
      <c r="C187" s="147" t="str">
        <f>C186</f>
        <v>J.1</v>
      </c>
      <c r="D187" s="147" t="str">
        <f>D186</f>
        <v>Surfaces de circulation pour véhicules</v>
      </c>
      <c r="E187" s="275" t="s">
        <v>403</v>
      </c>
      <c r="F187" s="279" t="s">
        <v>299</v>
      </c>
      <c r="G187" s="279" t="str">
        <f t="shared" si="50"/>
        <v>Ne pas utiliser</v>
      </c>
      <c r="H187" s="280"/>
      <c r="I187" s="283"/>
      <c r="J187" s="283"/>
      <c r="K187" s="283"/>
      <c r="L187" s="282"/>
    </row>
    <row r="188" spans="1:12" x14ac:dyDescent="0.25">
      <c r="A188" s="158" t="str">
        <f t="shared" ref="A188:A198" si="65">A187</f>
        <v>J</v>
      </c>
      <c r="B188" s="159" t="str">
        <f t="shared" ref="B188:B198" si="66">B187</f>
        <v>Surfaces de circulation</v>
      </c>
      <c r="C188" s="147" t="str">
        <f>C187</f>
        <v>J.1</v>
      </c>
      <c r="D188" s="147" t="str">
        <f>D187</f>
        <v>Surfaces de circulation pour véhicules</v>
      </c>
      <c r="E188" s="195" t="s">
        <v>404</v>
      </c>
      <c r="F188" s="196" t="s">
        <v>132</v>
      </c>
      <c r="G188" s="196" t="str">
        <f t="shared" si="50"/>
        <v>Ne pas utiliser</v>
      </c>
      <c r="H188" s="198"/>
      <c r="I188" s="198"/>
      <c r="J188" s="198"/>
      <c r="K188" s="198"/>
      <c r="L188" s="199"/>
    </row>
    <row r="189" spans="1:12" x14ac:dyDescent="0.25">
      <c r="A189" s="158" t="str">
        <f t="shared" si="65"/>
        <v>J</v>
      </c>
      <c r="B189" s="159" t="str">
        <f t="shared" si="66"/>
        <v>Surfaces de circulation</v>
      </c>
      <c r="C189" s="176" t="s">
        <v>396</v>
      </c>
      <c r="D189" s="171" t="s">
        <v>300</v>
      </c>
      <c r="E189" s="275" t="s">
        <v>405</v>
      </c>
      <c r="F189" s="279" t="s">
        <v>301</v>
      </c>
      <c r="G189" s="279" t="str">
        <f t="shared" si="50"/>
        <v>Ne pas utiliser</v>
      </c>
      <c r="H189" s="280"/>
      <c r="I189" s="280"/>
      <c r="J189" s="280"/>
      <c r="K189" s="280"/>
      <c r="L189" s="281"/>
    </row>
    <row r="190" spans="1:12" x14ac:dyDescent="0.25">
      <c r="A190" s="158" t="str">
        <f t="shared" si="65"/>
        <v>J</v>
      </c>
      <c r="B190" s="159" t="str">
        <f t="shared" si="66"/>
        <v>Surfaces de circulation</v>
      </c>
      <c r="C190" s="153" t="str">
        <f>C189</f>
        <v>J.2</v>
      </c>
      <c r="D190" s="147" t="str">
        <f>D189</f>
        <v>Grandes surfaces de circulation communes</v>
      </c>
      <c r="E190" s="262" t="s">
        <v>406</v>
      </c>
      <c r="F190" s="263" t="s">
        <v>302</v>
      </c>
      <c r="G190" s="263" t="str">
        <f t="shared" si="50"/>
        <v>Ne pas utiliser</v>
      </c>
      <c r="H190" s="264"/>
      <c r="I190" s="264"/>
      <c r="J190" s="264"/>
      <c r="K190" s="264"/>
      <c r="L190" s="265"/>
    </row>
    <row r="191" spans="1:12" x14ac:dyDescent="0.25">
      <c r="A191" s="158" t="str">
        <f t="shared" si="65"/>
        <v>J</v>
      </c>
      <c r="B191" s="159" t="str">
        <f t="shared" si="66"/>
        <v>Surfaces de circulation</v>
      </c>
      <c r="C191" s="153" t="str">
        <f>C190</f>
        <v>J.2</v>
      </c>
      <c r="D191" s="147" t="str">
        <f>D190</f>
        <v>Grandes surfaces de circulation communes</v>
      </c>
      <c r="E191" s="195" t="s">
        <v>407</v>
      </c>
      <c r="F191" s="196" t="s">
        <v>132</v>
      </c>
      <c r="G191" s="196" t="str">
        <f t="shared" si="50"/>
        <v>Ne pas utiliser</v>
      </c>
      <c r="H191" s="198"/>
      <c r="I191" s="198"/>
      <c r="J191" s="198"/>
      <c r="K191" s="198"/>
      <c r="L191" s="199"/>
    </row>
    <row r="192" spans="1:12" x14ac:dyDescent="0.25">
      <c r="A192" s="158" t="str">
        <f t="shared" si="65"/>
        <v>J</v>
      </c>
      <c r="B192" s="159" t="str">
        <f t="shared" si="66"/>
        <v>Surfaces de circulation</v>
      </c>
      <c r="C192" s="176" t="s">
        <v>397</v>
      </c>
      <c r="D192" s="171" t="s">
        <v>303</v>
      </c>
      <c r="E192" s="275" t="s">
        <v>408</v>
      </c>
      <c r="F192" s="276" t="s">
        <v>304</v>
      </c>
      <c r="G192" s="276" t="str">
        <f t="shared" si="50"/>
        <v>Ne pas utiliser</v>
      </c>
      <c r="H192" s="277"/>
      <c r="I192" s="277"/>
      <c r="J192" s="277"/>
      <c r="K192" s="277"/>
      <c r="L192" s="278"/>
    </row>
    <row r="193" spans="1:12" x14ac:dyDescent="0.25">
      <c r="A193" s="158" t="str">
        <f t="shared" si="65"/>
        <v>J</v>
      </c>
      <c r="B193" s="159" t="str">
        <f t="shared" si="66"/>
        <v>Surfaces de circulation</v>
      </c>
      <c r="C193" s="153" t="str">
        <f t="shared" ref="C193:D195" si="67">C192</f>
        <v>J.3</v>
      </c>
      <c r="D193" s="147" t="str">
        <f t="shared" si="67"/>
        <v>Surfaces de circulation localisées</v>
      </c>
      <c r="E193" s="262" t="s">
        <v>409</v>
      </c>
      <c r="F193" s="263" t="s">
        <v>305</v>
      </c>
      <c r="G193" s="263" t="str">
        <f t="shared" si="50"/>
        <v>Ne pas utiliser</v>
      </c>
      <c r="H193" s="264"/>
      <c r="I193" s="264"/>
      <c r="J193" s="264"/>
      <c r="K193" s="264"/>
      <c r="L193" s="265"/>
    </row>
    <row r="194" spans="1:12" x14ac:dyDescent="0.25">
      <c r="A194" s="158" t="str">
        <f t="shared" si="65"/>
        <v>J</v>
      </c>
      <c r="B194" s="159" t="str">
        <f t="shared" si="66"/>
        <v>Surfaces de circulation</v>
      </c>
      <c r="C194" s="153" t="str">
        <f t="shared" si="67"/>
        <v>J.3</v>
      </c>
      <c r="D194" s="147" t="str">
        <f t="shared" si="67"/>
        <v>Surfaces de circulation localisées</v>
      </c>
      <c r="E194" s="262" t="s">
        <v>410</v>
      </c>
      <c r="F194" s="263" t="s">
        <v>306</v>
      </c>
      <c r="G194" s="263" t="str">
        <f t="shared" si="50"/>
        <v>Ne pas utiliser</v>
      </c>
      <c r="H194" s="264"/>
      <c r="I194" s="264"/>
      <c r="J194" s="264"/>
      <c r="K194" s="264"/>
      <c r="L194" s="265"/>
    </row>
    <row r="195" spans="1:12" x14ac:dyDescent="0.25">
      <c r="A195" s="158" t="str">
        <f t="shared" si="65"/>
        <v>J</v>
      </c>
      <c r="B195" s="159" t="str">
        <f t="shared" si="66"/>
        <v>Surfaces de circulation</v>
      </c>
      <c r="C195" s="153" t="str">
        <f t="shared" si="67"/>
        <v>J.3</v>
      </c>
      <c r="D195" s="147" t="str">
        <f t="shared" si="67"/>
        <v>Surfaces de circulation localisées</v>
      </c>
      <c r="E195" s="195" t="s">
        <v>411</v>
      </c>
      <c r="F195" s="196" t="s">
        <v>132</v>
      </c>
      <c r="G195" s="196" t="str">
        <f t="shared" si="50"/>
        <v>Ne pas utiliser</v>
      </c>
      <c r="H195" s="198"/>
      <c r="I195" s="198"/>
      <c r="J195" s="198"/>
      <c r="K195" s="198"/>
      <c r="L195" s="199"/>
    </row>
    <row r="196" spans="1:12" ht="15.75" customHeight="1" x14ac:dyDescent="0.25">
      <c r="A196" s="158" t="str">
        <f t="shared" si="65"/>
        <v>J</v>
      </c>
      <c r="B196" s="159" t="str">
        <f t="shared" si="66"/>
        <v>Surfaces de circulation</v>
      </c>
      <c r="C196" s="171" t="s">
        <v>399</v>
      </c>
      <c r="D196" s="171" t="s">
        <v>307</v>
      </c>
      <c r="E196" s="186" t="s">
        <v>400</v>
      </c>
      <c r="F196" s="225" t="s">
        <v>308</v>
      </c>
      <c r="G196" s="225" t="str">
        <f t="shared" si="50"/>
        <v>Ne pas utiliser</v>
      </c>
      <c r="H196" s="226"/>
      <c r="I196" s="226"/>
      <c r="J196" s="226"/>
      <c r="K196" s="226"/>
      <c r="L196" s="227"/>
    </row>
    <row r="197" spans="1:12" x14ac:dyDescent="0.25">
      <c r="A197" s="158" t="str">
        <f t="shared" si="65"/>
        <v>J</v>
      </c>
      <c r="B197" s="159" t="str">
        <f t="shared" si="66"/>
        <v>Surfaces de circulation</v>
      </c>
      <c r="C197" s="152" t="str">
        <f>C196</f>
        <v>J.4</v>
      </c>
      <c r="D197" s="152" t="str">
        <f>D196</f>
        <v>Surfaces de desserte</v>
      </c>
      <c r="E197" s="195" t="s">
        <v>401</v>
      </c>
      <c r="F197" s="221" t="s">
        <v>132</v>
      </c>
      <c r="G197" s="221" t="str">
        <f t="shared" si="50"/>
        <v>Ne pas utiliser</v>
      </c>
      <c r="H197" s="222"/>
      <c r="I197" s="222"/>
      <c r="J197" s="222"/>
      <c r="K197" s="222"/>
      <c r="L197" s="223"/>
    </row>
    <row r="198" spans="1:12" ht="15.75" thickBot="1" x14ac:dyDescent="0.3">
      <c r="A198" s="158" t="str">
        <f t="shared" si="65"/>
        <v>J</v>
      </c>
      <c r="B198" s="159" t="str">
        <f t="shared" si="66"/>
        <v>Surfaces de circulation</v>
      </c>
      <c r="C198" s="172" t="s">
        <v>398</v>
      </c>
      <c r="D198" s="172" t="s">
        <v>132</v>
      </c>
      <c r="E198" s="204" t="str">
        <f>C198</f>
        <v>J.9</v>
      </c>
      <c r="F198" s="187" t="str">
        <f>D198</f>
        <v>Autres</v>
      </c>
      <c r="G198" s="187" t="str">
        <f t="shared" si="50"/>
        <v>Ne pas utiliser</v>
      </c>
      <c r="H198" s="188"/>
      <c r="I198" s="188"/>
      <c r="J198" s="188"/>
      <c r="K198" s="188"/>
      <c r="L198" s="189"/>
    </row>
    <row r="199" spans="1:12" x14ac:dyDescent="0.25">
      <c r="A199" s="173" t="s">
        <v>370</v>
      </c>
      <c r="B199" s="166" t="s">
        <v>309</v>
      </c>
      <c r="C199" s="175" t="s">
        <v>389</v>
      </c>
      <c r="D199" s="168" t="s">
        <v>310</v>
      </c>
      <c r="E199" s="258" t="s">
        <v>390</v>
      </c>
      <c r="F199" s="259" t="s">
        <v>311</v>
      </c>
      <c r="G199" s="259" t="str">
        <f t="shared" si="50"/>
        <v>Ne pas utiliser</v>
      </c>
      <c r="H199" s="260"/>
      <c r="I199" s="260"/>
      <c r="J199" s="260"/>
      <c r="K199" s="260"/>
      <c r="L199" s="261"/>
    </row>
    <row r="200" spans="1:12" x14ac:dyDescent="0.25">
      <c r="A200" s="153" t="str">
        <f>A199</f>
        <v>T</v>
      </c>
      <c r="B200" s="148" t="str">
        <f>B199</f>
        <v>Surfaces techniques</v>
      </c>
      <c r="C200" s="153" t="str">
        <f>C199</f>
        <v>T.1</v>
      </c>
      <c r="D200" s="147" t="str">
        <f>D199</f>
        <v>Locaux techniques d'étage</v>
      </c>
      <c r="E200" s="238" t="s">
        <v>391</v>
      </c>
      <c r="F200" s="239" t="s">
        <v>345</v>
      </c>
      <c r="G200" s="239" t="str">
        <f t="shared" si="50"/>
        <v>Locaux data / patch</v>
      </c>
      <c r="H200" s="240" t="s">
        <v>18</v>
      </c>
      <c r="I200" s="240" t="s">
        <v>24</v>
      </c>
      <c r="J200" s="303"/>
      <c r="K200" s="303"/>
      <c r="L200" s="274" t="s">
        <v>352</v>
      </c>
    </row>
    <row r="201" spans="1:12" x14ac:dyDescent="0.25">
      <c r="A201" s="153" t="str">
        <f t="shared" ref="A201:A214" si="68">A200</f>
        <v>T</v>
      </c>
      <c r="B201" s="148" t="str">
        <f t="shared" ref="B201:B214" si="69">B200</f>
        <v>Surfaces techniques</v>
      </c>
      <c r="C201" s="153" t="str">
        <f t="shared" ref="C201:C203" si="70">C200</f>
        <v>T.1</v>
      </c>
      <c r="D201" s="147" t="str">
        <f t="shared" ref="D201:D203" si="71">D200</f>
        <v>Locaux techniques d'étage</v>
      </c>
      <c r="E201" s="262" t="s">
        <v>392</v>
      </c>
      <c r="F201" s="263" t="s">
        <v>312</v>
      </c>
      <c r="G201" s="263" t="str">
        <f t="shared" si="50"/>
        <v>Ne pas utiliser</v>
      </c>
      <c r="H201" s="264"/>
      <c r="I201" s="264"/>
      <c r="J201" s="264"/>
      <c r="K201" s="264"/>
      <c r="L201" s="265" t="s">
        <v>346</v>
      </c>
    </row>
    <row r="202" spans="1:12" x14ac:dyDescent="0.25">
      <c r="A202" s="153" t="str">
        <f t="shared" si="68"/>
        <v>T</v>
      </c>
      <c r="B202" s="148" t="str">
        <f t="shared" si="69"/>
        <v>Surfaces techniques</v>
      </c>
      <c r="C202" s="153" t="str">
        <f t="shared" si="70"/>
        <v>T.1</v>
      </c>
      <c r="D202" s="147" t="str">
        <f t="shared" si="71"/>
        <v>Locaux techniques d'étage</v>
      </c>
      <c r="E202" s="262" t="s">
        <v>393</v>
      </c>
      <c r="F202" s="263" t="s">
        <v>313</v>
      </c>
      <c r="G202" s="263" t="str">
        <f t="shared" si="50"/>
        <v>Ne pas utiliser</v>
      </c>
      <c r="H202" s="264"/>
      <c r="I202" s="264"/>
      <c r="J202" s="264"/>
      <c r="K202" s="264"/>
      <c r="L202" s="265" t="s">
        <v>335</v>
      </c>
    </row>
    <row r="203" spans="1:12" x14ac:dyDescent="0.25">
      <c r="A203" s="153" t="str">
        <f t="shared" si="68"/>
        <v>T</v>
      </c>
      <c r="B203" s="148" t="str">
        <f t="shared" si="69"/>
        <v>Surfaces techniques</v>
      </c>
      <c r="C203" s="153" t="str">
        <f t="shared" si="70"/>
        <v>T.1</v>
      </c>
      <c r="D203" s="147" t="str">
        <f t="shared" si="71"/>
        <v>Locaux techniques d'étage</v>
      </c>
      <c r="E203" s="195" t="s">
        <v>394</v>
      </c>
      <c r="F203" s="196" t="s">
        <v>132</v>
      </c>
      <c r="G203" s="196" t="str">
        <f t="shared" si="50"/>
        <v>Ne pas utiliser</v>
      </c>
      <c r="H203" s="198"/>
      <c r="I203" s="198"/>
      <c r="J203" s="198"/>
      <c r="K203" s="198"/>
      <c r="L203" s="199" t="s">
        <v>335</v>
      </c>
    </row>
    <row r="204" spans="1:12" x14ac:dyDescent="0.25">
      <c r="A204" s="153" t="str">
        <f t="shared" si="68"/>
        <v>T</v>
      </c>
      <c r="B204" s="148" t="str">
        <f t="shared" si="69"/>
        <v>Surfaces techniques</v>
      </c>
      <c r="C204" s="176" t="s">
        <v>378</v>
      </c>
      <c r="D204" s="171" t="s">
        <v>314</v>
      </c>
      <c r="E204" s="275" t="s">
        <v>379</v>
      </c>
      <c r="F204" s="279" t="s">
        <v>315</v>
      </c>
      <c r="G204" s="279" t="str">
        <f t="shared" si="50"/>
        <v>Ne pas utiliser</v>
      </c>
      <c r="H204" s="280"/>
      <c r="I204" s="280"/>
      <c r="J204" s="280"/>
      <c r="K204" s="280"/>
      <c r="L204" s="281" t="s">
        <v>335</v>
      </c>
    </row>
    <row r="205" spans="1:12" x14ac:dyDescent="0.25">
      <c r="A205" s="153" t="str">
        <f t="shared" si="68"/>
        <v>T</v>
      </c>
      <c r="B205" s="148" t="str">
        <f t="shared" si="69"/>
        <v>Surfaces techniques</v>
      </c>
      <c r="C205" s="153" t="str">
        <f>C204</f>
        <v>T.2</v>
      </c>
      <c r="D205" s="147" t="str">
        <f>D204</f>
        <v>Locaux techniques communs HVAC</v>
      </c>
      <c r="E205" s="262" t="s">
        <v>380</v>
      </c>
      <c r="F205" s="263" t="s">
        <v>316</v>
      </c>
      <c r="G205" s="263" t="str">
        <f t="shared" si="50"/>
        <v>Ne pas utiliser</v>
      </c>
      <c r="H205" s="264"/>
      <c r="I205" s="264"/>
      <c r="J205" s="264"/>
      <c r="K205" s="264"/>
      <c r="L205" s="265" t="s">
        <v>335</v>
      </c>
    </row>
    <row r="206" spans="1:12" x14ac:dyDescent="0.25">
      <c r="A206" s="153" t="str">
        <f t="shared" si="68"/>
        <v>T</v>
      </c>
      <c r="B206" s="148" t="str">
        <f t="shared" si="69"/>
        <v>Surfaces techniques</v>
      </c>
      <c r="C206" s="153" t="str">
        <f t="shared" ref="C206:C207" si="72">C205</f>
        <v>T.2</v>
      </c>
      <c r="D206" s="147" t="str">
        <f t="shared" ref="D206:D207" si="73">D205</f>
        <v>Locaux techniques communs HVAC</v>
      </c>
      <c r="E206" s="262" t="s">
        <v>381</v>
      </c>
      <c r="F206" s="263" t="s">
        <v>317</v>
      </c>
      <c r="G206" s="263" t="str">
        <f t="shared" si="50"/>
        <v>Ne pas utiliser</v>
      </c>
      <c r="H206" s="264"/>
      <c r="I206" s="264"/>
      <c r="J206" s="264"/>
      <c r="K206" s="264"/>
      <c r="L206" s="265" t="s">
        <v>335</v>
      </c>
    </row>
    <row r="207" spans="1:12" x14ac:dyDescent="0.25">
      <c r="A207" s="153" t="str">
        <f t="shared" si="68"/>
        <v>T</v>
      </c>
      <c r="B207" s="148" t="str">
        <f t="shared" si="69"/>
        <v>Surfaces techniques</v>
      </c>
      <c r="C207" s="153" t="str">
        <f t="shared" si="72"/>
        <v>T.2</v>
      </c>
      <c r="D207" s="147" t="str">
        <f t="shared" si="73"/>
        <v>Locaux techniques communs HVAC</v>
      </c>
      <c r="E207" s="195" t="s">
        <v>382</v>
      </c>
      <c r="F207" s="196" t="s">
        <v>132</v>
      </c>
      <c r="G207" s="196" t="str">
        <f t="shared" si="50"/>
        <v>Ne pas utiliser</v>
      </c>
      <c r="H207" s="198"/>
      <c r="I207" s="198"/>
      <c r="J207" s="198"/>
      <c r="K207" s="198"/>
      <c r="L207" s="199" t="s">
        <v>335</v>
      </c>
    </row>
    <row r="208" spans="1:12" x14ac:dyDescent="0.25">
      <c r="A208" s="153" t="str">
        <f t="shared" si="68"/>
        <v>T</v>
      </c>
      <c r="B208" s="148" t="str">
        <f t="shared" si="69"/>
        <v>Surfaces techniques</v>
      </c>
      <c r="C208" s="176" t="s">
        <v>377</v>
      </c>
      <c r="D208" s="171" t="s">
        <v>318</v>
      </c>
      <c r="E208" s="275" t="s">
        <v>383</v>
      </c>
      <c r="F208" s="279" t="s">
        <v>319</v>
      </c>
      <c r="G208" s="279" t="str">
        <f t="shared" si="50"/>
        <v>Ne pas utiliser</v>
      </c>
      <c r="H208" s="280"/>
      <c r="I208" s="280"/>
      <c r="J208" s="280"/>
      <c r="K208" s="280"/>
      <c r="L208" s="281" t="s">
        <v>335</v>
      </c>
    </row>
    <row r="209" spans="1:12" x14ac:dyDescent="0.25">
      <c r="A209" s="153" t="str">
        <f t="shared" si="68"/>
        <v>T</v>
      </c>
      <c r="B209" s="148" t="str">
        <f t="shared" si="69"/>
        <v>Surfaces techniques</v>
      </c>
      <c r="C209" s="153" t="str">
        <f>C208</f>
        <v>T.3</v>
      </c>
      <c r="D209" s="147" t="str">
        <f>D208</f>
        <v>Locaux tehniques communs électricité</v>
      </c>
      <c r="E209" s="262" t="s">
        <v>384</v>
      </c>
      <c r="F209" s="263" t="s">
        <v>320</v>
      </c>
      <c r="G209" s="263" t="str">
        <f t="shared" si="50"/>
        <v>Ne pas utiliser</v>
      </c>
      <c r="H209" s="264"/>
      <c r="I209" s="264"/>
      <c r="J209" s="264"/>
      <c r="K209" s="264"/>
      <c r="L209" s="265" t="s">
        <v>335</v>
      </c>
    </row>
    <row r="210" spans="1:12" x14ac:dyDescent="0.25">
      <c r="A210" s="153" t="str">
        <f t="shared" si="68"/>
        <v>T</v>
      </c>
      <c r="B210" s="148" t="str">
        <f t="shared" si="69"/>
        <v>Surfaces techniques</v>
      </c>
      <c r="C210" s="153" t="str">
        <f>C209</f>
        <v>T.3</v>
      </c>
      <c r="D210" s="147" t="str">
        <f>D209</f>
        <v>Locaux tehniques communs électricité</v>
      </c>
      <c r="E210" s="195" t="s">
        <v>385</v>
      </c>
      <c r="F210" s="196" t="s">
        <v>132</v>
      </c>
      <c r="G210" s="196" t="str">
        <f t="shared" si="50"/>
        <v>Ne pas utiliser</v>
      </c>
      <c r="H210" s="198"/>
      <c r="I210" s="198"/>
      <c r="J210" s="198"/>
      <c r="K210" s="198"/>
      <c r="L210" s="199" t="s">
        <v>335</v>
      </c>
    </row>
    <row r="211" spans="1:12" x14ac:dyDescent="0.25">
      <c r="A211" s="153" t="str">
        <f t="shared" si="68"/>
        <v>T</v>
      </c>
      <c r="B211" s="148" t="str">
        <f t="shared" si="69"/>
        <v>Surfaces techniques</v>
      </c>
      <c r="C211" s="176" t="s">
        <v>376</v>
      </c>
      <c r="D211" s="171" t="s">
        <v>321</v>
      </c>
      <c r="E211" s="275" t="s">
        <v>386</v>
      </c>
      <c r="F211" s="279" t="s">
        <v>322</v>
      </c>
      <c r="G211" s="279" t="str">
        <f t="shared" si="50"/>
        <v>Ne pas utiliser</v>
      </c>
      <c r="H211" s="280"/>
      <c r="I211" s="280"/>
      <c r="J211" s="280"/>
      <c r="K211" s="280"/>
      <c r="L211" s="281" t="s">
        <v>623</v>
      </c>
    </row>
    <row r="212" spans="1:12" x14ac:dyDescent="0.25">
      <c r="A212" s="153" t="str">
        <f t="shared" si="68"/>
        <v>T</v>
      </c>
      <c r="B212" s="148" t="str">
        <f t="shared" si="69"/>
        <v>Surfaces techniques</v>
      </c>
      <c r="C212" s="153" t="str">
        <f>C211</f>
        <v>T.4</v>
      </c>
      <c r="D212" s="147" t="str">
        <f>D211</f>
        <v>Locaux techniques communs communication</v>
      </c>
      <c r="E212" s="275" t="s">
        <v>387</v>
      </c>
      <c r="F212" s="279" t="s">
        <v>612</v>
      </c>
      <c r="G212" s="279" t="str">
        <f t="shared" si="50"/>
        <v>Ne pas utiliser</v>
      </c>
      <c r="H212" s="280"/>
      <c r="I212" s="280"/>
      <c r="J212" s="280"/>
      <c r="K212" s="280"/>
      <c r="L212" s="281" t="s">
        <v>623</v>
      </c>
    </row>
    <row r="213" spans="1:12" x14ac:dyDescent="0.25">
      <c r="A213" s="153" t="e">
        <f>#REF!</f>
        <v>#REF!</v>
      </c>
      <c r="B213" s="148" t="e">
        <f>#REF!</f>
        <v>#REF!</v>
      </c>
      <c r="C213" s="153" t="e">
        <f>#REF!</f>
        <v>#REF!</v>
      </c>
      <c r="D213" s="147" t="e">
        <f>#REF!</f>
        <v>#REF!</v>
      </c>
      <c r="E213" s="204" t="s">
        <v>388</v>
      </c>
      <c r="F213" s="187" t="s">
        <v>132</v>
      </c>
      <c r="G213" s="187" t="str">
        <f t="shared" ref="G213:G214" si="74">IF(ISBLANK(H213),"Ne pas utiliser",F213)</f>
        <v>Ne pas utiliser</v>
      </c>
      <c r="H213" s="188"/>
      <c r="I213" s="188"/>
      <c r="J213" s="188"/>
      <c r="K213" s="188"/>
      <c r="L213" s="189"/>
    </row>
    <row r="214" spans="1:12" ht="15.75" thickBot="1" x14ac:dyDescent="0.3">
      <c r="A214" s="156" t="e">
        <f t="shared" si="68"/>
        <v>#REF!</v>
      </c>
      <c r="B214" s="157" t="e">
        <f t="shared" si="69"/>
        <v>#REF!</v>
      </c>
      <c r="C214" s="172" t="s">
        <v>375</v>
      </c>
      <c r="D214" s="172" t="s">
        <v>132</v>
      </c>
      <c r="E214" s="214" t="str">
        <f>C214</f>
        <v>T.9</v>
      </c>
      <c r="F214" s="215" t="str">
        <f>D214</f>
        <v>Autres</v>
      </c>
      <c r="G214" s="215" t="str">
        <f t="shared" si="74"/>
        <v>Ne pas utiliser</v>
      </c>
      <c r="H214" s="216"/>
      <c r="I214" s="216"/>
      <c r="J214" s="216"/>
      <c r="K214" s="216"/>
      <c r="L214" s="217"/>
    </row>
    <row r="215" spans="1:12" x14ac:dyDescent="0.25">
      <c r="A215" s="229"/>
      <c r="B215" s="229"/>
      <c r="C215" s="229"/>
      <c r="D215" s="229"/>
      <c r="E215" s="229"/>
      <c r="F215" s="229"/>
      <c r="G215" s="229"/>
      <c r="H215" s="230"/>
      <c r="I215" s="230"/>
      <c r="J215" s="230"/>
      <c r="K215" s="230"/>
      <c r="L215" s="231"/>
    </row>
    <row r="216" spans="1:12" x14ac:dyDescent="0.25">
      <c r="A216" s="229"/>
      <c r="B216" s="229"/>
      <c r="C216" s="229"/>
      <c r="D216" s="229"/>
      <c r="E216" s="229"/>
      <c r="F216" s="229"/>
      <c r="G216" s="229"/>
      <c r="H216" s="230"/>
      <c r="I216" s="230"/>
      <c r="J216" s="230"/>
      <c r="K216" s="230"/>
      <c r="L216" s="231"/>
    </row>
    <row r="217" spans="1:12" x14ac:dyDescent="0.25">
      <c r="A217" s="229"/>
      <c r="B217" s="229"/>
      <c r="C217" s="229"/>
      <c r="D217" s="229"/>
      <c r="E217" s="229"/>
      <c r="F217" s="229"/>
      <c r="G217" s="229"/>
      <c r="H217" s="230"/>
      <c r="I217" s="230"/>
      <c r="J217" s="230"/>
      <c r="K217" s="230"/>
      <c r="L217" s="231"/>
    </row>
    <row r="218" spans="1:12" x14ac:dyDescent="0.25">
      <c r="A218" s="229"/>
      <c r="B218" s="229"/>
      <c r="C218" s="229"/>
      <c r="D218" s="229"/>
      <c r="E218" s="229"/>
      <c r="F218" s="229"/>
      <c r="G218" s="229"/>
      <c r="H218" s="230"/>
      <c r="I218" s="230"/>
      <c r="J218" s="230"/>
      <c r="K218" s="230"/>
      <c r="L218" s="231"/>
    </row>
    <row r="219" spans="1:12" x14ac:dyDescent="0.25">
      <c r="A219" s="229"/>
      <c r="B219" s="229"/>
      <c r="C219" s="229"/>
      <c r="D219" s="229"/>
      <c r="E219" s="229"/>
      <c r="F219" s="229"/>
      <c r="G219" s="229"/>
      <c r="H219" s="230"/>
      <c r="I219" s="230"/>
      <c r="J219" s="230"/>
      <c r="K219" s="230"/>
      <c r="L219" s="231"/>
    </row>
    <row r="220" spans="1:12" x14ac:dyDescent="0.25">
      <c r="A220" s="229"/>
      <c r="B220" s="229"/>
      <c r="C220" s="229"/>
      <c r="D220" s="229"/>
      <c r="E220" s="229"/>
      <c r="F220" s="229"/>
      <c r="G220" s="229"/>
      <c r="H220" s="230"/>
      <c r="I220" s="230"/>
      <c r="J220" s="230"/>
      <c r="K220" s="230"/>
      <c r="L220" s="231"/>
    </row>
    <row r="221" spans="1:12" x14ac:dyDescent="0.25">
      <c r="A221" s="229"/>
      <c r="B221" s="229"/>
      <c r="C221" s="229"/>
      <c r="D221" s="229"/>
      <c r="E221" s="229"/>
      <c r="F221" s="229"/>
      <c r="G221" s="229"/>
      <c r="H221" s="230"/>
      <c r="I221" s="230"/>
      <c r="J221" s="230"/>
      <c r="K221" s="230"/>
      <c r="L221" s="231"/>
    </row>
    <row r="222" spans="1:12" x14ac:dyDescent="0.25">
      <c r="A222" s="229"/>
      <c r="B222" s="229"/>
      <c r="C222" s="229"/>
      <c r="D222" s="229"/>
      <c r="E222" s="229"/>
      <c r="F222" s="229"/>
      <c r="G222" s="229"/>
      <c r="H222" s="230"/>
      <c r="I222" s="230"/>
      <c r="J222" s="230"/>
      <c r="K222" s="230"/>
      <c r="L222" s="231"/>
    </row>
    <row r="223" spans="1:12" x14ac:dyDescent="0.25">
      <c r="A223" s="229"/>
      <c r="B223" s="229"/>
      <c r="C223" s="229"/>
      <c r="D223" s="229"/>
      <c r="E223" s="229"/>
      <c r="F223" s="229"/>
      <c r="G223" s="229"/>
      <c r="H223" s="230"/>
      <c r="I223" s="230"/>
      <c r="J223" s="230"/>
      <c r="K223" s="230"/>
      <c r="L223" s="231"/>
    </row>
    <row r="224" spans="1:12" x14ac:dyDescent="0.25">
      <c r="A224" s="229"/>
      <c r="B224" s="229"/>
      <c r="C224" s="229"/>
      <c r="D224" s="229"/>
      <c r="E224" s="229"/>
      <c r="F224" s="229"/>
      <c r="G224" s="229"/>
      <c r="H224" s="230"/>
      <c r="I224" s="230"/>
      <c r="J224" s="230"/>
      <c r="K224" s="230"/>
      <c r="L224" s="231"/>
    </row>
    <row r="225" spans="1:12" x14ac:dyDescent="0.25">
      <c r="A225" s="229"/>
      <c r="B225" s="229"/>
      <c r="C225" s="229"/>
      <c r="D225" s="229"/>
      <c r="E225" s="229"/>
      <c r="F225" s="229"/>
      <c r="G225" s="229"/>
      <c r="H225" s="230"/>
      <c r="I225" s="230"/>
      <c r="J225" s="230"/>
      <c r="K225" s="230"/>
      <c r="L225" s="231"/>
    </row>
    <row r="226" spans="1:12" x14ac:dyDescent="0.25">
      <c r="A226" s="229"/>
      <c r="B226" s="229"/>
      <c r="C226" s="229"/>
      <c r="D226" s="229"/>
      <c r="E226" s="229"/>
      <c r="F226" s="229"/>
      <c r="G226" s="229"/>
      <c r="H226" s="230"/>
      <c r="I226" s="230"/>
      <c r="J226" s="230"/>
      <c r="K226" s="230"/>
      <c r="L226" s="231"/>
    </row>
    <row r="227" spans="1:12" x14ac:dyDescent="0.25">
      <c r="A227" s="229"/>
      <c r="B227" s="229"/>
      <c r="C227" s="229"/>
      <c r="D227" s="229"/>
      <c r="E227" s="229"/>
      <c r="F227" s="229"/>
      <c r="G227" s="229"/>
      <c r="H227" s="230"/>
      <c r="I227" s="230"/>
      <c r="J227" s="230"/>
      <c r="K227" s="230"/>
      <c r="L227" s="231"/>
    </row>
    <row r="228" spans="1:12" x14ac:dyDescent="0.25">
      <c r="A228" s="229"/>
      <c r="B228" s="229"/>
      <c r="C228" s="229"/>
      <c r="D228" s="229"/>
      <c r="E228" s="229"/>
      <c r="F228" s="229"/>
      <c r="G228" s="229"/>
      <c r="H228" s="230"/>
      <c r="I228" s="230"/>
      <c r="J228" s="230"/>
      <c r="K228" s="230"/>
      <c r="L228" s="231"/>
    </row>
    <row r="229" spans="1:12" x14ac:dyDescent="0.25">
      <c r="A229" s="229"/>
      <c r="B229" s="229"/>
      <c r="C229" s="229"/>
      <c r="D229" s="229"/>
      <c r="E229" s="229"/>
      <c r="F229" s="229"/>
      <c r="G229" s="229"/>
      <c r="H229" s="230"/>
      <c r="I229" s="230"/>
      <c r="J229" s="230"/>
      <c r="K229" s="230"/>
      <c r="L229" s="231"/>
    </row>
    <row r="230" spans="1:12" x14ac:dyDescent="0.25">
      <c r="A230" s="229"/>
      <c r="B230" s="229"/>
      <c r="C230" s="229"/>
      <c r="D230" s="229"/>
      <c r="E230" s="229"/>
      <c r="F230" s="229"/>
      <c r="G230" s="229"/>
      <c r="H230" s="230"/>
      <c r="I230" s="230"/>
      <c r="J230" s="230"/>
      <c r="K230" s="230"/>
      <c r="L230" s="231"/>
    </row>
    <row r="231" spans="1:12" x14ac:dyDescent="0.25">
      <c r="A231" s="229"/>
      <c r="B231" s="229"/>
      <c r="C231" s="229"/>
      <c r="D231" s="229"/>
      <c r="E231" s="229"/>
      <c r="F231" s="229"/>
      <c r="G231" s="229"/>
      <c r="H231" s="230"/>
      <c r="I231" s="230"/>
      <c r="J231" s="230"/>
      <c r="K231" s="230"/>
      <c r="L231" s="231"/>
    </row>
    <row r="232" spans="1:12" x14ac:dyDescent="0.25">
      <c r="A232" s="229"/>
      <c r="B232" s="229"/>
      <c r="C232" s="229"/>
      <c r="D232" s="229"/>
      <c r="E232" s="229"/>
      <c r="F232" s="229"/>
      <c r="G232" s="229"/>
      <c r="H232" s="230"/>
      <c r="I232" s="230"/>
      <c r="J232" s="230"/>
      <c r="K232" s="230"/>
      <c r="L232" s="231"/>
    </row>
    <row r="233" spans="1:12" x14ac:dyDescent="0.25">
      <c r="A233" s="229"/>
      <c r="B233" s="229"/>
      <c r="C233" s="229"/>
      <c r="D233" s="229"/>
      <c r="E233" s="229"/>
      <c r="F233" s="229"/>
      <c r="G233" s="229"/>
      <c r="H233" s="230"/>
      <c r="I233" s="230"/>
      <c r="J233" s="230"/>
      <c r="K233" s="230"/>
      <c r="L233" s="231"/>
    </row>
    <row r="234" spans="1:12" x14ac:dyDescent="0.25">
      <c r="A234" s="229"/>
      <c r="B234" s="229"/>
      <c r="C234" s="229"/>
      <c r="D234" s="229"/>
      <c r="E234" s="229"/>
      <c r="F234" s="229"/>
      <c r="G234" s="229"/>
      <c r="H234" s="230"/>
      <c r="I234" s="230"/>
      <c r="J234" s="230"/>
      <c r="K234" s="230"/>
      <c r="L234" s="231"/>
    </row>
    <row r="235" spans="1:12" x14ac:dyDescent="0.25">
      <c r="A235" s="229"/>
      <c r="B235" s="229"/>
      <c r="C235" s="229"/>
      <c r="D235" s="229"/>
      <c r="E235" s="229"/>
      <c r="F235" s="229"/>
      <c r="G235" s="229"/>
      <c r="H235" s="230"/>
      <c r="I235" s="230"/>
      <c r="J235" s="230"/>
      <c r="K235" s="230"/>
      <c r="L235" s="231"/>
    </row>
    <row r="236" spans="1:12" x14ac:dyDescent="0.25">
      <c r="A236" s="229"/>
      <c r="B236" s="229"/>
      <c r="C236" s="229"/>
      <c r="D236" s="229"/>
      <c r="E236" s="229"/>
      <c r="F236" s="229"/>
      <c r="G236" s="229"/>
      <c r="H236" s="230"/>
      <c r="I236" s="230"/>
      <c r="J236" s="230"/>
      <c r="K236" s="230"/>
      <c r="L236" s="231"/>
    </row>
    <row r="237" spans="1:12" x14ac:dyDescent="0.25">
      <c r="A237" s="229"/>
      <c r="B237" s="229"/>
      <c r="C237" s="229"/>
      <c r="D237" s="229"/>
      <c r="E237" s="229"/>
      <c r="F237" s="229"/>
      <c r="G237" s="229"/>
      <c r="H237" s="230"/>
      <c r="I237" s="230"/>
      <c r="J237" s="230"/>
      <c r="K237" s="230"/>
      <c r="L237" s="231"/>
    </row>
    <row r="238" spans="1:12" x14ac:dyDescent="0.25">
      <c r="A238" s="229"/>
      <c r="B238" s="229"/>
      <c r="C238" s="229"/>
      <c r="D238" s="229"/>
      <c r="E238" s="229"/>
      <c r="F238" s="229"/>
      <c r="G238" s="229"/>
      <c r="H238" s="230"/>
      <c r="I238" s="230"/>
      <c r="J238" s="230"/>
      <c r="K238" s="230"/>
      <c r="L238" s="231"/>
    </row>
    <row r="239" spans="1:12" x14ac:dyDescent="0.25">
      <c r="A239" s="229"/>
      <c r="B239" s="229"/>
      <c r="C239" s="229"/>
      <c r="D239" s="229"/>
      <c r="E239" s="229"/>
      <c r="F239" s="229"/>
      <c r="G239" s="229"/>
      <c r="H239" s="230"/>
      <c r="I239" s="230"/>
      <c r="J239" s="230"/>
      <c r="K239" s="230"/>
      <c r="L239" s="231"/>
    </row>
    <row r="240" spans="1:12" x14ac:dyDescent="0.25">
      <c r="A240" s="229"/>
      <c r="B240" s="229"/>
      <c r="C240" s="229"/>
      <c r="D240" s="229"/>
      <c r="E240" s="229"/>
      <c r="F240" s="229"/>
      <c r="G240" s="229"/>
      <c r="H240" s="230"/>
      <c r="I240" s="230"/>
      <c r="J240" s="230"/>
      <c r="K240" s="230"/>
      <c r="L240" s="231"/>
    </row>
    <row r="241" spans="1:12" x14ac:dyDescent="0.25">
      <c r="A241" s="229"/>
      <c r="B241" s="229"/>
      <c r="C241" s="229"/>
      <c r="D241" s="229"/>
      <c r="E241" s="229"/>
      <c r="F241" s="229"/>
      <c r="G241" s="229"/>
      <c r="H241" s="230"/>
      <c r="I241" s="230"/>
      <c r="J241" s="230"/>
      <c r="K241" s="230"/>
      <c r="L241" s="231"/>
    </row>
    <row r="242" spans="1:12" x14ac:dyDescent="0.25">
      <c r="A242" s="229"/>
      <c r="B242" s="229"/>
      <c r="C242" s="229"/>
      <c r="D242" s="229"/>
      <c r="E242" s="229"/>
      <c r="F242" s="229"/>
      <c r="G242" s="229"/>
      <c r="H242" s="230"/>
      <c r="I242" s="230"/>
      <c r="J242" s="230"/>
      <c r="K242" s="230"/>
      <c r="L242" s="231"/>
    </row>
    <row r="243" spans="1:12" x14ac:dyDescent="0.25">
      <c r="A243" s="229"/>
      <c r="B243" s="229"/>
      <c r="C243" s="229"/>
      <c r="D243" s="229"/>
      <c r="E243" s="229"/>
      <c r="F243" s="229"/>
      <c r="G243" s="229"/>
      <c r="H243" s="230"/>
      <c r="I243" s="230"/>
      <c r="J243" s="230"/>
      <c r="K243" s="230"/>
      <c r="L243" s="231"/>
    </row>
    <row r="244" spans="1:12" x14ac:dyDescent="0.25">
      <c r="A244" s="229"/>
      <c r="B244" s="229"/>
      <c r="C244" s="229"/>
      <c r="D244" s="229"/>
      <c r="E244" s="229"/>
      <c r="F244" s="229"/>
      <c r="G244" s="229"/>
      <c r="H244" s="230"/>
      <c r="I244" s="230"/>
      <c r="J244" s="230"/>
      <c r="K244" s="230"/>
      <c r="L244" s="231"/>
    </row>
    <row r="245" spans="1:12" x14ac:dyDescent="0.25">
      <c r="A245" s="229"/>
      <c r="B245" s="229"/>
      <c r="C245" s="229"/>
      <c r="D245" s="229"/>
      <c r="E245" s="229"/>
      <c r="F245" s="229"/>
      <c r="G245" s="229"/>
      <c r="H245" s="230"/>
      <c r="I245" s="230"/>
      <c r="J245" s="230"/>
      <c r="K245" s="230"/>
      <c r="L245" s="231"/>
    </row>
    <row r="246" spans="1:12" x14ac:dyDescent="0.25">
      <c r="A246" s="229"/>
      <c r="B246" s="229"/>
      <c r="C246" s="229"/>
      <c r="D246" s="229"/>
      <c r="E246" s="229"/>
      <c r="F246" s="229"/>
      <c r="G246" s="229"/>
      <c r="H246" s="230"/>
      <c r="I246" s="230"/>
      <c r="J246" s="230"/>
      <c r="K246" s="230"/>
      <c r="L246" s="231"/>
    </row>
    <row r="247" spans="1:12" x14ac:dyDescent="0.25">
      <c r="A247" s="229"/>
      <c r="B247" s="229"/>
      <c r="C247" s="229"/>
      <c r="D247" s="229"/>
      <c r="E247" s="229"/>
      <c r="F247" s="229"/>
      <c r="G247" s="229"/>
      <c r="H247" s="230"/>
      <c r="I247" s="230"/>
      <c r="J247" s="230"/>
      <c r="K247" s="230"/>
      <c r="L247" s="231"/>
    </row>
    <row r="248" spans="1:12" x14ac:dyDescent="0.25">
      <c r="A248" s="229"/>
      <c r="B248" s="229"/>
      <c r="C248" s="229"/>
      <c r="D248" s="229"/>
      <c r="E248" s="229"/>
      <c r="F248" s="229"/>
      <c r="G248" s="229"/>
      <c r="H248" s="230"/>
      <c r="I248" s="230"/>
      <c r="J248" s="230"/>
      <c r="K248" s="230"/>
      <c r="L248" s="231"/>
    </row>
    <row r="249" spans="1:12" x14ac:dyDescent="0.25">
      <c r="A249" s="229"/>
      <c r="B249" s="229"/>
      <c r="C249" s="229"/>
      <c r="D249" s="229"/>
      <c r="E249" s="229"/>
      <c r="F249" s="229"/>
      <c r="G249" s="229"/>
      <c r="H249" s="230"/>
      <c r="I249" s="230"/>
      <c r="J249" s="230"/>
      <c r="K249" s="230"/>
      <c r="L249" s="231"/>
    </row>
    <row r="250" spans="1:12" x14ac:dyDescent="0.25">
      <c r="A250" s="229"/>
      <c r="B250" s="229"/>
      <c r="C250" s="229"/>
      <c r="D250" s="229"/>
      <c r="E250" s="229"/>
      <c r="F250" s="229"/>
      <c r="G250" s="229"/>
      <c r="H250" s="230"/>
      <c r="I250" s="230"/>
      <c r="J250" s="230"/>
      <c r="K250" s="230"/>
      <c r="L250" s="231"/>
    </row>
    <row r="251" spans="1:12" x14ac:dyDescent="0.25">
      <c r="A251" s="229"/>
      <c r="B251" s="229"/>
      <c r="C251" s="229"/>
      <c r="D251" s="229"/>
      <c r="E251" s="229"/>
      <c r="F251" s="229"/>
      <c r="G251" s="229"/>
      <c r="H251" s="230"/>
      <c r="I251" s="230"/>
      <c r="J251" s="230"/>
      <c r="K251" s="230"/>
      <c r="L251" s="231"/>
    </row>
    <row r="252" spans="1:12" x14ac:dyDescent="0.25">
      <c r="A252" s="229"/>
      <c r="B252" s="229"/>
      <c r="C252" s="229"/>
      <c r="D252" s="229"/>
      <c r="E252" s="229"/>
      <c r="F252" s="229"/>
      <c r="G252" s="229"/>
      <c r="H252" s="230"/>
      <c r="I252" s="230"/>
      <c r="J252" s="230"/>
      <c r="K252" s="230"/>
      <c r="L252" s="231"/>
    </row>
    <row r="253" spans="1:12" x14ac:dyDescent="0.25">
      <c r="A253" s="229"/>
      <c r="B253" s="229"/>
      <c r="C253" s="229"/>
      <c r="D253" s="229"/>
      <c r="E253" s="229"/>
      <c r="F253" s="229"/>
      <c r="G253" s="229"/>
      <c r="H253" s="230"/>
      <c r="I253" s="230"/>
      <c r="J253" s="230"/>
      <c r="K253" s="230"/>
      <c r="L253" s="231"/>
    </row>
    <row r="254" spans="1:12" x14ac:dyDescent="0.25">
      <c r="A254" s="229"/>
      <c r="B254" s="229"/>
      <c r="C254" s="229"/>
      <c r="D254" s="229"/>
      <c r="E254" s="229"/>
      <c r="F254" s="229"/>
      <c r="G254" s="229"/>
      <c r="H254" s="230"/>
      <c r="I254" s="230"/>
      <c r="J254" s="230"/>
      <c r="K254" s="230"/>
      <c r="L254" s="231"/>
    </row>
    <row r="255" spans="1:12" x14ac:dyDescent="0.25">
      <c r="A255" s="229"/>
      <c r="B255" s="229"/>
      <c r="C255" s="229"/>
      <c r="D255" s="229"/>
      <c r="E255" s="229"/>
      <c r="F255" s="229"/>
      <c r="G255" s="229"/>
      <c r="H255" s="230"/>
      <c r="I255" s="230"/>
      <c r="J255" s="230"/>
      <c r="K255" s="230"/>
      <c r="L255" s="231"/>
    </row>
    <row r="256" spans="1:12" x14ac:dyDescent="0.25">
      <c r="A256" s="229"/>
      <c r="B256" s="229"/>
      <c r="C256" s="229"/>
      <c r="D256" s="229"/>
      <c r="E256" s="229"/>
      <c r="F256" s="229"/>
      <c r="G256" s="229"/>
      <c r="H256" s="230"/>
      <c r="I256" s="230"/>
      <c r="J256" s="230"/>
      <c r="K256" s="230"/>
      <c r="L256" s="231"/>
    </row>
    <row r="257" spans="1:12" x14ac:dyDescent="0.25">
      <c r="A257" s="229"/>
      <c r="B257" s="229"/>
      <c r="C257" s="229"/>
      <c r="D257" s="229"/>
      <c r="E257" s="229"/>
      <c r="F257" s="229"/>
      <c r="G257" s="229"/>
      <c r="H257" s="230"/>
      <c r="I257" s="230"/>
      <c r="J257" s="230"/>
      <c r="K257" s="230"/>
      <c r="L257" s="231"/>
    </row>
    <row r="258" spans="1:12" x14ac:dyDescent="0.25">
      <c r="A258" s="229"/>
      <c r="B258" s="229"/>
      <c r="C258" s="229"/>
      <c r="D258" s="229"/>
      <c r="E258" s="229"/>
      <c r="F258" s="229"/>
      <c r="G258" s="229"/>
      <c r="H258" s="230"/>
      <c r="I258" s="230"/>
      <c r="J258" s="230"/>
      <c r="K258" s="230"/>
      <c r="L258" s="231"/>
    </row>
    <row r="259" spans="1:12" x14ac:dyDescent="0.25">
      <c r="A259" s="229"/>
      <c r="B259" s="229"/>
      <c r="C259" s="229"/>
      <c r="D259" s="229"/>
      <c r="E259" s="229"/>
      <c r="F259" s="229"/>
      <c r="G259" s="229"/>
      <c r="H259" s="230"/>
      <c r="I259" s="230"/>
      <c r="J259" s="230"/>
      <c r="K259" s="230"/>
      <c r="L259" s="231"/>
    </row>
    <row r="260" spans="1:12" x14ac:dyDescent="0.25">
      <c r="A260" s="229"/>
      <c r="B260" s="229"/>
      <c r="C260" s="229"/>
      <c r="D260" s="229"/>
      <c r="E260" s="229"/>
      <c r="F260" s="229"/>
      <c r="G260" s="229"/>
      <c r="H260" s="230"/>
      <c r="I260" s="230"/>
      <c r="J260" s="230"/>
      <c r="K260" s="230"/>
      <c r="L260" s="231"/>
    </row>
    <row r="261" spans="1:12" x14ac:dyDescent="0.25">
      <c r="A261" s="229"/>
      <c r="B261" s="229"/>
      <c r="C261" s="229"/>
      <c r="D261" s="229"/>
      <c r="E261" s="229"/>
      <c r="F261" s="229"/>
      <c r="G261" s="229"/>
      <c r="H261" s="230"/>
      <c r="I261" s="230"/>
      <c r="J261" s="230"/>
      <c r="K261" s="230"/>
      <c r="L261" s="231"/>
    </row>
    <row r="262" spans="1:12" x14ac:dyDescent="0.25">
      <c r="A262" s="229"/>
      <c r="B262" s="229"/>
      <c r="C262" s="229"/>
      <c r="D262" s="229"/>
      <c r="E262" s="229"/>
      <c r="F262" s="229"/>
      <c r="G262" s="229"/>
      <c r="H262" s="230"/>
      <c r="I262" s="230"/>
      <c r="J262" s="230"/>
      <c r="K262" s="230"/>
      <c r="L262" s="231"/>
    </row>
    <row r="263" spans="1:12" x14ac:dyDescent="0.25">
      <c r="A263" s="229"/>
      <c r="B263" s="229"/>
      <c r="C263" s="229"/>
      <c r="D263" s="229"/>
      <c r="E263" s="229"/>
      <c r="F263" s="229"/>
      <c r="G263" s="229"/>
      <c r="H263" s="230"/>
      <c r="I263" s="230"/>
      <c r="J263" s="230"/>
      <c r="K263" s="230"/>
      <c r="L263" s="231"/>
    </row>
    <row r="264" spans="1:12" x14ac:dyDescent="0.25">
      <c r="A264" s="229"/>
      <c r="B264" s="229"/>
      <c r="C264" s="229"/>
      <c r="D264" s="229"/>
      <c r="E264" s="229"/>
      <c r="F264" s="229"/>
      <c r="G264" s="229"/>
      <c r="H264" s="230"/>
      <c r="I264" s="230"/>
      <c r="J264" s="230"/>
      <c r="K264" s="230"/>
      <c r="L264" s="231"/>
    </row>
    <row r="265" spans="1:12" x14ac:dyDescent="0.25">
      <c r="A265" s="229"/>
      <c r="B265" s="229"/>
      <c r="C265" s="229"/>
      <c r="D265" s="229"/>
      <c r="E265" s="229"/>
      <c r="F265" s="229"/>
      <c r="G265" s="229"/>
      <c r="H265" s="230"/>
      <c r="I265" s="230"/>
      <c r="J265" s="230"/>
      <c r="K265" s="230"/>
      <c r="L265" s="231"/>
    </row>
    <row r="266" spans="1:12" x14ac:dyDescent="0.25">
      <c r="A266" s="229"/>
      <c r="B266" s="229"/>
      <c r="C266" s="229"/>
      <c r="D266" s="229"/>
      <c r="E266" s="229"/>
      <c r="F266" s="229"/>
      <c r="G266" s="229"/>
      <c r="H266" s="230"/>
      <c r="I266" s="230"/>
      <c r="J266" s="230"/>
      <c r="K266" s="230"/>
      <c r="L266" s="231"/>
    </row>
    <row r="267" spans="1:12" x14ac:dyDescent="0.25">
      <c r="A267" s="229"/>
      <c r="B267" s="229"/>
      <c r="C267" s="229"/>
      <c r="D267" s="229"/>
      <c r="E267" s="229"/>
      <c r="F267" s="229"/>
      <c r="G267" s="229"/>
      <c r="H267" s="230"/>
      <c r="I267" s="230"/>
      <c r="J267" s="230"/>
      <c r="K267" s="230"/>
      <c r="L267" s="231"/>
    </row>
    <row r="268" spans="1:12" x14ac:dyDescent="0.25">
      <c r="A268" s="229"/>
      <c r="B268" s="229"/>
      <c r="C268" s="229"/>
      <c r="D268" s="229"/>
      <c r="E268" s="229"/>
      <c r="F268" s="229"/>
      <c r="G268" s="229"/>
      <c r="H268" s="230"/>
      <c r="I268" s="230"/>
      <c r="J268" s="230"/>
      <c r="K268" s="230"/>
      <c r="L268" s="231"/>
    </row>
    <row r="269" spans="1:12" x14ac:dyDescent="0.25">
      <c r="A269" s="229"/>
      <c r="B269" s="229"/>
      <c r="C269" s="229"/>
      <c r="D269" s="229"/>
      <c r="E269" s="229"/>
      <c r="F269" s="229"/>
      <c r="G269" s="229"/>
      <c r="H269" s="230"/>
      <c r="I269" s="230"/>
      <c r="J269" s="230"/>
      <c r="K269" s="230"/>
      <c r="L269" s="231"/>
    </row>
    <row r="270" spans="1:12" x14ac:dyDescent="0.25">
      <c r="A270" s="229"/>
      <c r="B270" s="229"/>
      <c r="C270" s="229"/>
      <c r="D270" s="229"/>
      <c r="E270" s="229"/>
      <c r="F270" s="229"/>
      <c r="G270" s="229"/>
      <c r="H270" s="230"/>
      <c r="I270" s="230"/>
      <c r="J270" s="230"/>
      <c r="K270" s="230"/>
      <c r="L270" s="231"/>
    </row>
    <row r="271" spans="1:12" x14ac:dyDescent="0.25">
      <c r="A271" s="229"/>
      <c r="B271" s="229"/>
      <c r="C271" s="229"/>
      <c r="D271" s="229"/>
      <c r="E271" s="229"/>
      <c r="F271" s="229"/>
      <c r="G271" s="229"/>
      <c r="H271" s="230"/>
      <c r="I271" s="230"/>
      <c r="J271" s="230"/>
      <c r="K271" s="230"/>
      <c r="L271" s="231"/>
    </row>
    <row r="272" spans="1:12" x14ac:dyDescent="0.25">
      <c r="A272" s="229"/>
      <c r="B272" s="229"/>
      <c r="C272" s="229"/>
      <c r="D272" s="229"/>
      <c r="E272" s="229"/>
      <c r="F272" s="229"/>
      <c r="G272" s="229"/>
      <c r="H272" s="230"/>
      <c r="I272" s="230"/>
      <c r="J272" s="230"/>
      <c r="K272" s="230"/>
      <c r="L272" s="231"/>
    </row>
    <row r="273" spans="1:12" x14ac:dyDescent="0.25">
      <c r="A273" s="229"/>
      <c r="B273" s="229"/>
      <c r="C273" s="229"/>
      <c r="D273" s="229"/>
      <c r="E273" s="229"/>
      <c r="F273" s="229"/>
      <c r="G273" s="229"/>
      <c r="H273" s="230"/>
      <c r="I273" s="230"/>
      <c r="J273" s="230"/>
      <c r="K273" s="230"/>
      <c r="L273" s="231"/>
    </row>
    <row r="274" spans="1:12" x14ac:dyDescent="0.25">
      <c r="A274" s="229"/>
      <c r="B274" s="229"/>
      <c r="C274" s="229"/>
      <c r="D274" s="229"/>
      <c r="E274" s="229"/>
      <c r="F274" s="229"/>
      <c r="G274" s="229"/>
      <c r="H274" s="230"/>
      <c r="I274" s="230"/>
      <c r="J274" s="230"/>
      <c r="K274" s="230"/>
      <c r="L274" s="231"/>
    </row>
    <row r="275" spans="1:12" x14ac:dyDescent="0.25">
      <c r="A275" s="229"/>
      <c r="B275" s="229"/>
      <c r="C275" s="229"/>
      <c r="D275" s="229"/>
      <c r="E275" s="229"/>
      <c r="F275" s="229"/>
      <c r="G275" s="229"/>
      <c r="H275" s="230"/>
      <c r="I275" s="230"/>
      <c r="J275" s="230"/>
      <c r="K275" s="230"/>
      <c r="L275" s="231"/>
    </row>
    <row r="276" spans="1:12" x14ac:dyDescent="0.25">
      <c r="A276" s="229"/>
      <c r="B276" s="229"/>
      <c r="C276" s="229"/>
      <c r="D276" s="229"/>
      <c r="E276" s="229"/>
      <c r="F276" s="229"/>
      <c r="G276" s="229"/>
      <c r="H276" s="230"/>
      <c r="I276" s="230"/>
      <c r="J276" s="230"/>
      <c r="K276" s="230"/>
      <c r="L276" s="231"/>
    </row>
    <row r="277" spans="1:12" x14ac:dyDescent="0.25">
      <c r="A277" s="229"/>
      <c r="B277" s="229"/>
      <c r="C277" s="229"/>
      <c r="D277" s="229"/>
      <c r="E277" s="229"/>
      <c r="F277" s="229"/>
      <c r="G277" s="229"/>
      <c r="H277" s="230"/>
      <c r="I277" s="230"/>
      <c r="J277" s="230"/>
      <c r="K277" s="230"/>
      <c r="L277" s="231"/>
    </row>
    <row r="278" spans="1:12" x14ac:dyDescent="0.25">
      <c r="A278" s="229"/>
      <c r="B278" s="229"/>
      <c r="C278" s="229"/>
      <c r="D278" s="229"/>
      <c r="E278" s="229"/>
      <c r="F278" s="229"/>
      <c r="G278" s="229"/>
      <c r="H278" s="230"/>
      <c r="I278" s="230"/>
      <c r="J278" s="230"/>
      <c r="K278" s="230"/>
      <c r="L278" s="231"/>
    </row>
    <row r="279" spans="1:12" x14ac:dyDescent="0.25">
      <c r="A279" s="229"/>
      <c r="B279" s="229"/>
      <c r="C279" s="229"/>
      <c r="D279" s="229"/>
      <c r="E279" s="229"/>
      <c r="F279" s="229"/>
      <c r="G279" s="229"/>
      <c r="H279" s="230"/>
      <c r="I279" s="230"/>
      <c r="J279" s="230"/>
      <c r="K279" s="230"/>
      <c r="L279" s="231"/>
    </row>
    <row r="280" spans="1:12" x14ac:dyDescent="0.25">
      <c r="A280" s="229"/>
      <c r="B280" s="229"/>
      <c r="C280" s="229"/>
      <c r="D280" s="229"/>
      <c r="E280" s="229"/>
      <c r="F280" s="229"/>
      <c r="G280" s="229"/>
      <c r="H280" s="230"/>
      <c r="I280" s="230"/>
      <c r="J280" s="230"/>
      <c r="K280" s="230"/>
      <c r="L280" s="231"/>
    </row>
    <row r="281" spans="1:12" x14ac:dyDescent="0.25">
      <c r="A281" s="229"/>
      <c r="B281" s="229"/>
      <c r="C281" s="229"/>
      <c r="D281" s="229"/>
      <c r="E281" s="229"/>
      <c r="F281" s="229"/>
      <c r="G281" s="229"/>
      <c r="H281" s="230"/>
      <c r="I281" s="230"/>
      <c r="J281" s="230"/>
      <c r="K281" s="230"/>
      <c r="L281" s="231"/>
    </row>
    <row r="282" spans="1:12" x14ac:dyDescent="0.25">
      <c r="A282" s="229"/>
      <c r="B282" s="229"/>
      <c r="C282" s="229"/>
      <c r="D282" s="229"/>
      <c r="E282" s="229"/>
      <c r="F282" s="229"/>
      <c r="G282" s="229"/>
      <c r="H282" s="230"/>
      <c r="I282" s="230"/>
      <c r="J282" s="230"/>
      <c r="K282" s="230"/>
      <c r="L282" s="231"/>
    </row>
    <row r="283" spans="1:12" x14ac:dyDescent="0.25">
      <c r="A283" s="229"/>
      <c r="B283" s="229"/>
      <c r="C283" s="229"/>
      <c r="D283" s="229"/>
      <c r="E283" s="229"/>
      <c r="F283" s="229"/>
      <c r="G283" s="229"/>
      <c r="H283" s="230"/>
      <c r="I283" s="230"/>
      <c r="J283" s="230"/>
      <c r="K283" s="230"/>
      <c r="L283" s="231"/>
    </row>
    <row r="284" spans="1:12" x14ac:dyDescent="0.25">
      <c r="A284" s="229"/>
      <c r="B284" s="229"/>
      <c r="C284" s="229"/>
      <c r="D284" s="229"/>
      <c r="E284" s="229"/>
      <c r="F284" s="229"/>
      <c r="G284" s="229"/>
      <c r="H284" s="230"/>
      <c r="I284" s="230"/>
      <c r="J284" s="230"/>
      <c r="K284" s="230"/>
      <c r="L284" s="231"/>
    </row>
    <row r="285" spans="1:12" x14ac:dyDescent="0.25">
      <c r="A285" s="229"/>
      <c r="B285" s="229"/>
      <c r="C285" s="229"/>
      <c r="D285" s="229"/>
      <c r="E285" s="229"/>
      <c r="F285" s="229"/>
      <c r="G285" s="229"/>
      <c r="H285" s="230"/>
      <c r="I285" s="230"/>
      <c r="J285" s="230"/>
      <c r="K285" s="230"/>
      <c r="L285" s="231"/>
    </row>
    <row r="286" spans="1:12" x14ac:dyDescent="0.25">
      <c r="A286" s="229"/>
      <c r="B286" s="229"/>
      <c r="C286" s="229"/>
      <c r="D286" s="229"/>
      <c r="E286" s="229"/>
      <c r="F286" s="229"/>
      <c r="G286" s="229"/>
      <c r="H286" s="230"/>
      <c r="I286" s="230"/>
      <c r="J286" s="230"/>
      <c r="K286" s="230"/>
      <c r="L286" s="231"/>
    </row>
    <row r="287" spans="1:12" x14ac:dyDescent="0.25">
      <c r="A287" s="229"/>
      <c r="B287" s="229"/>
      <c r="C287" s="229"/>
      <c r="D287" s="229"/>
      <c r="E287" s="229"/>
      <c r="F287" s="229"/>
      <c r="G287" s="229"/>
      <c r="H287" s="230"/>
      <c r="I287" s="230"/>
      <c r="J287" s="230"/>
      <c r="K287" s="230"/>
      <c r="L287" s="231"/>
    </row>
    <row r="288" spans="1:12" x14ac:dyDescent="0.25">
      <c r="A288" s="229"/>
      <c r="B288" s="229"/>
      <c r="C288" s="229"/>
      <c r="D288" s="229"/>
      <c r="E288" s="229"/>
      <c r="F288" s="229"/>
      <c r="G288" s="229"/>
      <c r="H288" s="230"/>
      <c r="I288" s="230"/>
      <c r="J288" s="230"/>
      <c r="K288" s="230"/>
      <c r="L288" s="231"/>
    </row>
    <row r="289" spans="1:12" x14ac:dyDescent="0.25">
      <c r="A289" s="229"/>
      <c r="B289" s="229"/>
      <c r="C289" s="229"/>
      <c r="D289" s="229"/>
      <c r="E289" s="229"/>
      <c r="F289" s="229"/>
      <c r="G289" s="229"/>
      <c r="H289" s="230"/>
      <c r="I289" s="230"/>
      <c r="J289" s="230"/>
      <c r="K289" s="230"/>
      <c r="L289" s="231"/>
    </row>
    <row r="290" spans="1:12" x14ac:dyDescent="0.25">
      <c r="A290" s="229"/>
      <c r="B290" s="229"/>
      <c r="C290" s="229"/>
      <c r="D290" s="229"/>
      <c r="E290" s="229"/>
      <c r="F290" s="229"/>
      <c r="G290" s="229"/>
      <c r="H290" s="230"/>
      <c r="I290" s="230"/>
      <c r="J290" s="230"/>
      <c r="K290" s="230"/>
      <c r="L290" s="231"/>
    </row>
    <row r="291" spans="1:12" x14ac:dyDescent="0.25">
      <c r="A291" s="229"/>
      <c r="B291" s="229"/>
      <c r="C291" s="229"/>
      <c r="D291" s="229"/>
      <c r="E291" s="229"/>
      <c r="F291" s="229"/>
      <c r="G291" s="229"/>
      <c r="H291" s="230"/>
      <c r="I291" s="230"/>
      <c r="J291" s="230"/>
      <c r="K291" s="230"/>
      <c r="L291" s="231"/>
    </row>
    <row r="292" spans="1:12" x14ac:dyDescent="0.25">
      <c r="A292" s="229"/>
      <c r="B292" s="229"/>
      <c r="C292" s="229"/>
      <c r="D292" s="229"/>
      <c r="E292" s="229"/>
      <c r="F292" s="229"/>
      <c r="G292" s="229"/>
      <c r="H292" s="230"/>
      <c r="I292" s="230"/>
      <c r="J292" s="230"/>
      <c r="K292" s="230"/>
      <c r="L292" s="231"/>
    </row>
    <row r="293" spans="1:12" x14ac:dyDescent="0.25">
      <c r="A293" s="229"/>
      <c r="B293" s="229"/>
      <c r="C293" s="229"/>
      <c r="D293" s="229"/>
      <c r="E293" s="229"/>
      <c r="F293" s="229"/>
      <c r="G293" s="229"/>
      <c r="H293" s="230"/>
      <c r="I293" s="230"/>
      <c r="J293" s="230"/>
      <c r="K293" s="230"/>
      <c r="L293" s="231"/>
    </row>
    <row r="294" spans="1:12" x14ac:dyDescent="0.25">
      <c r="A294" s="229"/>
      <c r="B294" s="229"/>
      <c r="C294" s="229"/>
      <c r="D294" s="229"/>
      <c r="E294" s="229"/>
      <c r="F294" s="229"/>
      <c r="G294" s="229"/>
      <c r="H294" s="230"/>
      <c r="I294" s="230"/>
      <c r="J294" s="230"/>
      <c r="K294" s="230"/>
      <c r="L294" s="231"/>
    </row>
    <row r="295" spans="1:12" x14ac:dyDescent="0.25">
      <c r="A295" s="229"/>
      <c r="B295" s="229"/>
      <c r="C295" s="229"/>
      <c r="D295" s="229"/>
      <c r="E295" s="229"/>
      <c r="F295" s="229"/>
      <c r="G295" s="229"/>
      <c r="H295" s="230"/>
      <c r="I295" s="230"/>
      <c r="J295" s="230"/>
      <c r="K295" s="230"/>
      <c r="L295" s="231"/>
    </row>
    <row r="296" spans="1:12" x14ac:dyDescent="0.25">
      <c r="A296" s="229"/>
      <c r="B296" s="229"/>
      <c r="C296" s="229"/>
      <c r="D296" s="229"/>
      <c r="E296" s="229"/>
      <c r="F296" s="229"/>
      <c r="G296" s="229"/>
      <c r="H296" s="230"/>
      <c r="I296" s="230"/>
      <c r="J296" s="230"/>
      <c r="K296" s="230"/>
      <c r="L296" s="231"/>
    </row>
    <row r="297" spans="1:12" x14ac:dyDescent="0.25">
      <c r="A297" s="229"/>
      <c r="B297" s="229"/>
      <c r="C297" s="229"/>
      <c r="D297" s="229"/>
      <c r="E297" s="229"/>
      <c r="F297" s="229"/>
      <c r="G297" s="229"/>
      <c r="H297" s="230"/>
      <c r="I297" s="230"/>
      <c r="J297" s="230"/>
      <c r="K297" s="230"/>
      <c r="L297" s="231"/>
    </row>
    <row r="298" spans="1:12" x14ac:dyDescent="0.25">
      <c r="A298" s="229"/>
      <c r="B298" s="229"/>
      <c r="C298" s="229"/>
      <c r="D298" s="229"/>
      <c r="E298" s="229"/>
      <c r="F298" s="229"/>
      <c r="G298" s="229"/>
      <c r="H298" s="230"/>
      <c r="I298" s="230"/>
      <c r="J298" s="230"/>
      <c r="K298" s="230"/>
      <c r="L298" s="231"/>
    </row>
    <row r="299" spans="1:12" x14ac:dyDescent="0.25">
      <c r="A299" s="229"/>
      <c r="B299" s="229"/>
      <c r="C299" s="229"/>
      <c r="D299" s="229"/>
      <c r="E299" s="229"/>
      <c r="F299" s="229"/>
      <c r="G299" s="229"/>
      <c r="H299" s="230"/>
      <c r="I299" s="230"/>
      <c r="J299" s="230"/>
      <c r="K299" s="230"/>
      <c r="L299" s="231"/>
    </row>
    <row r="300" spans="1:12" x14ac:dyDescent="0.25">
      <c r="A300" s="229"/>
      <c r="B300" s="229"/>
      <c r="C300" s="229"/>
      <c r="D300" s="229"/>
      <c r="E300" s="229"/>
      <c r="F300" s="229"/>
      <c r="G300" s="229"/>
      <c r="H300" s="230"/>
      <c r="I300" s="230"/>
      <c r="J300" s="230"/>
      <c r="K300" s="230"/>
      <c r="L300" s="231"/>
    </row>
    <row r="301" spans="1:12" x14ac:dyDescent="0.25">
      <c r="A301" s="229"/>
      <c r="B301" s="229"/>
      <c r="C301" s="229"/>
      <c r="D301" s="229"/>
      <c r="E301" s="229"/>
      <c r="F301" s="229"/>
      <c r="G301" s="229"/>
      <c r="H301" s="230"/>
      <c r="I301" s="230"/>
      <c r="J301" s="230"/>
      <c r="K301" s="230"/>
      <c r="L301" s="231"/>
    </row>
    <row r="302" spans="1:12" x14ac:dyDescent="0.25">
      <c r="A302" s="229"/>
      <c r="B302" s="229"/>
      <c r="C302" s="229"/>
      <c r="D302" s="229"/>
      <c r="E302" s="229"/>
      <c r="F302" s="229"/>
      <c r="G302" s="229"/>
      <c r="H302" s="230"/>
      <c r="I302" s="230"/>
      <c r="J302" s="230"/>
      <c r="K302" s="230"/>
      <c r="L302" s="231"/>
    </row>
    <row r="303" spans="1:12" x14ac:dyDescent="0.25">
      <c r="A303" s="229"/>
      <c r="B303" s="229"/>
      <c r="C303" s="229"/>
      <c r="D303" s="229"/>
      <c r="E303" s="229"/>
      <c r="F303" s="229"/>
      <c r="G303" s="229"/>
      <c r="H303" s="230"/>
      <c r="I303" s="230"/>
      <c r="J303" s="230"/>
      <c r="K303" s="230"/>
      <c r="L303" s="231"/>
    </row>
    <row r="304" spans="1:12" x14ac:dyDescent="0.25">
      <c r="A304" s="229"/>
      <c r="B304" s="229"/>
      <c r="C304" s="229"/>
      <c r="D304" s="229"/>
      <c r="E304" s="229"/>
      <c r="F304" s="229"/>
      <c r="G304" s="229"/>
      <c r="H304" s="230"/>
      <c r="I304" s="230"/>
      <c r="J304" s="230"/>
      <c r="K304" s="230"/>
      <c r="L304" s="231"/>
    </row>
    <row r="305" spans="1:12" x14ac:dyDescent="0.25">
      <c r="A305" s="229"/>
      <c r="B305" s="229"/>
      <c r="C305" s="229"/>
      <c r="D305" s="229"/>
      <c r="E305" s="229"/>
      <c r="F305" s="229"/>
      <c r="G305" s="229"/>
      <c r="H305" s="230"/>
      <c r="I305" s="230"/>
      <c r="J305" s="230"/>
      <c r="K305" s="230"/>
      <c r="L305" s="231"/>
    </row>
    <row r="306" spans="1:12" x14ac:dyDescent="0.25">
      <c r="A306" s="229"/>
      <c r="B306" s="229"/>
      <c r="C306" s="229"/>
      <c r="D306" s="229"/>
      <c r="E306" s="229"/>
      <c r="F306" s="229"/>
      <c r="G306" s="229"/>
      <c r="H306" s="230"/>
      <c r="I306" s="230"/>
      <c r="J306" s="230"/>
      <c r="K306" s="230"/>
      <c r="L306" s="231"/>
    </row>
    <row r="307" spans="1:12" x14ac:dyDescent="0.25">
      <c r="A307" s="229"/>
      <c r="B307" s="229"/>
      <c r="C307" s="229"/>
      <c r="D307" s="229"/>
      <c r="E307" s="229"/>
      <c r="F307" s="229"/>
      <c r="G307" s="229"/>
      <c r="H307" s="230"/>
      <c r="I307" s="230"/>
      <c r="J307" s="230"/>
      <c r="K307" s="230"/>
      <c r="L307" s="231"/>
    </row>
    <row r="308" spans="1:12" x14ac:dyDescent="0.25">
      <c r="A308" s="229"/>
      <c r="B308" s="229"/>
      <c r="C308" s="229"/>
      <c r="D308" s="229"/>
      <c r="E308" s="229"/>
      <c r="F308" s="229"/>
      <c r="G308" s="229"/>
      <c r="H308" s="230"/>
      <c r="I308" s="230"/>
      <c r="J308" s="230"/>
      <c r="K308" s="230"/>
      <c r="L308" s="231"/>
    </row>
    <row r="309" spans="1:12" x14ac:dyDescent="0.25">
      <c r="A309" s="229"/>
      <c r="B309" s="229"/>
      <c r="C309" s="229"/>
      <c r="D309" s="229"/>
      <c r="E309" s="229"/>
      <c r="F309" s="229"/>
      <c r="G309" s="229"/>
      <c r="H309" s="230"/>
      <c r="I309" s="230"/>
      <c r="J309" s="230"/>
      <c r="K309" s="230"/>
      <c r="L309" s="231"/>
    </row>
    <row r="310" spans="1:12" x14ac:dyDescent="0.25">
      <c r="A310" s="229"/>
      <c r="B310" s="229"/>
      <c r="C310" s="229"/>
      <c r="D310" s="229"/>
      <c r="E310" s="229"/>
      <c r="F310" s="229"/>
      <c r="G310" s="229"/>
      <c r="H310" s="230"/>
      <c r="I310" s="230"/>
      <c r="J310" s="230"/>
      <c r="K310" s="230"/>
      <c r="L310" s="231"/>
    </row>
    <row r="311" spans="1:12" x14ac:dyDescent="0.25">
      <c r="A311" s="229"/>
      <c r="B311" s="229"/>
      <c r="C311" s="229"/>
      <c r="D311" s="229"/>
      <c r="E311" s="229"/>
      <c r="F311" s="229"/>
      <c r="G311" s="229"/>
      <c r="H311" s="230"/>
      <c r="I311" s="230"/>
      <c r="J311" s="230"/>
      <c r="K311" s="230"/>
      <c r="L311" s="231"/>
    </row>
    <row r="312" spans="1:12" x14ac:dyDescent="0.25">
      <c r="A312" s="229"/>
      <c r="B312" s="229"/>
      <c r="C312" s="229"/>
      <c r="D312" s="229"/>
      <c r="E312" s="229"/>
      <c r="F312" s="229"/>
      <c r="G312" s="229"/>
      <c r="H312" s="230"/>
      <c r="I312" s="230"/>
      <c r="J312" s="230"/>
      <c r="K312" s="230"/>
      <c r="L312" s="231"/>
    </row>
    <row r="313" spans="1:12" x14ac:dyDescent="0.25">
      <c r="A313" s="229"/>
      <c r="B313" s="229"/>
      <c r="C313" s="229"/>
      <c r="D313" s="229"/>
      <c r="E313" s="229"/>
      <c r="F313" s="229"/>
      <c r="G313" s="229"/>
      <c r="H313" s="230"/>
      <c r="I313" s="230"/>
      <c r="J313" s="230"/>
      <c r="K313" s="230"/>
      <c r="L313" s="231"/>
    </row>
    <row r="314" spans="1:12" x14ac:dyDescent="0.25">
      <c r="A314" s="229"/>
      <c r="B314" s="229"/>
      <c r="C314" s="229"/>
      <c r="D314" s="229"/>
      <c r="E314" s="229"/>
      <c r="F314" s="229"/>
      <c r="G314" s="229"/>
      <c r="H314" s="230"/>
      <c r="I314" s="230"/>
      <c r="J314" s="230"/>
      <c r="K314" s="230"/>
      <c r="L314" s="231"/>
    </row>
    <row r="315" spans="1:12" x14ac:dyDescent="0.25">
      <c r="A315" s="229"/>
      <c r="B315" s="229"/>
      <c r="C315" s="229"/>
      <c r="D315" s="229"/>
      <c r="E315" s="229"/>
      <c r="F315" s="229"/>
      <c r="G315" s="229"/>
      <c r="H315" s="230"/>
      <c r="I315" s="230"/>
      <c r="J315" s="230"/>
      <c r="K315" s="230"/>
      <c r="L315" s="231"/>
    </row>
    <row r="316" spans="1:12" x14ac:dyDescent="0.25">
      <c r="A316" s="229"/>
      <c r="B316" s="229"/>
      <c r="C316" s="229"/>
      <c r="D316" s="229"/>
      <c r="E316" s="229"/>
      <c r="F316" s="229"/>
      <c r="G316" s="229"/>
      <c r="H316" s="230"/>
      <c r="I316" s="230"/>
      <c r="J316" s="230"/>
      <c r="K316" s="230"/>
      <c r="L316" s="231"/>
    </row>
    <row r="317" spans="1:12" x14ac:dyDescent="0.25">
      <c r="A317" s="229"/>
      <c r="B317" s="229"/>
      <c r="C317" s="229"/>
      <c r="D317" s="229"/>
      <c r="E317" s="229"/>
      <c r="F317" s="229"/>
      <c r="G317" s="229"/>
      <c r="H317" s="230"/>
      <c r="I317" s="230"/>
      <c r="J317" s="230"/>
      <c r="K317" s="230"/>
      <c r="L317" s="231"/>
    </row>
    <row r="318" spans="1:12" x14ac:dyDescent="0.25">
      <c r="A318" s="229"/>
      <c r="B318" s="229"/>
      <c r="C318" s="229"/>
      <c r="D318" s="229"/>
      <c r="E318" s="229"/>
      <c r="F318" s="229"/>
      <c r="G318" s="229"/>
      <c r="H318" s="230"/>
      <c r="I318" s="230"/>
      <c r="J318" s="230"/>
      <c r="K318" s="230"/>
      <c r="L318" s="231"/>
    </row>
    <row r="319" spans="1:12" x14ac:dyDescent="0.25">
      <c r="A319" s="229"/>
      <c r="B319" s="229"/>
      <c r="C319" s="229"/>
      <c r="D319" s="229"/>
      <c r="E319" s="229"/>
      <c r="F319" s="229"/>
      <c r="G319" s="229"/>
      <c r="H319" s="230"/>
      <c r="I319" s="230"/>
      <c r="J319" s="230"/>
      <c r="K319" s="230"/>
      <c r="L319" s="231"/>
    </row>
    <row r="320" spans="1:12" x14ac:dyDescent="0.25">
      <c r="A320" s="229"/>
      <c r="B320" s="229"/>
      <c r="C320" s="229"/>
      <c r="D320" s="229"/>
      <c r="E320" s="229"/>
      <c r="F320" s="229"/>
      <c r="G320" s="229"/>
      <c r="H320" s="230"/>
      <c r="I320" s="230"/>
      <c r="J320" s="230"/>
      <c r="K320" s="230"/>
      <c r="L320" s="231"/>
    </row>
    <row r="321" spans="1:12" x14ac:dyDescent="0.25">
      <c r="A321" s="229"/>
      <c r="B321" s="229"/>
      <c r="C321" s="229"/>
      <c r="D321" s="229"/>
      <c r="E321" s="229"/>
      <c r="F321" s="229"/>
      <c r="G321" s="229"/>
      <c r="H321" s="230"/>
      <c r="I321" s="230"/>
      <c r="J321" s="230"/>
      <c r="K321" s="230"/>
      <c r="L321" s="231"/>
    </row>
    <row r="322" spans="1:12" x14ac:dyDescent="0.25">
      <c r="A322" s="229"/>
      <c r="B322" s="229"/>
      <c r="C322" s="229"/>
      <c r="D322" s="229"/>
      <c r="E322" s="229"/>
      <c r="F322" s="229"/>
      <c r="G322" s="229"/>
      <c r="H322" s="230"/>
      <c r="I322" s="230"/>
      <c r="J322" s="230"/>
      <c r="K322" s="230"/>
      <c r="L322" s="231"/>
    </row>
    <row r="323" spans="1:12" x14ac:dyDescent="0.25">
      <c r="A323" s="229"/>
      <c r="B323" s="229"/>
      <c r="C323" s="229"/>
      <c r="D323" s="229"/>
      <c r="E323" s="229"/>
      <c r="F323" s="229"/>
      <c r="G323" s="229"/>
      <c r="H323" s="230"/>
      <c r="I323" s="230"/>
      <c r="J323" s="230"/>
      <c r="K323" s="230"/>
      <c r="L323" s="231"/>
    </row>
    <row r="324" spans="1:12" x14ac:dyDescent="0.25">
      <c r="A324" s="229"/>
      <c r="B324" s="229"/>
      <c r="C324" s="229"/>
      <c r="D324" s="229"/>
      <c r="E324" s="229"/>
      <c r="F324" s="229"/>
      <c r="G324" s="229"/>
      <c r="H324" s="230"/>
      <c r="I324" s="230"/>
      <c r="J324" s="230"/>
      <c r="K324" s="230"/>
      <c r="L324" s="231"/>
    </row>
    <row r="325" spans="1:12" x14ac:dyDescent="0.25">
      <c r="A325" s="229"/>
      <c r="B325" s="229"/>
      <c r="C325" s="229"/>
      <c r="D325" s="229"/>
      <c r="E325" s="229"/>
      <c r="F325" s="229"/>
      <c r="G325" s="229"/>
      <c r="H325" s="230"/>
      <c r="I325" s="230"/>
      <c r="J325" s="230"/>
      <c r="K325" s="230"/>
      <c r="L325" s="231"/>
    </row>
    <row r="326" spans="1:12" x14ac:dyDescent="0.25">
      <c r="A326" s="229"/>
      <c r="B326" s="229"/>
      <c r="C326" s="229"/>
      <c r="D326" s="229"/>
      <c r="E326" s="229"/>
      <c r="F326" s="229"/>
      <c r="G326" s="229"/>
      <c r="H326" s="230"/>
      <c r="I326" s="230"/>
      <c r="J326" s="230"/>
      <c r="K326" s="230"/>
      <c r="L326" s="231"/>
    </row>
    <row r="327" spans="1:12" x14ac:dyDescent="0.25">
      <c r="A327" s="229"/>
      <c r="B327" s="229"/>
      <c r="C327" s="229"/>
      <c r="D327" s="229"/>
      <c r="E327" s="229"/>
      <c r="F327" s="229"/>
      <c r="G327" s="229"/>
      <c r="H327" s="230"/>
      <c r="I327" s="230"/>
      <c r="J327" s="230"/>
      <c r="K327" s="230"/>
      <c r="L327" s="231"/>
    </row>
    <row r="328" spans="1:12" x14ac:dyDescent="0.25">
      <c r="A328" s="229"/>
      <c r="B328" s="229"/>
      <c r="C328" s="229"/>
      <c r="D328" s="229"/>
      <c r="E328" s="229"/>
      <c r="F328" s="229"/>
      <c r="G328" s="229"/>
      <c r="H328" s="230"/>
      <c r="I328" s="230"/>
      <c r="J328" s="230"/>
      <c r="K328" s="230"/>
      <c r="L328" s="231"/>
    </row>
    <row r="329" spans="1:12" x14ac:dyDescent="0.25">
      <c r="A329" s="229"/>
      <c r="B329" s="229"/>
      <c r="C329" s="229"/>
      <c r="D329" s="229"/>
      <c r="E329" s="229"/>
      <c r="F329" s="229"/>
      <c r="G329" s="229"/>
      <c r="H329" s="230"/>
      <c r="I329" s="230"/>
      <c r="J329" s="230"/>
      <c r="K329" s="230"/>
      <c r="L329" s="231"/>
    </row>
    <row r="330" spans="1:12" x14ac:dyDescent="0.25">
      <c r="A330" s="229"/>
      <c r="B330" s="229"/>
      <c r="C330" s="229"/>
      <c r="D330" s="229"/>
      <c r="E330" s="229"/>
      <c r="F330" s="229"/>
      <c r="G330" s="229"/>
      <c r="H330" s="230"/>
      <c r="I330" s="230"/>
      <c r="J330" s="230"/>
      <c r="K330" s="230"/>
      <c r="L330" s="231"/>
    </row>
    <row r="331" spans="1:12" x14ac:dyDescent="0.25">
      <c r="A331" s="229"/>
      <c r="B331" s="229"/>
      <c r="C331" s="229"/>
      <c r="D331" s="229"/>
      <c r="E331" s="229"/>
      <c r="F331" s="229"/>
      <c r="G331" s="229"/>
      <c r="H331" s="230"/>
      <c r="I331" s="230"/>
      <c r="J331" s="230"/>
      <c r="K331" s="230"/>
      <c r="L331" s="231"/>
    </row>
    <row r="332" spans="1:12" x14ac:dyDescent="0.25">
      <c r="A332" s="229"/>
      <c r="B332" s="229"/>
      <c r="C332" s="229"/>
      <c r="D332" s="229"/>
      <c r="E332" s="229"/>
      <c r="F332" s="229"/>
      <c r="G332" s="229"/>
      <c r="H332" s="230"/>
      <c r="I332" s="230"/>
      <c r="J332" s="230"/>
      <c r="K332" s="230"/>
      <c r="L332" s="231"/>
    </row>
    <row r="333" spans="1:12" x14ac:dyDescent="0.25">
      <c r="A333" s="229"/>
      <c r="B333" s="229"/>
      <c r="C333" s="229"/>
      <c r="D333" s="229"/>
      <c r="E333" s="229"/>
      <c r="F333" s="229"/>
      <c r="G333" s="229"/>
      <c r="H333" s="230"/>
      <c r="I333" s="230"/>
      <c r="J333" s="230"/>
      <c r="K333" s="230"/>
      <c r="L333" s="231"/>
    </row>
    <row r="334" spans="1:12" x14ac:dyDescent="0.25">
      <c r="A334" s="229"/>
      <c r="B334" s="229"/>
      <c r="C334" s="229"/>
      <c r="D334" s="229"/>
      <c r="E334" s="229"/>
      <c r="F334" s="229"/>
      <c r="G334" s="229"/>
      <c r="H334" s="230"/>
      <c r="I334" s="230"/>
      <c r="J334" s="230"/>
      <c r="K334" s="230"/>
      <c r="L334" s="231"/>
    </row>
    <row r="335" spans="1:12" x14ac:dyDescent="0.25">
      <c r="A335" s="229"/>
      <c r="B335" s="229"/>
      <c r="C335" s="229"/>
      <c r="D335" s="229"/>
      <c r="E335" s="229"/>
      <c r="F335" s="229"/>
      <c r="G335" s="229"/>
      <c r="H335" s="230"/>
      <c r="I335" s="230"/>
      <c r="J335" s="230"/>
      <c r="K335" s="230"/>
      <c r="L335" s="231"/>
    </row>
    <row r="336" spans="1:12" x14ac:dyDescent="0.25">
      <c r="A336" s="229"/>
      <c r="B336" s="229"/>
      <c r="C336" s="229"/>
      <c r="D336" s="229"/>
      <c r="E336" s="229"/>
      <c r="F336" s="229"/>
      <c r="G336" s="229"/>
      <c r="H336" s="230"/>
      <c r="I336" s="230"/>
      <c r="J336" s="230"/>
      <c r="K336" s="230"/>
      <c r="L336" s="231"/>
    </row>
    <row r="337" spans="1:12" x14ac:dyDescent="0.25">
      <c r="A337" s="229"/>
      <c r="B337" s="229"/>
      <c r="C337" s="229"/>
      <c r="D337" s="229"/>
      <c r="E337" s="229"/>
      <c r="F337" s="229"/>
      <c r="G337" s="229"/>
      <c r="H337" s="230"/>
      <c r="I337" s="230"/>
      <c r="J337" s="230"/>
      <c r="K337" s="230"/>
      <c r="L337" s="231"/>
    </row>
    <row r="338" spans="1:12" x14ac:dyDescent="0.25">
      <c r="A338" s="229"/>
      <c r="B338" s="229"/>
      <c r="C338" s="229"/>
      <c r="D338" s="229"/>
      <c r="E338" s="229"/>
      <c r="F338" s="229"/>
      <c r="G338" s="229"/>
      <c r="H338" s="230"/>
      <c r="I338" s="230"/>
      <c r="J338" s="230"/>
      <c r="K338" s="230"/>
      <c r="L338" s="231"/>
    </row>
    <row r="339" spans="1:12" x14ac:dyDescent="0.25">
      <c r="A339" s="229"/>
      <c r="B339" s="229"/>
      <c r="C339" s="229"/>
      <c r="D339" s="229"/>
      <c r="E339" s="229"/>
      <c r="F339" s="229"/>
      <c r="G339" s="229"/>
      <c r="H339" s="230"/>
      <c r="I339" s="230"/>
      <c r="J339" s="230"/>
      <c r="K339" s="230"/>
      <c r="L339" s="231"/>
    </row>
    <row r="340" spans="1:12" x14ac:dyDescent="0.25">
      <c r="A340" s="229"/>
      <c r="B340" s="229"/>
      <c r="C340" s="229"/>
      <c r="D340" s="229"/>
      <c r="E340" s="229"/>
      <c r="F340" s="229"/>
      <c r="G340" s="229"/>
      <c r="H340" s="230"/>
      <c r="I340" s="230"/>
      <c r="J340" s="230"/>
      <c r="K340" s="230"/>
      <c r="L340" s="231"/>
    </row>
    <row r="341" spans="1:12" x14ac:dyDescent="0.25">
      <c r="A341" s="229"/>
      <c r="B341" s="229"/>
      <c r="C341" s="229"/>
      <c r="D341" s="229"/>
      <c r="E341" s="229"/>
      <c r="F341" s="229"/>
      <c r="G341" s="229"/>
      <c r="H341" s="230"/>
      <c r="I341" s="230"/>
      <c r="J341" s="230"/>
      <c r="K341" s="230"/>
      <c r="L341" s="231"/>
    </row>
    <row r="342" spans="1:12" x14ac:dyDescent="0.25">
      <c r="A342" s="229"/>
      <c r="B342" s="229"/>
      <c r="C342" s="229"/>
      <c r="D342" s="229"/>
      <c r="E342" s="229"/>
      <c r="F342" s="229"/>
      <c r="G342" s="229"/>
      <c r="H342" s="230"/>
      <c r="I342" s="230"/>
      <c r="J342" s="230"/>
      <c r="K342" s="230"/>
      <c r="L342" s="231"/>
    </row>
    <row r="343" spans="1:12" x14ac:dyDescent="0.25">
      <c r="A343" s="229"/>
      <c r="B343" s="229"/>
      <c r="C343" s="229"/>
      <c r="D343" s="229"/>
      <c r="E343" s="229"/>
      <c r="F343" s="229"/>
      <c r="G343" s="229"/>
      <c r="H343" s="230"/>
      <c r="I343" s="230"/>
      <c r="J343" s="230"/>
      <c r="K343" s="230"/>
      <c r="L343" s="231"/>
    </row>
    <row r="344" spans="1:12" x14ac:dyDescent="0.25">
      <c r="A344" s="229"/>
      <c r="B344" s="229"/>
      <c r="C344" s="229"/>
      <c r="D344" s="229"/>
      <c r="E344" s="229"/>
      <c r="F344" s="229"/>
      <c r="G344" s="229"/>
      <c r="H344" s="230"/>
      <c r="I344" s="230"/>
      <c r="J344" s="230"/>
      <c r="K344" s="230"/>
      <c r="L344" s="231"/>
    </row>
    <row r="345" spans="1:12" x14ac:dyDescent="0.25">
      <c r="A345" s="229"/>
      <c r="B345" s="229"/>
      <c r="C345" s="229"/>
      <c r="D345" s="229"/>
      <c r="E345" s="229"/>
      <c r="F345" s="229"/>
      <c r="G345" s="229"/>
      <c r="H345" s="230"/>
      <c r="I345" s="230"/>
      <c r="J345" s="230"/>
      <c r="K345" s="230"/>
      <c r="L345" s="231"/>
    </row>
    <row r="346" spans="1:12" x14ac:dyDescent="0.25">
      <c r="A346" s="229"/>
      <c r="B346" s="229"/>
      <c r="C346" s="229"/>
      <c r="D346" s="229"/>
      <c r="E346" s="229"/>
      <c r="F346" s="229"/>
      <c r="G346" s="229"/>
      <c r="H346" s="230"/>
      <c r="I346" s="230"/>
      <c r="J346" s="230"/>
      <c r="K346" s="230"/>
      <c r="L346" s="231"/>
    </row>
    <row r="347" spans="1:12" x14ac:dyDescent="0.25">
      <c r="A347" s="229"/>
      <c r="B347" s="229"/>
      <c r="C347" s="229"/>
      <c r="D347" s="229"/>
      <c r="E347" s="229"/>
      <c r="F347" s="229"/>
      <c r="G347" s="229"/>
      <c r="H347" s="230"/>
      <c r="I347" s="230"/>
      <c r="J347" s="230"/>
      <c r="K347" s="230"/>
      <c r="L347" s="231"/>
    </row>
    <row r="348" spans="1:12" x14ac:dyDescent="0.25">
      <c r="A348" s="229"/>
      <c r="B348" s="229"/>
      <c r="C348" s="229"/>
      <c r="D348" s="229"/>
      <c r="E348" s="229"/>
      <c r="F348" s="229"/>
      <c r="G348" s="229"/>
      <c r="H348" s="230"/>
      <c r="I348" s="230"/>
      <c r="J348" s="230"/>
      <c r="K348" s="230"/>
      <c r="L348" s="231"/>
    </row>
    <row r="349" spans="1:12" x14ac:dyDescent="0.25">
      <c r="A349" s="229"/>
      <c r="B349" s="229"/>
      <c r="C349" s="229"/>
      <c r="D349" s="229"/>
      <c r="E349" s="229"/>
      <c r="F349" s="229"/>
      <c r="G349" s="229"/>
      <c r="H349" s="230"/>
      <c r="I349" s="230"/>
      <c r="J349" s="230"/>
      <c r="K349" s="230"/>
      <c r="L349" s="231"/>
    </row>
    <row r="350" spans="1:12" x14ac:dyDescent="0.25">
      <c r="A350" s="229"/>
      <c r="B350" s="229"/>
      <c r="C350" s="229"/>
      <c r="D350" s="229"/>
      <c r="E350" s="229"/>
      <c r="F350" s="229"/>
      <c r="G350" s="229"/>
      <c r="H350" s="230"/>
      <c r="I350" s="230"/>
      <c r="J350" s="230"/>
      <c r="K350" s="230"/>
      <c r="L350" s="231"/>
    </row>
    <row r="351" spans="1:12" x14ac:dyDescent="0.25">
      <c r="A351" s="229"/>
      <c r="B351" s="229"/>
      <c r="C351" s="229"/>
      <c r="D351" s="229"/>
      <c r="E351" s="229"/>
      <c r="F351" s="229"/>
      <c r="G351" s="229"/>
      <c r="H351" s="230"/>
      <c r="I351" s="230"/>
      <c r="J351" s="230"/>
      <c r="K351" s="230"/>
      <c r="L351" s="231"/>
    </row>
    <row r="352" spans="1:12" x14ac:dyDescent="0.25">
      <c r="A352" s="229"/>
      <c r="B352" s="229"/>
      <c r="C352" s="229"/>
      <c r="D352" s="229"/>
      <c r="E352" s="229"/>
      <c r="F352" s="229"/>
      <c r="G352" s="229"/>
      <c r="H352" s="230"/>
      <c r="I352" s="230"/>
      <c r="J352" s="230"/>
      <c r="K352" s="230"/>
      <c r="L352" s="231"/>
    </row>
    <row r="353" spans="1:12" x14ac:dyDescent="0.25">
      <c r="A353" s="229"/>
      <c r="B353" s="229"/>
      <c r="C353" s="229"/>
      <c r="D353" s="229"/>
      <c r="E353" s="229"/>
      <c r="F353" s="229"/>
      <c r="G353" s="229"/>
      <c r="H353" s="230"/>
      <c r="I353" s="230"/>
      <c r="J353" s="230"/>
      <c r="K353" s="230"/>
      <c r="L353" s="231"/>
    </row>
    <row r="354" spans="1:12" x14ac:dyDescent="0.25">
      <c r="A354" s="229"/>
      <c r="B354" s="229"/>
      <c r="C354" s="229"/>
      <c r="D354" s="229"/>
      <c r="E354" s="229"/>
      <c r="F354" s="229"/>
      <c r="G354" s="229"/>
      <c r="H354" s="230"/>
      <c r="I354" s="230"/>
      <c r="J354" s="230"/>
      <c r="K354" s="230"/>
      <c r="L354" s="231"/>
    </row>
    <row r="355" spans="1:12" x14ac:dyDescent="0.25">
      <c r="A355" s="229"/>
      <c r="B355" s="229"/>
      <c r="C355" s="229"/>
      <c r="D355" s="229"/>
      <c r="E355" s="229"/>
      <c r="F355" s="229"/>
      <c r="G355" s="229"/>
      <c r="H355" s="230"/>
      <c r="I355" s="230"/>
      <c r="J355" s="230"/>
      <c r="K355" s="230"/>
      <c r="L355" s="231"/>
    </row>
    <row r="356" spans="1:12" x14ac:dyDescent="0.25">
      <c r="A356" s="229"/>
      <c r="B356" s="229"/>
      <c r="C356" s="229"/>
      <c r="D356" s="229"/>
      <c r="E356" s="229"/>
      <c r="F356" s="229"/>
      <c r="G356" s="229"/>
      <c r="H356" s="230"/>
      <c r="I356" s="230"/>
      <c r="J356" s="230"/>
      <c r="K356" s="230"/>
      <c r="L356" s="231"/>
    </row>
    <row r="357" spans="1:12" x14ac:dyDescent="0.25">
      <c r="A357" s="229"/>
      <c r="B357" s="229"/>
      <c r="C357" s="229"/>
      <c r="D357" s="229"/>
      <c r="E357" s="229"/>
      <c r="F357" s="229"/>
      <c r="G357" s="229"/>
      <c r="H357" s="230"/>
      <c r="I357" s="230"/>
      <c r="J357" s="230"/>
      <c r="K357" s="230"/>
      <c r="L357" s="231"/>
    </row>
    <row r="358" spans="1:12" x14ac:dyDescent="0.25">
      <c r="A358" s="229"/>
      <c r="B358" s="229"/>
      <c r="C358" s="229"/>
      <c r="D358" s="229"/>
      <c r="E358" s="229"/>
      <c r="F358" s="229"/>
      <c r="G358" s="229"/>
      <c r="H358" s="230"/>
      <c r="I358" s="230"/>
      <c r="J358" s="230"/>
      <c r="K358" s="230"/>
      <c r="L358" s="231"/>
    </row>
    <row r="359" spans="1:12" x14ac:dyDescent="0.25">
      <c r="A359" s="229"/>
      <c r="B359" s="229"/>
      <c r="C359" s="229"/>
      <c r="D359" s="229"/>
      <c r="E359" s="229"/>
      <c r="F359" s="229"/>
      <c r="G359" s="229"/>
      <c r="H359" s="230"/>
      <c r="I359" s="230"/>
      <c r="J359" s="230"/>
      <c r="K359" s="230"/>
      <c r="L359" s="231"/>
    </row>
    <row r="360" spans="1:12" x14ac:dyDescent="0.25">
      <c r="A360" s="229"/>
      <c r="B360" s="229"/>
      <c r="C360" s="229"/>
      <c r="D360" s="229"/>
      <c r="E360" s="229"/>
      <c r="F360" s="229"/>
      <c r="G360" s="229"/>
      <c r="H360" s="230"/>
      <c r="I360" s="230"/>
      <c r="J360" s="230"/>
      <c r="K360" s="230"/>
      <c r="L360" s="231"/>
    </row>
    <row r="361" spans="1:12" x14ac:dyDescent="0.25">
      <c r="A361" s="229"/>
      <c r="B361" s="229"/>
      <c r="C361" s="229"/>
      <c r="D361" s="229"/>
      <c r="E361" s="229"/>
      <c r="F361" s="229"/>
      <c r="G361" s="229"/>
      <c r="H361" s="230"/>
      <c r="I361" s="230"/>
      <c r="J361" s="230"/>
      <c r="K361" s="230"/>
      <c r="L361" s="231"/>
    </row>
    <row r="362" spans="1:12" x14ac:dyDescent="0.25">
      <c r="A362" s="229"/>
      <c r="B362" s="229"/>
      <c r="C362" s="229"/>
      <c r="D362" s="229"/>
      <c r="E362" s="229"/>
      <c r="F362" s="229"/>
      <c r="G362" s="229"/>
      <c r="H362" s="230"/>
      <c r="I362" s="230"/>
      <c r="J362" s="230"/>
      <c r="K362" s="230"/>
      <c r="L362" s="231"/>
    </row>
    <row r="363" spans="1:12" x14ac:dyDescent="0.25">
      <c r="A363" s="229"/>
      <c r="B363" s="229"/>
      <c r="C363" s="229"/>
      <c r="D363" s="229"/>
      <c r="E363" s="229"/>
      <c r="F363" s="229"/>
      <c r="G363" s="229"/>
      <c r="H363" s="230"/>
      <c r="I363" s="230"/>
      <c r="J363" s="230"/>
      <c r="K363" s="230"/>
      <c r="L363" s="231"/>
    </row>
    <row r="364" spans="1:12" x14ac:dyDescent="0.25">
      <c r="A364" s="229"/>
      <c r="B364" s="229"/>
      <c r="C364" s="229"/>
      <c r="D364" s="229"/>
      <c r="E364" s="229"/>
      <c r="F364" s="229"/>
      <c r="G364" s="229"/>
      <c r="H364" s="230"/>
      <c r="I364" s="230"/>
      <c r="J364" s="230"/>
      <c r="K364" s="230"/>
      <c r="L364" s="231"/>
    </row>
    <row r="365" spans="1:12" x14ac:dyDescent="0.25">
      <c r="A365" s="229"/>
      <c r="B365" s="229"/>
      <c r="C365" s="229"/>
      <c r="D365" s="229"/>
      <c r="E365" s="229"/>
      <c r="F365" s="229"/>
      <c r="G365" s="229"/>
      <c r="H365" s="230"/>
      <c r="I365" s="230"/>
      <c r="J365" s="230"/>
      <c r="K365" s="230"/>
      <c r="L365" s="231"/>
    </row>
    <row r="366" spans="1:12" x14ac:dyDescent="0.25">
      <c r="A366" s="229"/>
      <c r="B366" s="229"/>
      <c r="C366" s="229"/>
      <c r="D366" s="229"/>
      <c r="E366" s="229"/>
      <c r="F366" s="229"/>
      <c r="G366" s="229"/>
      <c r="H366" s="230"/>
      <c r="I366" s="230"/>
      <c r="J366" s="230"/>
      <c r="K366" s="230"/>
      <c r="L366" s="231"/>
    </row>
    <row r="367" spans="1:12" x14ac:dyDescent="0.25">
      <c r="A367" s="229"/>
      <c r="B367" s="229"/>
      <c r="C367" s="229"/>
      <c r="D367" s="229"/>
      <c r="E367" s="229"/>
      <c r="F367" s="229"/>
      <c r="G367" s="229"/>
      <c r="H367" s="230"/>
      <c r="I367" s="230"/>
      <c r="J367" s="230"/>
      <c r="K367" s="230"/>
      <c r="L367" s="231"/>
    </row>
    <row r="368" spans="1:12" x14ac:dyDescent="0.25">
      <c r="A368" s="229"/>
      <c r="B368" s="229"/>
      <c r="C368" s="229"/>
      <c r="D368" s="229"/>
      <c r="E368" s="229"/>
      <c r="F368" s="229"/>
      <c r="G368" s="229"/>
      <c r="H368" s="230"/>
      <c r="I368" s="230"/>
      <c r="J368" s="230"/>
      <c r="K368" s="230"/>
      <c r="L368" s="231"/>
    </row>
    <row r="369" spans="1:12" x14ac:dyDescent="0.25">
      <c r="A369" s="229"/>
      <c r="B369" s="229"/>
      <c r="C369" s="229"/>
      <c r="D369" s="229"/>
      <c r="E369" s="229"/>
      <c r="F369" s="229"/>
      <c r="G369" s="229"/>
      <c r="H369" s="230"/>
      <c r="I369" s="230"/>
      <c r="J369" s="230"/>
      <c r="K369" s="230"/>
      <c r="L369" s="231"/>
    </row>
    <row r="370" spans="1:12" x14ac:dyDescent="0.25">
      <c r="A370" s="229"/>
      <c r="B370" s="229"/>
      <c r="C370" s="229"/>
      <c r="D370" s="229"/>
      <c r="E370" s="229"/>
      <c r="F370" s="229"/>
      <c r="G370" s="229"/>
      <c r="H370" s="230"/>
      <c r="I370" s="230"/>
      <c r="J370" s="230"/>
      <c r="K370" s="230"/>
      <c r="L370" s="231"/>
    </row>
    <row r="371" spans="1:12" x14ac:dyDescent="0.25">
      <c r="A371" s="229"/>
      <c r="B371" s="229"/>
      <c r="C371" s="229"/>
      <c r="D371" s="229"/>
      <c r="E371" s="229"/>
      <c r="F371" s="229"/>
      <c r="G371" s="229"/>
      <c r="H371" s="230"/>
      <c r="I371" s="230"/>
      <c r="J371" s="230"/>
      <c r="K371" s="230"/>
      <c r="L371" s="231"/>
    </row>
    <row r="372" spans="1:12" x14ac:dyDescent="0.25">
      <c r="A372" s="229"/>
      <c r="B372" s="229"/>
      <c r="C372" s="229"/>
      <c r="D372" s="229"/>
      <c r="E372" s="229"/>
      <c r="F372" s="229"/>
      <c r="G372" s="229"/>
      <c r="H372" s="230"/>
      <c r="I372" s="230"/>
      <c r="J372" s="230"/>
      <c r="K372" s="230"/>
      <c r="L372" s="231"/>
    </row>
    <row r="373" spans="1:12" x14ac:dyDescent="0.25">
      <c r="A373" s="229"/>
      <c r="B373" s="229"/>
      <c r="C373" s="229"/>
      <c r="D373" s="229"/>
      <c r="E373" s="229"/>
      <c r="F373" s="229"/>
      <c r="G373" s="229"/>
      <c r="H373" s="230"/>
      <c r="I373" s="230"/>
      <c r="J373" s="230"/>
      <c r="K373" s="230"/>
      <c r="L373" s="231"/>
    </row>
    <row r="374" spans="1:12" x14ac:dyDescent="0.25">
      <c r="A374" s="229"/>
      <c r="B374" s="229"/>
      <c r="C374" s="229"/>
      <c r="D374" s="229"/>
      <c r="E374" s="229"/>
      <c r="F374" s="229"/>
      <c r="G374" s="229"/>
      <c r="H374" s="230"/>
      <c r="I374" s="230"/>
      <c r="J374" s="230"/>
      <c r="K374" s="230"/>
      <c r="L374" s="231"/>
    </row>
    <row r="375" spans="1:12" x14ac:dyDescent="0.25">
      <c r="A375" s="229"/>
      <c r="B375" s="229"/>
      <c r="C375" s="229"/>
      <c r="D375" s="229"/>
      <c r="E375" s="229"/>
      <c r="F375" s="229"/>
      <c r="G375" s="229"/>
      <c r="H375" s="230"/>
      <c r="I375" s="230"/>
      <c r="J375" s="230"/>
      <c r="K375" s="230"/>
      <c r="L375" s="231"/>
    </row>
    <row r="376" spans="1:12" x14ac:dyDescent="0.25">
      <c r="A376" s="229"/>
      <c r="B376" s="229"/>
      <c r="C376" s="229"/>
      <c r="D376" s="229"/>
      <c r="E376" s="229"/>
      <c r="F376" s="229"/>
      <c r="G376" s="229"/>
      <c r="H376" s="230"/>
      <c r="I376" s="230"/>
      <c r="J376" s="230"/>
      <c r="K376" s="230"/>
      <c r="L376" s="231"/>
    </row>
    <row r="377" spans="1:12" x14ac:dyDescent="0.25">
      <c r="A377" s="229"/>
      <c r="B377" s="229"/>
      <c r="C377" s="229"/>
      <c r="D377" s="229"/>
      <c r="E377" s="229"/>
      <c r="F377" s="229"/>
      <c r="G377" s="229"/>
      <c r="H377" s="230"/>
      <c r="I377" s="230"/>
      <c r="J377" s="230"/>
      <c r="K377" s="230"/>
      <c r="L377" s="231"/>
    </row>
    <row r="378" spans="1:12" x14ac:dyDescent="0.25">
      <c r="A378" s="229"/>
      <c r="B378" s="229"/>
      <c r="C378" s="229"/>
      <c r="D378" s="229"/>
      <c r="E378" s="229"/>
      <c r="F378" s="229"/>
      <c r="G378" s="229"/>
      <c r="H378" s="230"/>
      <c r="I378" s="230"/>
      <c r="J378" s="230"/>
      <c r="K378" s="230"/>
      <c r="L378" s="231"/>
    </row>
    <row r="379" spans="1:12" x14ac:dyDescent="0.25">
      <c r="A379" s="229"/>
      <c r="B379" s="229"/>
      <c r="C379" s="229"/>
      <c r="D379" s="229"/>
      <c r="E379" s="229"/>
      <c r="F379" s="229"/>
      <c r="G379" s="229"/>
      <c r="H379" s="230"/>
      <c r="I379" s="230"/>
      <c r="J379" s="230"/>
      <c r="K379" s="230"/>
      <c r="L379" s="231"/>
    </row>
    <row r="380" spans="1:12" x14ac:dyDescent="0.25">
      <c r="A380" s="229"/>
      <c r="B380" s="229"/>
      <c r="C380" s="229"/>
      <c r="D380" s="229"/>
      <c r="E380" s="229"/>
      <c r="F380" s="229"/>
      <c r="G380" s="229"/>
      <c r="H380" s="230"/>
      <c r="I380" s="230"/>
      <c r="J380" s="230"/>
      <c r="K380" s="230"/>
      <c r="L380" s="231"/>
    </row>
    <row r="381" spans="1:12" x14ac:dyDescent="0.25">
      <c r="A381" s="229"/>
      <c r="B381" s="229"/>
      <c r="C381" s="229"/>
      <c r="D381" s="229"/>
      <c r="E381" s="229"/>
      <c r="F381" s="229"/>
      <c r="G381" s="229"/>
      <c r="H381" s="230"/>
      <c r="I381" s="230"/>
      <c r="J381" s="230"/>
      <c r="K381" s="230"/>
      <c r="L381" s="231"/>
    </row>
    <row r="382" spans="1:12" x14ac:dyDescent="0.25">
      <c r="A382" s="229"/>
      <c r="B382" s="229"/>
      <c r="C382" s="229"/>
      <c r="D382" s="229"/>
      <c r="E382" s="229"/>
      <c r="F382" s="229"/>
      <c r="G382" s="229"/>
      <c r="H382" s="230"/>
      <c r="I382" s="230"/>
      <c r="J382" s="230"/>
      <c r="K382" s="230"/>
      <c r="L382" s="231"/>
    </row>
    <row r="383" spans="1:12" x14ac:dyDescent="0.25">
      <c r="A383" s="229"/>
      <c r="B383" s="229"/>
      <c r="C383" s="229"/>
      <c r="D383" s="229"/>
      <c r="E383" s="229"/>
      <c r="F383" s="229"/>
      <c r="G383" s="229"/>
      <c r="H383" s="230"/>
      <c r="I383" s="230"/>
      <c r="J383" s="230"/>
      <c r="K383" s="230"/>
      <c r="L383" s="231"/>
    </row>
    <row r="384" spans="1:12" x14ac:dyDescent="0.25">
      <c r="A384" s="229"/>
      <c r="B384" s="229"/>
      <c r="C384" s="229"/>
      <c r="D384" s="229"/>
      <c r="E384" s="229"/>
      <c r="F384" s="229"/>
      <c r="G384" s="229"/>
      <c r="H384" s="230"/>
      <c r="I384" s="230"/>
      <c r="J384" s="230"/>
      <c r="K384" s="230"/>
      <c r="L384" s="231"/>
    </row>
    <row r="385" spans="1:12" x14ac:dyDescent="0.25">
      <c r="A385" s="229"/>
      <c r="B385" s="229"/>
      <c r="C385" s="229"/>
      <c r="D385" s="229"/>
      <c r="E385" s="229"/>
      <c r="F385" s="229"/>
      <c r="G385" s="229"/>
      <c r="H385" s="230"/>
      <c r="I385" s="230"/>
      <c r="J385" s="230"/>
      <c r="K385" s="230"/>
      <c r="L385" s="231"/>
    </row>
    <row r="386" spans="1:12" x14ac:dyDescent="0.25">
      <c r="A386" s="229"/>
      <c r="B386" s="229"/>
      <c r="C386" s="229"/>
      <c r="D386" s="229"/>
      <c r="E386" s="229"/>
      <c r="F386" s="229"/>
      <c r="G386" s="229"/>
      <c r="H386" s="230"/>
      <c r="I386" s="230"/>
      <c r="J386" s="230"/>
      <c r="K386" s="230"/>
      <c r="L386" s="231"/>
    </row>
    <row r="387" spans="1:12" x14ac:dyDescent="0.25">
      <c r="A387" s="229"/>
      <c r="B387" s="229"/>
      <c r="C387" s="229"/>
      <c r="D387" s="229"/>
      <c r="E387" s="229"/>
      <c r="F387" s="229"/>
      <c r="G387" s="229"/>
      <c r="H387" s="230"/>
      <c r="I387" s="230"/>
      <c r="J387" s="230"/>
      <c r="K387" s="230"/>
      <c r="L387" s="231"/>
    </row>
    <row r="388" spans="1:12" x14ac:dyDescent="0.25">
      <c r="A388" s="229"/>
      <c r="B388" s="229"/>
      <c r="C388" s="229"/>
      <c r="D388" s="229"/>
      <c r="E388" s="229"/>
      <c r="F388" s="229"/>
      <c r="G388" s="229"/>
      <c r="H388" s="230"/>
      <c r="I388" s="230"/>
      <c r="J388" s="230"/>
      <c r="K388" s="230"/>
      <c r="L388" s="231"/>
    </row>
    <row r="389" spans="1:12" x14ac:dyDescent="0.25">
      <c r="A389" s="229"/>
      <c r="B389" s="229"/>
      <c r="C389" s="229"/>
      <c r="D389" s="229"/>
      <c r="E389" s="229"/>
      <c r="F389" s="229"/>
      <c r="G389" s="229"/>
      <c r="H389" s="230"/>
      <c r="I389" s="230"/>
      <c r="J389" s="230"/>
      <c r="K389" s="230"/>
      <c r="L389" s="231"/>
    </row>
    <row r="390" spans="1:12" x14ac:dyDescent="0.25">
      <c r="A390" s="229"/>
      <c r="B390" s="229"/>
      <c r="C390" s="229"/>
      <c r="D390" s="229"/>
      <c r="E390" s="229"/>
      <c r="F390" s="229"/>
      <c r="G390" s="229"/>
      <c r="H390" s="230"/>
      <c r="I390" s="230"/>
      <c r="J390" s="230"/>
      <c r="K390" s="230"/>
      <c r="L390" s="231"/>
    </row>
    <row r="391" spans="1:12" x14ac:dyDescent="0.25">
      <c r="A391" s="229"/>
      <c r="B391" s="229"/>
      <c r="C391" s="229"/>
      <c r="D391" s="229"/>
      <c r="E391" s="229"/>
      <c r="F391" s="229"/>
      <c r="G391" s="229"/>
      <c r="H391" s="230"/>
      <c r="I391" s="230"/>
      <c r="J391" s="230"/>
      <c r="K391" s="230"/>
      <c r="L391" s="231"/>
    </row>
    <row r="392" spans="1:12" x14ac:dyDescent="0.25">
      <c r="A392" s="229"/>
      <c r="B392" s="229"/>
      <c r="C392" s="229"/>
      <c r="D392" s="229"/>
      <c r="E392" s="229"/>
      <c r="F392" s="229"/>
      <c r="G392" s="229"/>
      <c r="H392" s="230"/>
      <c r="I392" s="230"/>
      <c r="J392" s="230"/>
      <c r="K392" s="230"/>
      <c r="L392" s="231"/>
    </row>
    <row r="393" spans="1:12" x14ac:dyDescent="0.25">
      <c r="A393" s="229"/>
      <c r="B393" s="229"/>
      <c r="C393" s="229"/>
      <c r="D393" s="229"/>
      <c r="E393" s="229"/>
      <c r="F393" s="229"/>
      <c r="G393" s="229"/>
      <c r="H393" s="230"/>
      <c r="I393" s="230"/>
      <c r="J393" s="230"/>
      <c r="K393" s="230"/>
      <c r="L393" s="231"/>
    </row>
    <row r="394" spans="1:12" x14ac:dyDescent="0.25">
      <c r="A394" s="229"/>
      <c r="B394" s="229"/>
      <c r="C394" s="229"/>
      <c r="D394" s="229"/>
      <c r="E394" s="229"/>
      <c r="F394" s="229"/>
      <c r="G394" s="229"/>
      <c r="H394" s="230"/>
      <c r="I394" s="230"/>
      <c r="J394" s="230"/>
      <c r="K394" s="230"/>
      <c r="L394" s="231"/>
    </row>
    <row r="395" spans="1:12" x14ac:dyDescent="0.25">
      <c r="A395" s="229"/>
      <c r="B395" s="229"/>
      <c r="C395" s="229"/>
      <c r="D395" s="229"/>
      <c r="E395" s="229"/>
      <c r="F395" s="229"/>
      <c r="G395" s="229"/>
      <c r="H395" s="230"/>
      <c r="I395" s="230"/>
      <c r="J395" s="230"/>
      <c r="K395" s="230"/>
      <c r="L395" s="231"/>
    </row>
    <row r="396" spans="1:12" x14ac:dyDescent="0.25">
      <c r="A396" s="229"/>
      <c r="B396" s="229"/>
      <c r="C396" s="229"/>
      <c r="D396" s="229"/>
      <c r="E396" s="229"/>
      <c r="F396" s="229"/>
      <c r="G396" s="229"/>
      <c r="H396" s="230"/>
      <c r="I396" s="230"/>
      <c r="J396" s="230"/>
      <c r="K396" s="230"/>
      <c r="L396" s="231"/>
    </row>
    <row r="397" spans="1:12" x14ac:dyDescent="0.25">
      <c r="A397" s="229"/>
      <c r="B397" s="229"/>
      <c r="C397" s="229"/>
      <c r="D397" s="229"/>
      <c r="E397" s="229"/>
      <c r="F397" s="229"/>
      <c r="G397" s="229"/>
      <c r="H397" s="230"/>
      <c r="I397" s="230"/>
      <c r="J397" s="230"/>
      <c r="K397" s="230"/>
      <c r="L397" s="231"/>
    </row>
    <row r="398" spans="1:12" x14ac:dyDescent="0.25">
      <c r="A398" s="229"/>
      <c r="B398" s="229"/>
      <c r="C398" s="229"/>
      <c r="D398" s="229"/>
      <c r="E398" s="229"/>
      <c r="F398" s="229"/>
      <c r="G398" s="229"/>
      <c r="H398" s="230"/>
      <c r="I398" s="230"/>
      <c r="J398" s="230"/>
      <c r="K398" s="230"/>
      <c r="L398" s="231"/>
    </row>
    <row r="399" spans="1:12" x14ac:dyDescent="0.25">
      <c r="A399" s="229"/>
      <c r="B399" s="229"/>
      <c r="C399" s="229"/>
      <c r="D399" s="229"/>
      <c r="E399" s="229"/>
      <c r="F399" s="229"/>
      <c r="G399" s="229"/>
      <c r="H399" s="230"/>
      <c r="I399" s="230"/>
      <c r="J399" s="230"/>
      <c r="K399" s="230"/>
      <c r="L399" s="231"/>
    </row>
    <row r="400" spans="1:12" x14ac:dyDescent="0.25">
      <c r="A400" s="229"/>
      <c r="B400" s="229"/>
      <c r="C400" s="229"/>
      <c r="D400" s="229"/>
      <c r="E400" s="229"/>
      <c r="F400" s="229"/>
      <c r="G400" s="229"/>
      <c r="H400" s="230"/>
      <c r="I400" s="230"/>
      <c r="J400" s="230"/>
      <c r="K400" s="230"/>
      <c r="L400" s="231"/>
    </row>
    <row r="401" spans="1:12" x14ac:dyDescent="0.25">
      <c r="A401" s="229"/>
      <c r="B401" s="229"/>
      <c r="C401" s="229"/>
      <c r="D401" s="229"/>
      <c r="E401" s="229"/>
      <c r="F401" s="229"/>
      <c r="G401" s="229"/>
      <c r="H401" s="230"/>
      <c r="I401" s="230"/>
      <c r="J401" s="230"/>
      <c r="K401" s="230"/>
      <c r="L401" s="231"/>
    </row>
    <row r="402" spans="1:12" x14ac:dyDescent="0.25">
      <c r="A402" s="229"/>
      <c r="B402" s="229"/>
      <c r="C402" s="229"/>
      <c r="D402" s="229"/>
      <c r="E402" s="229"/>
      <c r="F402" s="229"/>
      <c r="G402" s="229"/>
      <c r="H402" s="230"/>
      <c r="I402" s="230"/>
      <c r="J402" s="230"/>
      <c r="K402" s="230"/>
      <c r="L402" s="231"/>
    </row>
    <row r="403" spans="1:12" x14ac:dyDescent="0.25">
      <c r="A403" s="229"/>
      <c r="B403" s="229"/>
      <c r="C403" s="229"/>
      <c r="D403" s="229"/>
      <c r="E403" s="229"/>
      <c r="F403" s="229"/>
      <c r="G403" s="229"/>
      <c r="H403" s="230"/>
      <c r="I403" s="230"/>
      <c r="J403" s="230"/>
      <c r="K403" s="230"/>
      <c r="L403" s="231"/>
    </row>
    <row r="404" spans="1:12" x14ac:dyDescent="0.25">
      <c r="A404" s="229"/>
      <c r="B404" s="229"/>
      <c r="C404" s="229"/>
      <c r="D404" s="229"/>
      <c r="E404" s="229"/>
      <c r="F404" s="229"/>
      <c r="G404" s="229"/>
      <c r="H404" s="230"/>
      <c r="I404" s="230"/>
      <c r="J404" s="230"/>
      <c r="K404" s="230"/>
      <c r="L404" s="231"/>
    </row>
    <row r="405" spans="1:12" x14ac:dyDescent="0.25">
      <c r="A405" s="229"/>
      <c r="B405" s="229"/>
      <c r="C405" s="229"/>
      <c r="D405" s="229"/>
      <c r="E405" s="229"/>
      <c r="F405" s="229"/>
      <c r="G405" s="229"/>
      <c r="H405" s="230"/>
      <c r="I405" s="230"/>
      <c r="J405" s="230"/>
      <c r="K405" s="230"/>
      <c r="L405" s="231"/>
    </row>
    <row r="406" spans="1:12" x14ac:dyDescent="0.25">
      <c r="A406" s="229"/>
      <c r="B406" s="229"/>
      <c r="C406" s="229"/>
      <c r="D406" s="229"/>
      <c r="E406" s="229"/>
      <c r="F406" s="229"/>
      <c r="G406" s="229"/>
      <c r="H406" s="230"/>
      <c r="I406" s="230"/>
      <c r="J406" s="230"/>
      <c r="K406" s="230"/>
      <c r="L406" s="231"/>
    </row>
    <row r="407" spans="1:12" x14ac:dyDescent="0.25">
      <c r="A407" s="229"/>
      <c r="B407" s="229"/>
      <c r="C407" s="229"/>
      <c r="D407" s="229"/>
      <c r="E407" s="229"/>
      <c r="F407" s="229"/>
      <c r="G407" s="229"/>
      <c r="H407" s="230"/>
      <c r="I407" s="230"/>
      <c r="J407" s="230"/>
      <c r="K407" s="230"/>
      <c r="L407" s="231"/>
    </row>
    <row r="408" spans="1:12" x14ac:dyDescent="0.25">
      <c r="A408" s="229"/>
      <c r="B408" s="229"/>
      <c r="C408" s="229"/>
      <c r="D408" s="229"/>
      <c r="E408" s="229"/>
      <c r="F408" s="229"/>
      <c r="G408" s="229"/>
      <c r="H408" s="230"/>
      <c r="I408" s="230"/>
      <c r="J408" s="230"/>
      <c r="K408" s="230"/>
      <c r="L408" s="231"/>
    </row>
    <row r="409" spans="1:12" x14ac:dyDescent="0.25">
      <c r="A409" s="229"/>
      <c r="B409" s="229"/>
      <c r="C409" s="229"/>
      <c r="D409" s="229"/>
      <c r="E409" s="229"/>
      <c r="F409" s="229"/>
      <c r="G409" s="229"/>
      <c r="H409" s="230"/>
      <c r="I409" s="230"/>
      <c r="J409" s="230"/>
      <c r="K409" s="230"/>
      <c r="L409" s="231"/>
    </row>
    <row r="410" spans="1:12" x14ac:dyDescent="0.25">
      <c r="A410" s="229"/>
      <c r="B410" s="229"/>
      <c r="C410" s="229"/>
      <c r="D410" s="229"/>
      <c r="E410" s="229"/>
      <c r="F410" s="229"/>
      <c r="G410" s="229"/>
      <c r="H410" s="230"/>
      <c r="I410" s="230"/>
      <c r="J410" s="230"/>
      <c r="K410" s="230"/>
      <c r="L410" s="231"/>
    </row>
    <row r="411" spans="1:12" x14ac:dyDescent="0.25">
      <c r="A411" s="229"/>
      <c r="B411" s="229"/>
      <c r="C411" s="229"/>
      <c r="D411" s="229"/>
      <c r="E411" s="229"/>
      <c r="F411" s="229"/>
      <c r="G411" s="229"/>
      <c r="H411" s="230"/>
      <c r="I411" s="230"/>
      <c r="J411" s="230"/>
      <c r="K411" s="230"/>
      <c r="L411" s="231"/>
    </row>
    <row r="412" spans="1:12" x14ac:dyDescent="0.25">
      <c r="A412" s="229"/>
      <c r="B412" s="229"/>
      <c r="C412" s="229"/>
      <c r="D412" s="229"/>
      <c r="E412" s="229"/>
      <c r="F412" s="229"/>
      <c r="G412" s="229"/>
      <c r="H412" s="230"/>
      <c r="I412" s="230"/>
      <c r="J412" s="230"/>
      <c r="K412" s="230"/>
      <c r="L412" s="231"/>
    </row>
    <row r="413" spans="1:12" x14ac:dyDescent="0.25">
      <c r="A413" s="229"/>
      <c r="B413" s="229"/>
      <c r="C413" s="229"/>
      <c r="D413" s="229"/>
      <c r="E413" s="229"/>
      <c r="F413" s="229"/>
      <c r="G413" s="229"/>
      <c r="H413" s="230"/>
      <c r="I413" s="230"/>
      <c r="J413" s="230"/>
      <c r="K413" s="230"/>
      <c r="L413" s="231"/>
    </row>
    <row r="414" spans="1:12" x14ac:dyDescent="0.25">
      <c r="A414" s="229"/>
      <c r="B414" s="229"/>
      <c r="C414" s="229"/>
      <c r="D414" s="229"/>
      <c r="E414" s="229"/>
      <c r="F414" s="229"/>
      <c r="G414" s="229"/>
      <c r="H414" s="230"/>
      <c r="I414" s="230"/>
      <c r="J414" s="230"/>
      <c r="K414" s="230"/>
      <c r="L414" s="231"/>
    </row>
    <row r="415" spans="1:12" x14ac:dyDescent="0.25">
      <c r="A415" s="229"/>
      <c r="B415" s="229"/>
      <c r="C415" s="229"/>
      <c r="D415" s="229"/>
      <c r="E415" s="229"/>
      <c r="F415" s="229"/>
      <c r="G415" s="229"/>
      <c r="H415" s="230"/>
      <c r="I415" s="230"/>
      <c r="J415" s="230"/>
      <c r="K415" s="230"/>
      <c r="L415" s="231"/>
    </row>
    <row r="416" spans="1:12" x14ac:dyDescent="0.25">
      <c r="A416" s="229"/>
      <c r="B416" s="229"/>
      <c r="C416" s="229"/>
      <c r="D416" s="229"/>
      <c r="E416" s="229"/>
      <c r="F416" s="229"/>
      <c r="G416" s="229"/>
      <c r="H416" s="230"/>
      <c r="I416" s="230"/>
      <c r="J416" s="230"/>
      <c r="K416" s="230"/>
      <c r="L416" s="231"/>
    </row>
    <row r="417" spans="1:12" x14ac:dyDescent="0.25">
      <c r="A417" s="229"/>
      <c r="B417" s="229"/>
      <c r="C417" s="229"/>
      <c r="D417" s="229"/>
      <c r="E417" s="229"/>
      <c r="F417" s="229"/>
      <c r="G417" s="229"/>
      <c r="H417" s="230"/>
      <c r="I417" s="230"/>
      <c r="J417" s="230"/>
      <c r="K417" s="230"/>
      <c r="L417" s="231"/>
    </row>
    <row r="418" spans="1:12" x14ac:dyDescent="0.25">
      <c r="A418" s="229"/>
      <c r="B418" s="229"/>
      <c r="C418" s="229"/>
      <c r="D418" s="229"/>
      <c r="E418" s="229"/>
      <c r="F418" s="229"/>
      <c r="G418" s="229"/>
      <c r="H418" s="230"/>
      <c r="I418" s="230"/>
      <c r="J418" s="230"/>
      <c r="K418" s="230"/>
      <c r="L418" s="231"/>
    </row>
    <row r="419" spans="1:12" x14ac:dyDescent="0.25">
      <c r="A419" s="229"/>
      <c r="B419" s="229"/>
      <c r="C419" s="229"/>
      <c r="D419" s="229"/>
      <c r="E419" s="229"/>
      <c r="F419" s="229"/>
      <c r="G419" s="229"/>
      <c r="H419" s="230"/>
      <c r="I419" s="230"/>
      <c r="J419" s="230"/>
      <c r="K419" s="230"/>
      <c r="L419" s="231"/>
    </row>
    <row r="420" spans="1:12" x14ac:dyDescent="0.25">
      <c r="A420" s="229"/>
      <c r="B420" s="229"/>
      <c r="C420" s="229"/>
      <c r="D420" s="229"/>
      <c r="E420" s="229"/>
      <c r="F420" s="229"/>
      <c r="G420" s="229"/>
      <c r="H420" s="230"/>
      <c r="I420" s="230"/>
      <c r="J420" s="230"/>
      <c r="K420" s="230"/>
      <c r="L420" s="231"/>
    </row>
    <row r="421" spans="1:12" x14ac:dyDescent="0.25">
      <c r="A421" s="229"/>
      <c r="B421" s="229"/>
      <c r="C421" s="229"/>
      <c r="D421" s="229"/>
      <c r="E421" s="229"/>
      <c r="F421" s="229"/>
      <c r="G421" s="229"/>
      <c r="H421" s="230"/>
      <c r="I421" s="230"/>
      <c r="J421" s="230"/>
      <c r="K421" s="230"/>
      <c r="L421" s="231"/>
    </row>
    <row r="422" spans="1:12" x14ac:dyDescent="0.25">
      <c r="A422" s="229"/>
      <c r="B422" s="229"/>
      <c r="C422" s="229"/>
      <c r="D422" s="229"/>
      <c r="E422" s="229"/>
      <c r="F422" s="229"/>
      <c r="G422" s="229"/>
      <c r="H422" s="230"/>
      <c r="I422" s="230"/>
      <c r="J422" s="230"/>
      <c r="K422" s="230"/>
      <c r="L422" s="231"/>
    </row>
    <row r="423" spans="1:12" x14ac:dyDescent="0.25">
      <c r="A423" s="229"/>
      <c r="B423" s="229"/>
      <c r="C423" s="229"/>
      <c r="D423" s="229"/>
      <c r="E423" s="229"/>
      <c r="F423" s="229"/>
      <c r="G423" s="229"/>
      <c r="H423" s="230"/>
      <c r="I423" s="230"/>
      <c r="J423" s="230"/>
      <c r="K423" s="230"/>
      <c r="L423" s="231"/>
    </row>
    <row r="424" spans="1:12" x14ac:dyDescent="0.25">
      <c r="A424" s="229"/>
      <c r="B424" s="229"/>
      <c r="C424" s="229"/>
      <c r="D424" s="229"/>
      <c r="E424" s="229"/>
      <c r="F424" s="229"/>
      <c r="G424" s="229"/>
      <c r="H424" s="230"/>
      <c r="I424" s="230"/>
      <c r="J424" s="230"/>
      <c r="K424" s="230"/>
      <c r="L424" s="231"/>
    </row>
    <row r="425" spans="1:12" x14ac:dyDescent="0.25">
      <c r="A425" s="229"/>
      <c r="B425" s="229"/>
      <c r="C425" s="229"/>
      <c r="D425" s="229"/>
      <c r="E425" s="229"/>
      <c r="F425" s="229"/>
      <c r="G425" s="229"/>
      <c r="H425" s="230"/>
      <c r="I425" s="230"/>
      <c r="J425" s="230"/>
      <c r="K425" s="230"/>
      <c r="L425" s="231"/>
    </row>
    <row r="426" spans="1:12" x14ac:dyDescent="0.25">
      <c r="A426" s="229"/>
      <c r="B426" s="229"/>
      <c r="C426" s="229"/>
      <c r="D426" s="229"/>
      <c r="E426" s="229"/>
      <c r="F426" s="229"/>
      <c r="G426" s="229"/>
      <c r="H426" s="230"/>
      <c r="I426" s="230"/>
      <c r="J426" s="230"/>
      <c r="K426" s="230"/>
      <c r="L426" s="231"/>
    </row>
    <row r="427" spans="1:12" x14ac:dyDescent="0.25">
      <c r="A427" s="229"/>
      <c r="B427" s="229"/>
      <c r="C427" s="229"/>
      <c r="D427" s="229"/>
      <c r="E427" s="229"/>
      <c r="F427" s="229"/>
      <c r="G427" s="229"/>
      <c r="H427" s="230"/>
      <c r="I427" s="230"/>
      <c r="J427" s="230"/>
      <c r="K427" s="230"/>
      <c r="L427" s="231"/>
    </row>
    <row r="428" spans="1:12" x14ac:dyDescent="0.25">
      <c r="A428" s="229"/>
      <c r="B428" s="229"/>
      <c r="C428" s="229"/>
      <c r="D428" s="229"/>
      <c r="E428" s="229"/>
      <c r="F428" s="229"/>
      <c r="G428" s="229"/>
      <c r="H428" s="230"/>
      <c r="I428" s="230"/>
      <c r="J428" s="230"/>
      <c r="K428" s="230"/>
      <c r="L428" s="231"/>
    </row>
    <row r="429" spans="1:12" x14ac:dyDescent="0.25">
      <c r="A429" s="229"/>
      <c r="B429" s="229"/>
      <c r="C429" s="229"/>
      <c r="D429" s="229"/>
      <c r="E429" s="229"/>
      <c r="F429" s="229"/>
      <c r="G429" s="229"/>
      <c r="H429" s="230"/>
      <c r="I429" s="230"/>
      <c r="J429" s="230"/>
      <c r="K429" s="230"/>
      <c r="L429" s="231"/>
    </row>
    <row r="430" spans="1:12" x14ac:dyDescent="0.25">
      <c r="A430" s="229"/>
      <c r="B430" s="229"/>
      <c r="C430" s="229"/>
      <c r="D430" s="229"/>
      <c r="E430" s="229"/>
      <c r="F430" s="229"/>
      <c r="G430" s="229"/>
      <c r="H430" s="230"/>
      <c r="I430" s="230"/>
      <c r="J430" s="230"/>
      <c r="K430" s="230"/>
      <c r="L430" s="231"/>
    </row>
    <row r="431" spans="1:12" x14ac:dyDescent="0.25">
      <c r="A431" s="229"/>
      <c r="B431" s="229"/>
      <c r="C431" s="229"/>
      <c r="D431" s="229"/>
      <c r="E431" s="229"/>
      <c r="F431" s="229"/>
      <c r="G431" s="229"/>
      <c r="H431" s="230"/>
      <c r="I431" s="230"/>
      <c r="J431" s="230"/>
      <c r="K431" s="230"/>
      <c r="L431" s="231"/>
    </row>
  </sheetData>
  <autoFilter ref="A3:Z3"/>
  <dataConsolidate/>
  <customSheetViews>
    <customSheetView guid="{E5A66847-4128-474A-BF72-991F91DA1EB4}" scale="85" showGridLines="0" fitToPage="1" showAutoFilter="1" topLeftCell="A193">
      <selection activeCell="F207" sqref="F207"/>
      <pageMargins left="0.7" right="0.7" top="0.75" bottom="0.75" header="0.3" footer="0.3"/>
      <printOptions gridLines="1"/>
      <pageSetup paperSize="9" scale="23" orientation="portrait" horizontalDpi="4294967292" verticalDpi="4294967292"/>
      <headerFooter>
        <oddHeader>&amp;R&amp;8&amp;F</oddHeader>
        <oddFooter>&amp;L&amp;8Programmation&amp;C&amp;"Arial,Gras"&amp;8Régie des Bâtiments&amp;R&amp;8 &amp;A • &amp;P</oddFooter>
      </headerFooter>
      <autoFilter ref="A3:Z3"/>
    </customSheetView>
  </customSheetViews>
  <mergeCells count="2">
    <mergeCell ref="L179:L181"/>
    <mergeCell ref="A1:L1"/>
  </mergeCells>
  <conditionalFormatting sqref="J5:J15 J18:J214">
    <cfRule type="expression" dxfId="2" priority="3">
      <formula>IF(J5="CSA",TRUE())</formula>
    </cfRule>
  </conditionalFormatting>
  <conditionalFormatting sqref="J16">
    <cfRule type="expression" dxfId="1" priority="2">
      <formula>IF(J16="CSA",TRUE())</formula>
    </cfRule>
  </conditionalFormatting>
  <conditionalFormatting sqref="J17">
    <cfRule type="expression" dxfId="0" priority="1">
      <formula>IF(J17="CSA",TRUE())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34" orientation="portrait" r:id="rId1"/>
  <headerFooter>
    <oddHeader>&amp;R&amp;8&amp;F</oddHeader>
    <oddFooter>&amp;L&amp;8Programmation&amp;C&amp;"Arial,Gras"&amp;8Régie des Bâtiments&amp;R&amp;8 &amp;A •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49"/>
  <sheetViews>
    <sheetView zoomScale="75" zoomScaleNormal="75" zoomScalePageLayoutView="75" workbookViewId="0">
      <selection activeCell="C6" sqref="C6"/>
    </sheetView>
  </sheetViews>
  <sheetFormatPr defaultColWidth="9" defaultRowHeight="12.75" x14ac:dyDescent="0.2"/>
  <cols>
    <col min="1" max="1" width="3.42578125" customWidth="1"/>
    <col min="2" max="2" width="20.140625" customWidth="1"/>
    <col min="5" max="5" width="11" customWidth="1"/>
  </cols>
  <sheetData>
    <row r="1" spans="1:23" s="293" customFormat="1" ht="19.5" x14ac:dyDescent="0.3">
      <c r="A1" s="466" t="str">
        <f>UPPER("établissement du Programme des Besoins • Données et explication")</f>
        <v>ÉTABLISSEMENT DU PROGRAMME DES BESOINS • DONNÉES ET EXPLICATION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</row>
    <row r="2" spans="1:23" ht="13.5" thickBot="1" x14ac:dyDescent="0.25"/>
    <row r="3" spans="1:23" s="67" customFormat="1" ht="15.75" x14ac:dyDescent="0.3">
      <c r="A3" s="66">
        <v>1</v>
      </c>
      <c r="B3" s="67" t="s">
        <v>112</v>
      </c>
      <c r="J3" s="68"/>
      <c r="K3" s="68"/>
    </row>
    <row r="5" spans="1:23" ht="18" x14ac:dyDescent="0.35">
      <c r="B5" t="s">
        <v>122</v>
      </c>
      <c r="C5" s="146">
        <v>13.5</v>
      </c>
      <c r="D5" t="s">
        <v>16</v>
      </c>
    </row>
    <row r="6" spans="1:23" ht="13.5" thickBot="1" x14ac:dyDescent="0.25"/>
    <row r="7" spans="1:23" s="67" customFormat="1" x14ac:dyDescent="0.2">
      <c r="A7" s="66">
        <v>2</v>
      </c>
      <c r="B7" s="67" t="s">
        <v>113</v>
      </c>
      <c r="J7" s="68"/>
      <c r="K7" s="68"/>
    </row>
    <row r="9" spans="1:23" x14ac:dyDescent="0.2">
      <c r="B9" t="s">
        <v>22</v>
      </c>
      <c r="C9" s="146" t="s">
        <v>21</v>
      </c>
      <c r="D9" t="s">
        <v>114</v>
      </c>
    </row>
    <row r="10" spans="1:23" x14ac:dyDescent="0.2">
      <c r="C10" s="146" t="s">
        <v>23</v>
      </c>
      <c r="D10" t="s">
        <v>115</v>
      </c>
    </row>
    <row r="11" spans="1:23" x14ac:dyDescent="0.2">
      <c r="C11" s="146" t="s">
        <v>24</v>
      </c>
      <c r="D11" t="s">
        <v>117</v>
      </c>
    </row>
    <row r="12" spans="1:23" x14ac:dyDescent="0.2">
      <c r="C12" s="146" t="s">
        <v>25</v>
      </c>
      <c r="D12" t="s">
        <v>116</v>
      </c>
    </row>
    <row r="13" spans="1:23" ht="13.5" thickBot="1" x14ac:dyDescent="0.25"/>
    <row r="14" spans="1:23" s="67" customFormat="1" x14ac:dyDescent="0.2">
      <c r="A14" s="66">
        <v>3</v>
      </c>
      <c r="B14" s="67" t="s">
        <v>118</v>
      </c>
      <c r="J14" s="68"/>
      <c r="K14" s="68"/>
    </row>
    <row r="16" spans="1:23" x14ac:dyDescent="0.2">
      <c r="B16" t="s">
        <v>94</v>
      </c>
      <c r="C16" s="146" t="s">
        <v>17</v>
      </c>
      <c r="D16" t="s">
        <v>119</v>
      </c>
      <c r="F16" s="145" t="s">
        <v>19</v>
      </c>
    </row>
    <row r="17" spans="1:11" x14ac:dyDescent="0.2">
      <c r="C17" s="146" t="s">
        <v>18</v>
      </c>
      <c r="D17" t="s">
        <v>120</v>
      </c>
      <c r="F17" s="145" t="s">
        <v>599</v>
      </c>
    </row>
    <row r="18" spans="1:11" x14ac:dyDescent="0.2">
      <c r="C18" s="146" t="s">
        <v>90</v>
      </c>
      <c r="D18" t="s">
        <v>121</v>
      </c>
      <c r="F18" t="s">
        <v>600</v>
      </c>
    </row>
    <row r="19" spans="1:11" ht="13.5" thickBot="1" x14ac:dyDescent="0.25"/>
    <row r="20" spans="1:11" s="67" customFormat="1" x14ac:dyDescent="0.2">
      <c r="A20" s="66">
        <v>4</v>
      </c>
      <c r="B20" s="67" t="s">
        <v>678</v>
      </c>
      <c r="J20" s="68"/>
      <c r="K20" s="68"/>
    </row>
    <row r="21" spans="1:11" x14ac:dyDescent="0.2">
      <c r="B21" t="s">
        <v>675</v>
      </c>
      <c r="C21" s="354">
        <v>8</v>
      </c>
      <c r="D21" t="s">
        <v>41</v>
      </c>
    </row>
    <row r="22" spans="1:11" x14ac:dyDescent="0.2">
      <c r="B22" t="s">
        <v>676</v>
      </c>
      <c r="C22" s="354">
        <v>4</v>
      </c>
      <c r="D22" t="s">
        <v>41</v>
      </c>
    </row>
    <row r="23" spans="1:11" x14ac:dyDescent="0.2">
      <c r="B23" t="s">
        <v>677</v>
      </c>
      <c r="C23" s="354">
        <v>2</v>
      </c>
      <c r="D23" t="s">
        <v>41</v>
      </c>
    </row>
    <row r="24" spans="1:11" ht="13.5" thickBot="1" x14ac:dyDescent="0.25"/>
    <row r="25" spans="1:11" s="67" customFormat="1" x14ac:dyDescent="0.2">
      <c r="A25" s="66">
        <v>5</v>
      </c>
      <c r="B25" s="67" t="str">
        <f>UPPER("IMPOSITIONS locales et régionales PARKINGS")</f>
        <v>IMPOSITIONS LOCALES ET RÉGIONALES PARKINGS</v>
      </c>
      <c r="J25" s="68"/>
      <c r="K25" s="68"/>
    </row>
    <row r="27" spans="1:11" x14ac:dyDescent="0.2">
      <c r="B27" t="s">
        <v>683</v>
      </c>
      <c r="C27">
        <v>200</v>
      </c>
      <c r="D27" t="s">
        <v>684</v>
      </c>
    </row>
    <row r="28" spans="1:11" x14ac:dyDescent="0.2">
      <c r="C28">
        <v>100</v>
      </c>
      <c r="D28" t="s">
        <v>684</v>
      </c>
    </row>
    <row r="29" spans="1:11" x14ac:dyDescent="0.2">
      <c r="C29">
        <v>60</v>
      </c>
      <c r="D29" t="s">
        <v>684</v>
      </c>
    </row>
    <row r="30" spans="1:11" x14ac:dyDescent="0.2">
      <c r="C30" t="s">
        <v>726</v>
      </c>
    </row>
    <row r="31" spans="1:11" ht="13.5" thickBot="1" x14ac:dyDescent="0.25"/>
    <row r="32" spans="1:11" s="67" customFormat="1" x14ac:dyDescent="0.2">
      <c r="A32" s="66">
        <v>6</v>
      </c>
      <c r="B32" s="67" t="s">
        <v>690</v>
      </c>
      <c r="J32" s="68"/>
      <c r="K32" s="68"/>
    </row>
    <row r="34" spans="2:6" x14ac:dyDescent="0.2">
      <c r="B34" t="s">
        <v>691</v>
      </c>
      <c r="C34" s="353">
        <v>50</v>
      </c>
      <c r="D34" s="366" t="s">
        <v>695</v>
      </c>
      <c r="F34" t="s">
        <v>693</v>
      </c>
    </row>
    <row r="35" spans="2:6" x14ac:dyDescent="0.2">
      <c r="B35" t="s">
        <v>692</v>
      </c>
      <c r="C35" s="353">
        <v>50</v>
      </c>
      <c r="D35" s="366" t="s">
        <v>695</v>
      </c>
      <c r="F35" t="s">
        <v>694</v>
      </c>
    </row>
    <row r="36" spans="2:6" x14ac:dyDescent="0.2">
      <c r="B36" s="367" t="s">
        <v>697</v>
      </c>
      <c r="C36">
        <v>2</v>
      </c>
      <c r="D36" t="s">
        <v>696</v>
      </c>
    </row>
    <row r="37" spans="2:6" x14ac:dyDescent="0.2">
      <c r="B37" t="s">
        <v>698</v>
      </c>
      <c r="C37" s="368">
        <v>0.06</v>
      </c>
      <c r="D37" t="s">
        <v>699</v>
      </c>
      <c r="F37" t="s">
        <v>700</v>
      </c>
    </row>
    <row r="38" spans="2:6" x14ac:dyDescent="0.2">
      <c r="C38">
        <v>1</v>
      </c>
      <c r="D38" t="s">
        <v>701</v>
      </c>
    </row>
    <row r="39" spans="2:6" x14ac:dyDescent="0.2">
      <c r="C39" s="353">
        <v>50</v>
      </c>
      <c r="D39" s="366" t="s">
        <v>702</v>
      </c>
    </row>
    <row r="41" spans="2:6" x14ac:dyDescent="0.2">
      <c r="B41" t="s">
        <v>703</v>
      </c>
    </row>
    <row r="42" spans="2:6" x14ac:dyDescent="0.2">
      <c r="B42" t="s">
        <v>705</v>
      </c>
      <c r="E42" t="s">
        <v>706</v>
      </c>
    </row>
    <row r="43" spans="2:6" x14ac:dyDescent="0.2">
      <c r="C43" s="344" t="s">
        <v>708</v>
      </c>
      <c r="D43" s="344" t="s">
        <v>29</v>
      </c>
      <c r="E43" s="344" t="s">
        <v>709</v>
      </c>
    </row>
    <row r="44" spans="2:6" x14ac:dyDescent="0.2">
      <c r="C44" s="344">
        <v>1</v>
      </c>
      <c r="D44" s="344">
        <v>32</v>
      </c>
      <c r="E44" s="344">
        <v>2</v>
      </c>
    </row>
    <row r="45" spans="2:6" x14ac:dyDescent="0.2">
      <c r="C45" s="344">
        <v>33</v>
      </c>
      <c r="D45" s="344">
        <v>50</v>
      </c>
      <c r="E45" s="344">
        <v>3</v>
      </c>
    </row>
    <row r="46" spans="2:6" x14ac:dyDescent="0.2">
      <c r="C46" s="344">
        <v>51</v>
      </c>
      <c r="D46" s="344">
        <v>66</v>
      </c>
      <c r="E46" s="344">
        <v>4</v>
      </c>
    </row>
    <row r="47" spans="2:6" x14ac:dyDescent="0.2">
      <c r="C47" s="344">
        <v>67</v>
      </c>
      <c r="D47" s="344">
        <v>83</v>
      </c>
      <c r="E47" s="344">
        <v>5</v>
      </c>
    </row>
    <row r="48" spans="2:6" x14ac:dyDescent="0.2">
      <c r="C48" s="344">
        <v>84</v>
      </c>
      <c r="D48" s="344">
        <v>100</v>
      </c>
      <c r="E48" s="344">
        <v>6</v>
      </c>
    </row>
    <row r="49" spans="3:6" x14ac:dyDescent="0.2">
      <c r="C49" s="344" t="s">
        <v>704</v>
      </c>
      <c r="E49" s="344">
        <v>1</v>
      </c>
      <c r="F49" t="s">
        <v>707</v>
      </c>
    </row>
  </sheetData>
  <customSheetViews>
    <customSheetView guid="{E5A66847-4128-474A-BF72-991F91DA1EB4}" scale="75">
      <selection activeCell="C12" sqref="C12"/>
      <pageMargins left="0.7" right="0.7" top="0.75" bottom="0.75" header="0.3" footer="0.3"/>
      <headerFooter>
        <oddHeader>&amp;R&amp;8&amp;F</oddHeader>
        <oddFooter>&amp;L&amp;8Programmation&amp;C&amp;"Arial,Gras"&amp;8Régie des Bâtiments&amp;R&amp;8 &amp;A • &amp;P</oddFooter>
      </headerFooter>
    </customSheetView>
  </customSheetViews>
  <mergeCells count="1">
    <mergeCell ref="A1:W1"/>
  </mergeCells>
  <phoneticPr fontId="0" type="noConversion"/>
  <pageMargins left="0.70866141732283472" right="0.70866141732283472" top="0.74803149606299213" bottom="0.74803149606299213" header="0.31496062992125984" footer="0.31496062992125984"/>
  <headerFooter>
    <oddHeader>&amp;R&amp;8&amp;F</oddHeader>
    <oddFooter>&amp;L&amp;8Programmation&amp;C&amp;"Arial,Gras"&amp;8Régie des Bâtiments&amp;R&amp;8 &amp;A •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CD601430C7FB4A9D91DC6297594F08" ma:contentTypeVersion="0" ma:contentTypeDescription="Create a new document." ma:contentTypeScope="" ma:versionID="ead7187a96f0046c044cae7a56eb56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FEE61D-F8A1-4409-ABE8-9663E186F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A55A11-8CFE-47A1-9210-3FDD62F31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935F6E-70CA-40C6-9447-E50547A4A9C9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18</vt:i4>
      </vt:variant>
    </vt:vector>
  </HeadingPairs>
  <TitlesOfParts>
    <vt:vector size="26" baseType="lpstr">
      <vt:lpstr>Partie 1 • Global</vt:lpstr>
      <vt:lpstr>Partie 2 • Souhaits</vt:lpstr>
      <vt:lpstr>Partie 3 • M.implantation</vt:lpstr>
      <vt:lpstr>Partie 4 • µ.implantation</vt:lpstr>
      <vt:lpstr>Partie 5  • parties inchangées</vt:lpstr>
      <vt:lpstr>Partie 4 • detail per AD of SD</vt:lpstr>
      <vt:lpstr>Typologie détaillée</vt:lpstr>
      <vt:lpstr>Données et explications</vt:lpstr>
      <vt:lpstr>'Partie 1 • Global'!Afdrukbereik</vt:lpstr>
      <vt:lpstr>'Partie 2 • Souhaits'!Afdrukbereik</vt:lpstr>
      <vt:lpstr>'Partie 3 • M.implantation'!Afdrukbereik</vt:lpstr>
      <vt:lpstr>'Partie 4 • µ.implantation'!Afdrukbereik</vt:lpstr>
      <vt:lpstr>'Typologie détaillée'!Afdrukbereik</vt:lpstr>
      <vt:lpstr>'Partie 1 • Global'!Afdruktitels</vt:lpstr>
      <vt:lpstr>'Partie 2 • Souhaits'!Afdruktitels</vt:lpstr>
      <vt:lpstr>'Partie 3 • M.implantation'!Afdruktitels</vt:lpstr>
      <vt:lpstr>'Partie 4 • µ.implantation'!Afdruktitels</vt:lpstr>
      <vt:lpstr>'Typologie détaillée'!Afdruktitels</vt:lpstr>
      <vt:lpstr>Catégorie</vt:lpstr>
      <vt:lpstr>CSA</vt:lpstr>
      <vt:lpstr>Eclairement</vt:lpstr>
      <vt:lpstr>Local_type_code_det</vt:lpstr>
      <vt:lpstr>OA_LSA</vt:lpstr>
      <vt:lpstr>proxi_hub</vt:lpstr>
      <vt:lpstr>Surf_ETPcorr</vt:lpstr>
      <vt:lpstr>surface_plancher_parking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Magnan</dc:creator>
  <cp:lastModifiedBy>LENAERTS Mathias</cp:lastModifiedBy>
  <cp:lastPrinted>2019-07-02T14:59:47Z</cp:lastPrinted>
  <dcterms:created xsi:type="dcterms:W3CDTF">2010-08-31T07:50:04Z</dcterms:created>
  <dcterms:modified xsi:type="dcterms:W3CDTF">2019-07-04T12:01:42Z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0x01010046CD601430C7FB4A9D91DC6297594F08</vt:lpwstr>
  </property>
</Properties>
</file>