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Back up\11. Verhuis uit NG II\02. Behoeftenprogramma\FOD Economie\"/>
    </mc:Choice>
  </mc:AlternateContent>
  <bookViews>
    <workbookView xWindow="0" yWindow="0" windowWidth="19200" windowHeight="7620" activeTab="1"/>
  </bookViews>
  <sheets>
    <sheet name="Blad1" sheetId="1" r:id="rId1"/>
    <sheet name="Jaarverslag 2019" sheetId="2" r:id="rId2"/>
  </sheets>
  <externalReferences>
    <externalReference r:id="rId3"/>
  </externalReferences>
  <definedNames>
    <definedName name="Typologie">'[1]Données et explications'!#REF!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2" l="1"/>
  <c r="B15" i="2"/>
  <c r="C15" i="2"/>
  <c r="K22" i="1" l="1"/>
  <c r="K23" i="1" s="1"/>
  <c r="L22" i="1"/>
  <c r="D7" i="1" l="1"/>
  <c r="D8" i="1"/>
  <c r="D9" i="1"/>
  <c r="D10" i="1"/>
  <c r="D11" i="1"/>
  <c r="D12" i="1"/>
  <c r="D13" i="1"/>
  <c r="D14" i="1"/>
  <c r="D15" i="1"/>
  <c r="D16" i="1"/>
  <c r="D17" i="1"/>
  <c r="D6" i="1"/>
  <c r="T6" i="1" l="1"/>
  <c r="L44" i="1" l="1"/>
  <c r="H44" i="1"/>
  <c r="N44" i="1" s="1"/>
  <c r="H45" i="1"/>
  <c r="N45" i="1" s="1"/>
  <c r="H46" i="1"/>
  <c r="G46" i="1" s="1"/>
  <c r="H47" i="1"/>
  <c r="K47" i="1" s="1"/>
  <c r="H48" i="1"/>
  <c r="N48" i="1" s="1"/>
  <c r="H43" i="1"/>
  <c r="N43" i="1" s="1"/>
  <c r="G48" i="1"/>
  <c r="G47" i="1"/>
  <c r="G44" i="1"/>
  <c r="G43" i="1"/>
  <c r="K43" i="1" l="1"/>
  <c r="K45" i="1"/>
  <c r="L46" i="1"/>
  <c r="K48" i="1"/>
  <c r="K44" i="1"/>
  <c r="N46" i="1"/>
  <c r="L43" i="1"/>
  <c r="L45" i="1"/>
  <c r="N47" i="1"/>
  <c r="G45" i="1"/>
  <c r="K46" i="1"/>
  <c r="N31" i="1" l="1"/>
  <c r="G7" i="1" l="1"/>
  <c r="G8" i="1"/>
  <c r="G9" i="1"/>
  <c r="G10" i="1"/>
  <c r="G11" i="1"/>
  <c r="G12" i="1"/>
  <c r="G13" i="1"/>
  <c r="G14" i="1"/>
  <c r="G15" i="1"/>
  <c r="G16" i="1"/>
  <c r="G17" i="1"/>
  <c r="G6" i="1"/>
  <c r="B18" i="1"/>
  <c r="C14" i="1"/>
  <c r="C12" i="1"/>
  <c r="C11" i="1"/>
  <c r="C10" i="1"/>
  <c r="C8" i="1"/>
  <c r="G18" i="1" l="1"/>
  <c r="C18" i="1"/>
  <c r="H12" i="1"/>
  <c r="H7" i="1"/>
  <c r="H8" i="1"/>
  <c r="H9" i="1"/>
  <c r="H10" i="1"/>
  <c r="H11" i="1"/>
  <c r="H13" i="1"/>
  <c r="H14" i="1"/>
  <c r="H15" i="1"/>
  <c r="H16" i="1"/>
  <c r="H17" i="1"/>
  <c r="H6" i="1"/>
  <c r="E18" i="1"/>
  <c r="F18" i="1"/>
  <c r="Y18" i="1" l="1"/>
  <c r="I18" i="1"/>
  <c r="J18" i="1"/>
  <c r="N18" i="1"/>
  <c r="N32" i="1" s="1"/>
  <c r="O18" i="1"/>
  <c r="S18" i="1"/>
  <c r="H18" i="1"/>
  <c r="K7" i="1"/>
  <c r="K8" i="1"/>
  <c r="K9" i="1"/>
  <c r="K10" i="1"/>
  <c r="K11" i="1"/>
  <c r="K12" i="1"/>
  <c r="K13" i="1"/>
  <c r="K14" i="1"/>
  <c r="K15" i="1"/>
  <c r="K16" i="1"/>
  <c r="K17" i="1"/>
  <c r="K6" i="1"/>
  <c r="L17" i="1" l="1"/>
  <c r="V17" i="1" s="1"/>
  <c r="M17" i="1"/>
  <c r="L13" i="1"/>
  <c r="M13" i="1"/>
  <c r="L9" i="1"/>
  <c r="X9" i="1" s="1"/>
  <c r="M9" i="1"/>
  <c r="L16" i="1"/>
  <c r="M16" i="1"/>
  <c r="L12" i="1"/>
  <c r="P12" i="1" s="1"/>
  <c r="M12" i="1"/>
  <c r="L8" i="1"/>
  <c r="M8" i="1"/>
  <c r="L15" i="1"/>
  <c r="V15" i="1" s="1"/>
  <c r="M15" i="1"/>
  <c r="L11" i="1"/>
  <c r="M11" i="1"/>
  <c r="L7" i="1"/>
  <c r="V7" i="1" s="1"/>
  <c r="M7" i="1"/>
  <c r="L6" i="1"/>
  <c r="M6" i="1"/>
  <c r="L14" i="1"/>
  <c r="V14" i="1" s="1"/>
  <c r="M14" i="1"/>
  <c r="L10" i="1"/>
  <c r="M10" i="1"/>
  <c r="R10" i="1"/>
  <c r="V10" i="1"/>
  <c r="R6" i="1"/>
  <c r="X6" i="1"/>
  <c r="V6" i="1"/>
  <c r="R13" i="1"/>
  <c r="V13" i="1"/>
  <c r="R8" i="1"/>
  <c r="V8" i="1"/>
  <c r="R17" i="1"/>
  <c r="R16" i="1"/>
  <c r="V16" i="1"/>
  <c r="V12" i="1"/>
  <c r="R11" i="1"/>
  <c r="V11" i="1"/>
  <c r="R7" i="1"/>
  <c r="K18" i="1"/>
  <c r="X10" i="1"/>
  <c r="T10" i="1"/>
  <c r="P10" i="1"/>
  <c r="X15" i="1"/>
  <c r="T11" i="1"/>
  <c r="P11" i="1"/>
  <c r="X11" i="1"/>
  <c r="T7" i="1"/>
  <c r="X17" i="1"/>
  <c r="X13" i="1"/>
  <c r="T13" i="1"/>
  <c r="P13" i="1"/>
  <c r="X16" i="1"/>
  <c r="T16" i="1"/>
  <c r="P16" i="1"/>
  <c r="X8" i="1"/>
  <c r="T8" i="1"/>
  <c r="P8" i="1"/>
  <c r="T12" i="1" l="1"/>
  <c r="P15" i="1"/>
  <c r="X12" i="1"/>
  <c r="P9" i="1"/>
  <c r="T17" i="1"/>
  <c r="AA17" i="1" s="1"/>
  <c r="P14" i="1"/>
  <c r="R15" i="1"/>
  <c r="V9" i="1"/>
  <c r="U14" i="1"/>
  <c r="Q14" i="1"/>
  <c r="Q7" i="1"/>
  <c r="U7" i="1"/>
  <c r="Q15" i="1"/>
  <c r="U15" i="1"/>
  <c r="U12" i="1"/>
  <c r="Q12" i="1"/>
  <c r="U9" i="1"/>
  <c r="Q9" i="1"/>
  <c r="U17" i="1"/>
  <c r="Q17" i="1"/>
  <c r="T9" i="1"/>
  <c r="X7" i="1"/>
  <c r="AA7" i="1" s="1"/>
  <c r="T15" i="1"/>
  <c r="AA15" i="1" s="1"/>
  <c r="T14" i="1"/>
  <c r="R14" i="1"/>
  <c r="R12" i="1"/>
  <c r="R9" i="1"/>
  <c r="U10" i="1"/>
  <c r="Q10" i="1"/>
  <c r="M18" i="1"/>
  <c r="U6" i="1"/>
  <c r="Q6" i="1"/>
  <c r="Q11" i="1"/>
  <c r="U11" i="1"/>
  <c r="U8" i="1"/>
  <c r="Q8" i="1"/>
  <c r="U16" i="1"/>
  <c r="Q16" i="1"/>
  <c r="U13" i="1"/>
  <c r="Q13" i="1"/>
  <c r="AA16" i="1"/>
  <c r="P17" i="1"/>
  <c r="P7" i="1"/>
  <c r="X14" i="1"/>
  <c r="V18" i="1"/>
  <c r="AA8" i="1"/>
  <c r="AA13" i="1"/>
  <c r="AA10" i="1"/>
  <c r="AA9" i="1"/>
  <c r="L18" i="1"/>
  <c r="P6" i="1"/>
  <c r="AA12" i="1"/>
  <c r="AA11" i="1"/>
  <c r="AA14" i="1"/>
  <c r="R18" i="1" l="1"/>
  <c r="Q18" i="1"/>
  <c r="U18" i="1"/>
  <c r="X18" i="1"/>
  <c r="P18" i="1"/>
  <c r="T18" i="1"/>
  <c r="AA6" i="1"/>
  <c r="W7" i="1" l="1"/>
  <c r="W8" i="1"/>
  <c r="W9" i="1"/>
  <c r="W10" i="1"/>
  <c r="W11" i="1"/>
  <c r="W12" i="1"/>
  <c r="W13" i="1"/>
  <c r="W14" i="1"/>
  <c r="W15" i="1"/>
  <c r="W16" i="1"/>
  <c r="W17" i="1"/>
  <c r="W6" i="1"/>
  <c r="Z15" i="1" l="1"/>
  <c r="AB15" i="1"/>
  <c r="Z11" i="1"/>
  <c r="AB11" i="1"/>
  <c r="AB7" i="1"/>
  <c r="Z7" i="1"/>
  <c r="W18" i="1"/>
  <c r="AB6" i="1"/>
  <c r="Z6" i="1"/>
  <c r="Z14" i="1"/>
  <c r="AB14" i="1"/>
  <c r="Z10" i="1"/>
  <c r="AB10" i="1"/>
  <c r="Z17" i="1"/>
  <c r="AB17" i="1"/>
  <c r="Z13" i="1"/>
  <c r="AB13" i="1"/>
  <c r="Z9" i="1"/>
  <c r="AB9" i="1"/>
  <c r="Z16" i="1"/>
  <c r="AB16" i="1"/>
  <c r="Z12" i="1"/>
  <c r="AB12" i="1"/>
  <c r="AB8" i="1"/>
  <c r="Z8" i="1"/>
</calcChain>
</file>

<file path=xl/sharedStrings.xml><?xml version="1.0" encoding="utf-8"?>
<sst xmlns="http://schemas.openxmlformats.org/spreadsheetml/2006/main" count="100" uniqueCount="82">
  <si>
    <t>Algemene Directie of Stafdienst</t>
  </si>
  <si>
    <t>E2 - Energie</t>
  </si>
  <si>
    <t>E3 - Economische Reglementering</t>
  </si>
  <si>
    <t>E4 - Economische Analyses en Internationale Economie</t>
  </si>
  <si>
    <t>E5 - K.M.O.-beleid</t>
  </si>
  <si>
    <t>E6 - Kwaliteit en Veiligheid</t>
  </si>
  <si>
    <t>E7 - Economische Inspectie</t>
  </si>
  <si>
    <t>E8 - Statistiek - Statistics Belgium</t>
  </si>
  <si>
    <t>S1 - Personeel en Organisatie</t>
  </si>
  <si>
    <t>S2 - Budget en Beheerscontrole</t>
  </si>
  <si>
    <t>S3 - ICT / KBO</t>
  </si>
  <si>
    <t>S4 - Communicatie</t>
  </si>
  <si>
    <t>T - Bureau van de Voorzitter</t>
  </si>
  <si>
    <t>Aantal werkposten in een klassiek scenario</t>
  </si>
  <si>
    <t>Werkelijke oppervlakte NWoW scenario in m²: opp = aantal gVTE x 10,5 m²</t>
  </si>
  <si>
    <t>Werkelijke oppervlakte klassiek scenario in m²:  opp = aantal gVTE x 13,5 m²</t>
  </si>
  <si>
    <t>Telewerk correctie: aantal telewerkers x 0,2 (1 dag/week TW)</t>
  </si>
  <si>
    <t>Aantal werkposten in een NWoW scenario: desk sharing = aantal gVTE x 0,85</t>
  </si>
  <si>
    <t>-</t>
  </si>
  <si>
    <t>% werkposten in NWoW t.o.v. aantal medewerkers</t>
  </si>
  <si>
    <t>Aantal werk-posten in NWoW (afgerond)</t>
  </si>
  <si>
    <t>FOD Economie (in Brussel)</t>
  </si>
  <si>
    <t>Goedgekeurd personeelsplan, conform bespreking op bilaterales</t>
  </si>
  <si>
    <t>Werkelijke oppervlakte klassiek scenario, zonder aanwervingen</t>
  </si>
  <si>
    <t>Werkelijke oppervlakte NWoW scenario, zonder aanwervingen</t>
  </si>
  <si>
    <t>Gegevens vermeld in het behoefteprogramma</t>
  </si>
  <si>
    <t>Gegevens waarop verder gebouwd zal worden</t>
  </si>
  <si>
    <t>Extra gegevens en/of berekeningen</t>
  </si>
  <si>
    <t>Informatie en feiten</t>
  </si>
  <si>
    <t>Totalen FOD Economie (in Brussel)</t>
  </si>
  <si>
    <t xml:space="preserve">Aantal medewerkers FOD Economie, te Brussel, begin 2019 (2) </t>
  </si>
  <si>
    <t>Aantal medewerkers (2), inclusief goedgekeurd personeelsplan 2018-2019</t>
  </si>
  <si>
    <t>Aantal VTE  begin 2019 (2)</t>
  </si>
  <si>
    <t>Aantal telewerkers: maanden lang 1 dag per week getelewerkt (= 16x TW) (3)</t>
  </si>
  <si>
    <t>Aantal gVTE (2): aantal VTE - Telewerk correctie</t>
  </si>
  <si>
    <t>Huidige oppervlakte (4) in m²: bureau, archief en stock</t>
  </si>
  <si>
    <t>Oppervlakte klassiek scenario (2) in m²: opp  = aantal VTE x 13,5 m²</t>
  </si>
  <si>
    <t>Oppervlakte NWoW scenario (2) in m²: opp = aantal VTE x 10,5 m²</t>
  </si>
  <si>
    <t>Oppervlakte per werkpost (5) in een klassiek scenario in m²</t>
  </si>
  <si>
    <t>Oppervlakte per werkpost (5) in een NWoW scenario in m²</t>
  </si>
  <si>
    <t>(3): Gegevens afkomstig van PersoPoint, geanalyseerd en aangeleverd door de Stafdienst P&amp;O (S1)</t>
  </si>
  <si>
    <t>(4): Gegevens afkomstig uit Archibus, conform de gegevens vermeld in de nota aan het Directiecomité van 30/04/2019, op basis van de bureau-, archief en stockruimte</t>
  </si>
  <si>
    <t>(5): Zonder rekening te houden met printers, coffee corner, kleine vergaderzalen, levend archief,…</t>
  </si>
  <si>
    <t>(1): Gegevens aangeleverd door de Stafdienst P&amp;O (S1)</t>
  </si>
  <si>
    <r>
      <t xml:space="preserve">Aantal medewerkers FOD Economie, in de provincies
 </t>
    </r>
    <r>
      <rPr>
        <b/>
        <sz val="11"/>
        <color rgb="FFFF0000"/>
        <rFont val="Calibri"/>
        <family val="2"/>
        <scheme val="minor"/>
      </rPr>
      <t>(!! + - !!)</t>
    </r>
  </si>
  <si>
    <t>Aantal medewerkers FOD Economie, eind 2018 (1)(*)</t>
  </si>
  <si>
    <t>(*): Er zijn in de loop van 2018 een aantal medewerkers aangeworven, maar misschien pas eind 2018-begin 2019 effectief in dienst getreden, waardoor het aantal medewerkers van de FOD Economie eind 2018 lager ligt dan begin 2019. Voor S3 is het resultaat wel heel verschillend, vermoedelijk werd voor de cijfers van eind 2018 enkel het personeel van de FOD en niet de externen (zoals e-GOV'ers) meegeteld</t>
  </si>
  <si>
    <t>Goedgekeurd personeelsplan, conform bespreking op bilaterales
x 150%</t>
  </si>
  <si>
    <t>Aantal gVTE (2), inclusief goedgekeurd personeelsplan
 x 150%</t>
  </si>
  <si>
    <t>Werkelijke oppervlakte klassiek scenario, inclusief goedgekeurd personelsplan
 x 150%</t>
  </si>
  <si>
    <t>Werkelijke oppervlakte NWoW scenario, inclusief goedgekeurd personelsplan
 x 150%</t>
  </si>
  <si>
    <t>Bernard</t>
  </si>
  <si>
    <t>(2): Gegevens afkomstig uit het behoefteprogramma dat ingevuld werd conform de besprekingen tijdens de bilaterales</t>
  </si>
  <si>
    <t>BMA</t>
  </si>
  <si>
    <t>BV OECO</t>
  </si>
  <si>
    <t>Inspectie van Financiën</t>
  </si>
  <si>
    <t>Hoge Raad voor Zelfstandigen</t>
  </si>
  <si>
    <t>Rekenhof</t>
  </si>
  <si>
    <t>Geschillencommissie Reizen</t>
  </si>
  <si>
    <t>Commissie Boekhoudkundige Normen  + Hoge Raad voor Economische Beroepen</t>
  </si>
  <si>
    <t>Ombudsdiensten</t>
  </si>
  <si>
    <t>FAO</t>
  </si>
  <si>
    <t>UPC</t>
  </si>
  <si>
    <t>Belexpo</t>
  </si>
  <si>
    <t>Externe diensten</t>
  </si>
  <si>
    <t>NORTH GATE II, III en City Atrium C</t>
  </si>
  <si>
    <t>FOD Economie (vergaderzalen)</t>
  </si>
  <si>
    <t>Salle de réunion - 12 personnes (10 + 25 extra gevraagd)</t>
  </si>
  <si>
    <t>Salle de réunion - 15 personnes (11 + 7 extra gevraagd)</t>
  </si>
  <si>
    <t>Salle de réunion - 20 personnes (16 + 12 extra gevraagd)</t>
  </si>
  <si>
    <t>Salle de réunion - 30 personnes (11 + 1 extra gevraagd)</t>
  </si>
  <si>
    <t>Salle de réunion - 50 personnes (4 extra gevraagd)</t>
  </si>
  <si>
    <t>Salle de réunion - 100 personnes (1 extra gevraagd)</t>
  </si>
  <si>
    <t>Reeds aanwezig</t>
  </si>
  <si>
    <t>Extra gevraagd</t>
  </si>
  <si>
    <t>Huidige oppervlakte / Aantal medewerkers FOD Economie, te Brussel, begin 2019</t>
  </si>
  <si>
    <t>kolom N gedeeld door kolom E</t>
  </si>
  <si>
    <t>Correctie na vrijmaking 7de verdieping NG II -  gemiddelde oppervlakte voor E8/S3 sinds september 2019:</t>
  </si>
  <si>
    <t>Correctie E8-S3</t>
  </si>
  <si>
    <t xml:space="preserve">Aantal medewerkers FOD Economie, te Brussel, begin 2019 </t>
  </si>
  <si>
    <t>Huidige oppervlakte in m²: bureau, archief en stock</t>
  </si>
  <si>
    <t>Huidige oppervlakte / Aantal medewerkers FOD Economie, te Brussel, begin 2019 (m²)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</si>
</sst>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i/>
      <sz val="11"/>
      <color theme="1"/>
      <name val="Calibri"/>
      <family val="2"/>
      <scheme val="minor"/>
    </font>
    <font>
      <sz val="11"/>
      <name val="Calibri"/>
      <family val="2"/>
      <scheme val="minor"/>
    </font>
    <font>
      <sz val="11"/>
      <color rgb="FF00B050"/>
      <name val="Calibri"/>
      <family val="2"/>
      <scheme val="minor"/>
    </font>
    <font>
      <sz val="10"/>
      <color indexed="8"/>
      <name val="Arial"/>
      <family val="2"/>
    </font>
    <font>
      <sz val="11"/>
      <color indexed="8"/>
      <name val="Segoe UI"/>
      <family val="2"/>
    </font>
    <font>
      <sz val="11"/>
      <color rgb="FFFF0000"/>
      <name val="Calibri"/>
      <family val="2"/>
      <scheme val="minor"/>
    </font>
    <font>
      <b/>
      <sz val="11"/>
      <color rgb="FFFF0000"/>
      <name val="Calibri"/>
      <family val="2"/>
      <scheme val="minor"/>
    </font>
    <font>
      <i/>
      <sz val="11"/>
      <color theme="1"/>
      <name val="Calibri"/>
      <family val="2"/>
      <scheme val="minor"/>
    </font>
    <font>
      <b/>
      <u/>
      <sz val="11"/>
      <color theme="1"/>
      <name val="Calibri"/>
      <family val="2"/>
      <scheme val="minor"/>
    </font>
    <font>
      <sz val="11"/>
      <color rgb="FF3F3F76"/>
      <name val="Calibri"/>
      <family val="2"/>
      <scheme val="minor"/>
    </font>
    <font>
      <b/>
      <sz val="11"/>
      <color rgb="FF3F3F3F"/>
      <name val="Calibri"/>
      <family val="2"/>
      <scheme val="minor"/>
    </font>
    <font>
      <sz val="10"/>
      <color indexed="62"/>
      <name val="Arial"/>
      <family val="2"/>
    </font>
    <font>
      <sz val="10"/>
      <color theme="1" tint="0.499984740745262"/>
      <name val="Arial"/>
      <family val="2"/>
    </font>
    <font>
      <b/>
      <sz val="11"/>
      <name val="Calibri"/>
      <family val="2"/>
      <scheme val="minor"/>
    </font>
    <font>
      <b/>
      <sz val="12"/>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FFCC99"/>
      </patternFill>
    </fill>
    <fill>
      <patternFill patternType="solid">
        <fgColor rgb="FFF2F2F2"/>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rgb="FF7F7F7F"/>
      </bottom>
      <diagonal/>
    </border>
  </borders>
  <cellStyleXfs count="6">
    <xf numFmtId="0" fontId="0" fillId="0" borderId="0"/>
    <xf numFmtId="0" fontId="5" fillId="0" borderId="0"/>
    <xf numFmtId="0" fontId="11" fillId="8" borderId="13" applyNumberFormat="0" applyAlignment="0" applyProtection="0"/>
    <xf numFmtId="0" fontId="12" fillId="9" borderId="14" applyNumberFormat="0" applyAlignment="0" applyProtection="0"/>
    <xf numFmtId="0" fontId="14" fillId="0" borderId="15" applyNumberFormat="0" applyFill="0" applyAlignment="0" applyProtection="0"/>
    <xf numFmtId="0" fontId="11" fillId="8" borderId="13" applyNumberFormat="0" applyAlignment="0" applyProtection="0"/>
  </cellStyleXfs>
  <cellXfs count="123">
    <xf numFmtId="0" fontId="0" fillId="0" borderId="0" xfId="0"/>
    <xf numFmtId="0" fontId="0" fillId="0" borderId="1" xfId="0" applyBorder="1"/>
    <xf numFmtId="0" fontId="1" fillId="0" borderId="1" xfId="0" applyFont="1" applyBorder="1"/>
    <xf numFmtId="0" fontId="1" fillId="0" borderId="1" xfId="0" applyFont="1" applyBorder="1" applyAlignment="1">
      <alignment wrapText="1"/>
    </xf>
    <xf numFmtId="0" fontId="1" fillId="0" borderId="1" xfId="0" applyFont="1" applyFill="1" applyBorder="1" applyAlignment="1">
      <alignment wrapText="1"/>
    </xf>
    <xf numFmtId="0" fontId="0" fillId="2" borderId="1" xfId="0" applyFill="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4" fillId="0" borderId="0" xfId="0" applyFont="1" applyAlignment="1">
      <alignment horizontal="center"/>
    </xf>
    <xf numFmtId="0" fontId="0" fillId="0" borderId="0" xfId="0" applyFill="1" applyBorder="1"/>
    <xf numFmtId="0" fontId="6" fillId="0" borderId="0" xfId="1" applyFont="1" applyFill="1" applyBorder="1" applyAlignment="1">
      <alignment horizontal="right" wrapText="1"/>
    </xf>
    <xf numFmtId="0" fontId="0" fillId="0" borderId="0" xfId="0" applyBorder="1"/>
    <xf numFmtId="0" fontId="1" fillId="0" borderId="0" xfId="0" applyFont="1" applyBorder="1" applyAlignment="1">
      <alignment horizontal="center"/>
    </xf>
    <xf numFmtId="0" fontId="0" fillId="0" borderId="0" xfId="0" applyBorder="1" applyAlignment="1">
      <alignment horizontal="center"/>
    </xf>
    <xf numFmtId="0" fontId="4" fillId="0" borderId="0" xfId="0" applyFont="1" applyBorder="1" applyAlignment="1">
      <alignment horizontal="center"/>
    </xf>
    <xf numFmtId="0" fontId="4" fillId="0" borderId="0" xfId="0" applyFont="1" applyBorder="1" applyAlignment="1"/>
    <xf numFmtId="0" fontId="1" fillId="0"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3" borderId="1" xfId="0" applyFill="1" applyBorder="1" applyAlignment="1">
      <alignment horizontal="center"/>
    </xf>
    <xf numFmtId="4" fontId="0" fillId="3" borderId="1" xfId="0" applyNumberFormat="1" applyFill="1" applyBorder="1" applyAlignment="1">
      <alignment horizontal="center"/>
    </xf>
    <xf numFmtId="4" fontId="3" fillId="3" borderId="1" xfId="0" applyNumberFormat="1" applyFont="1" applyFill="1" applyBorder="1" applyAlignment="1">
      <alignment horizontal="center"/>
    </xf>
    <xf numFmtId="3" fontId="0" fillId="3" borderId="1" xfId="0" applyNumberFormat="1" applyFill="1" applyBorder="1" applyAlignment="1">
      <alignment horizontal="center"/>
    </xf>
    <xf numFmtId="3" fontId="0" fillId="4" borderId="1" xfId="0" applyNumberFormat="1" applyFont="1" applyFill="1" applyBorder="1" applyAlignment="1">
      <alignment horizontal="center"/>
    </xf>
    <xf numFmtId="0" fontId="2"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4" fontId="0" fillId="5" borderId="1" xfId="0" applyNumberFormat="1" applyFill="1" applyBorder="1" applyAlignment="1">
      <alignment horizontal="center"/>
    </xf>
    <xf numFmtId="0" fontId="2" fillId="5" borderId="1" xfId="0" applyFont="1" applyFill="1" applyBorder="1" applyAlignment="1">
      <alignment horizontal="center" vertical="center" wrapText="1"/>
    </xf>
    <xf numFmtId="4" fontId="0" fillId="5" borderId="1" xfId="0" applyNumberFormat="1" applyFont="1" applyFill="1" applyBorder="1" applyAlignment="1">
      <alignment horizontal="center"/>
    </xf>
    <xf numFmtId="3" fontId="0" fillId="5" borderId="1" xfId="0" applyNumberFormat="1" applyFont="1"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xf>
    <xf numFmtId="0" fontId="1" fillId="6" borderId="1" xfId="0" applyFont="1" applyFill="1" applyBorder="1"/>
    <xf numFmtId="0" fontId="1" fillId="6" borderId="1" xfId="0" applyFont="1" applyFill="1" applyBorder="1" applyAlignment="1">
      <alignment horizontal="center"/>
    </xf>
    <xf numFmtId="4" fontId="1" fillId="6" borderId="1" xfId="0" applyNumberFormat="1" applyFont="1" applyFill="1" applyBorder="1" applyAlignment="1">
      <alignment horizontal="center"/>
    </xf>
    <xf numFmtId="3" fontId="1" fillId="6" borderId="1" xfId="0" applyNumberFormat="1" applyFont="1" applyFill="1" applyBorder="1" applyAlignment="1">
      <alignment horizontal="center"/>
    </xf>
    <xf numFmtId="0" fontId="1" fillId="6" borderId="1" xfId="0" applyFont="1" applyFill="1" applyBorder="1" applyAlignment="1">
      <alignment horizontal="center"/>
    </xf>
    <xf numFmtId="2" fontId="0" fillId="7" borderId="1" xfId="0" applyNumberFormat="1" applyFill="1" applyBorder="1" applyAlignment="1">
      <alignment horizontal="center"/>
    </xf>
    <xf numFmtId="0" fontId="1" fillId="4" borderId="1" xfId="0" applyFont="1" applyFill="1" applyBorder="1" applyAlignment="1">
      <alignment horizontal="center" vertical="center" wrapText="1"/>
    </xf>
    <xf numFmtId="0" fontId="0" fillId="4" borderId="1" xfId="0" applyFont="1" applyFill="1" applyBorder="1" applyAlignment="1">
      <alignment horizontal="center"/>
    </xf>
    <xf numFmtId="0" fontId="0" fillId="4" borderId="1" xfId="0" applyFill="1" applyBorder="1" applyAlignment="1">
      <alignment horizontal="center"/>
    </xf>
    <xf numFmtId="0" fontId="0" fillId="4" borderId="1" xfId="0" applyFont="1" applyFill="1" applyBorder="1" applyAlignment="1">
      <alignment horizontal="center" wrapText="1"/>
    </xf>
    <xf numFmtId="0" fontId="0" fillId="5" borderId="1" xfId="0" applyFont="1" applyFill="1" applyBorder="1" applyAlignment="1">
      <alignment horizontal="center"/>
    </xf>
    <xf numFmtId="0" fontId="0" fillId="5" borderId="1" xfId="0" applyFont="1" applyFill="1" applyBorder="1" applyAlignment="1">
      <alignment horizontal="center" wrapText="1"/>
    </xf>
    <xf numFmtId="0" fontId="8" fillId="6" borderId="1" xfId="0" applyFont="1" applyFill="1" applyBorder="1" applyAlignment="1">
      <alignment horizontal="center"/>
    </xf>
    <xf numFmtId="0" fontId="7" fillId="5" borderId="1" xfId="0" applyFont="1" applyFill="1" applyBorder="1" applyAlignment="1">
      <alignment horizontal="center"/>
    </xf>
    <xf numFmtId="0" fontId="1" fillId="0" borderId="0" xfId="0" applyFont="1" applyAlignment="1">
      <alignment horizontal="center"/>
    </xf>
    <xf numFmtId="0" fontId="0" fillId="2" borderId="0" xfId="0" applyFill="1" applyBorder="1" applyAlignment="1">
      <alignment horizontal="center"/>
    </xf>
    <xf numFmtId="0" fontId="1" fillId="0" borderId="0" xfId="0" applyFont="1" applyFill="1" applyBorder="1" applyAlignment="1">
      <alignment horizontal="center"/>
    </xf>
    <xf numFmtId="0" fontId="8" fillId="0" borderId="0" xfId="0" applyFont="1" applyFill="1" applyBorder="1" applyAlignment="1">
      <alignment horizontal="center"/>
    </xf>
    <xf numFmtId="4"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0" fillId="0" borderId="0" xfId="0" applyFill="1" applyBorder="1" applyAlignment="1">
      <alignment horizontal="center"/>
    </xf>
    <xf numFmtId="0" fontId="0" fillId="0" borderId="0" xfId="0" applyFill="1"/>
    <xf numFmtId="0" fontId="9" fillId="0" borderId="1" xfId="0" applyFont="1" applyBorder="1" applyAlignment="1">
      <alignment horizontal="justify" vertical="center"/>
    </xf>
    <xf numFmtId="0" fontId="2" fillId="6" borderId="1" xfId="0" applyFont="1" applyFill="1" applyBorder="1" applyAlignment="1">
      <alignment horizontal="justify" vertical="center"/>
    </xf>
    <xf numFmtId="0" fontId="1" fillId="0" borderId="2" xfId="0" applyFont="1" applyFill="1" applyBorder="1" applyAlignment="1">
      <alignment horizontal="center"/>
    </xf>
    <xf numFmtId="0" fontId="8" fillId="0" borderId="3" xfId="0" applyFont="1" applyFill="1" applyBorder="1" applyAlignment="1">
      <alignment horizontal="center"/>
    </xf>
    <xf numFmtId="0" fontId="1" fillId="0" borderId="3" xfId="0" applyFont="1" applyFill="1" applyBorder="1" applyAlignment="1">
      <alignment horizontal="center"/>
    </xf>
    <xf numFmtId="0" fontId="1" fillId="0" borderId="4" xfId="0" applyFont="1" applyFill="1" applyBorder="1" applyAlignment="1">
      <alignment horizontal="center"/>
    </xf>
    <xf numFmtId="0" fontId="1" fillId="0" borderId="5" xfId="0" applyFont="1" applyFill="1" applyBorder="1" applyAlignment="1">
      <alignment horizont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8" fillId="0" borderId="8" xfId="0" applyFont="1" applyFill="1" applyBorder="1" applyAlignment="1">
      <alignment horizontal="center"/>
    </xf>
    <xf numFmtId="0" fontId="1" fillId="0" borderId="8" xfId="0" applyFont="1" applyFill="1" applyBorder="1" applyAlignment="1">
      <alignment horizontal="center"/>
    </xf>
    <xf numFmtId="0" fontId="1" fillId="0" borderId="9" xfId="0" applyFont="1" applyFill="1" applyBorder="1" applyAlignment="1">
      <alignment horizontal="center"/>
    </xf>
    <xf numFmtId="4" fontId="0" fillId="0" borderId="1" xfId="0" applyNumberFormat="1" applyFont="1" applyFill="1" applyBorder="1" applyAlignment="1">
      <alignment horizontal="center"/>
    </xf>
    <xf numFmtId="3" fontId="1" fillId="0" borderId="2" xfId="0" applyNumberFormat="1" applyFont="1" applyFill="1" applyBorder="1" applyAlignment="1">
      <alignment horizontal="center"/>
    </xf>
    <xf numFmtId="4" fontId="1" fillId="0" borderId="3" xfId="0" applyNumberFormat="1" applyFont="1" applyFill="1" applyBorder="1" applyAlignment="1">
      <alignment horizontal="center"/>
    </xf>
    <xf numFmtId="3" fontId="1" fillId="0" borderId="3" xfId="0" applyNumberFormat="1" applyFont="1" applyFill="1" applyBorder="1" applyAlignment="1">
      <alignment horizontal="center"/>
    </xf>
    <xf numFmtId="3" fontId="1" fillId="0" borderId="5" xfId="0" applyNumberFormat="1" applyFont="1" applyFill="1" applyBorder="1" applyAlignment="1">
      <alignment horizontal="center"/>
    </xf>
    <xf numFmtId="3" fontId="1" fillId="0" borderId="7" xfId="0" applyNumberFormat="1" applyFont="1" applyFill="1" applyBorder="1" applyAlignment="1">
      <alignment horizontal="center"/>
    </xf>
    <xf numFmtId="4" fontId="1" fillId="0" borderId="8" xfId="0" applyNumberFormat="1" applyFont="1" applyFill="1" applyBorder="1" applyAlignment="1">
      <alignment horizontal="center"/>
    </xf>
    <xf numFmtId="3" fontId="1" fillId="0" borderId="8" xfId="0" applyNumberFormat="1" applyFont="1" applyFill="1" applyBorder="1" applyAlignment="1">
      <alignment horizontal="center"/>
    </xf>
    <xf numFmtId="0" fontId="1" fillId="0" borderId="10" xfId="0" applyFont="1" applyFill="1" applyBorder="1" applyAlignment="1">
      <alignment horizontal="center"/>
    </xf>
    <xf numFmtId="0" fontId="8" fillId="0" borderId="11"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3" fontId="1" fillId="0" borderId="10" xfId="0" applyNumberFormat="1" applyFont="1" applyFill="1" applyBorder="1" applyAlignment="1">
      <alignment horizontal="center"/>
    </xf>
    <xf numFmtId="4" fontId="1" fillId="0" borderId="11" xfId="0" applyNumberFormat="1" applyFont="1" applyFill="1" applyBorder="1" applyAlignment="1">
      <alignment horizontal="center"/>
    </xf>
    <xf numFmtId="3" fontId="1" fillId="0" borderId="11" xfId="0" applyNumberFormat="1" applyFont="1" applyFill="1" applyBorder="1" applyAlignment="1">
      <alignment horizontal="center"/>
    </xf>
    <xf numFmtId="4" fontId="10" fillId="6" borderId="1" xfId="0" applyNumberFormat="1" applyFont="1" applyFill="1" applyBorder="1" applyAlignment="1">
      <alignment horizontal="center"/>
    </xf>
    <xf numFmtId="0" fontId="1" fillId="6" borderId="2" xfId="0" applyFont="1" applyFill="1" applyBorder="1" applyAlignment="1">
      <alignment horizontal="center"/>
    </xf>
    <xf numFmtId="0" fontId="8" fillId="6" borderId="3"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3" fontId="1" fillId="6" borderId="2" xfId="0" applyNumberFormat="1" applyFont="1" applyFill="1" applyBorder="1" applyAlignment="1">
      <alignment horizontal="center"/>
    </xf>
    <xf numFmtId="4" fontId="1" fillId="6" borderId="3" xfId="0" applyNumberFormat="1" applyFont="1" applyFill="1" applyBorder="1" applyAlignment="1">
      <alignment horizontal="center"/>
    </xf>
    <xf numFmtId="3" fontId="1" fillId="6" borderId="3" xfId="0" applyNumberFormat="1" applyFont="1" applyFill="1" applyBorder="1" applyAlignment="1">
      <alignment horizontal="center"/>
    </xf>
    <xf numFmtId="3" fontId="10" fillId="0" borderId="0" xfId="0" applyNumberFormat="1" applyFont="1" applyFill="1" applyBorder="1" applyAlignment="1">
      <alignment horizontal="center"/>
    </xf>
    <xf numFmtId="0" fontId="9" fillId="0" borderId="1" xfId="0" applyFont="1" applyFill="1" applyBorder="1" applyAlignment="1">
      <alignment horizontal="justify" vertical="center"/>
    </xf>
    <xf numFmtId="4" fontId="10" fillId="0" borderId="0" xfId="0" applyNumberFormat="1" applyFont="1" applyFill="1" applyBorder="1" applyAlignment="1">
      <alignment horizontal="center"/>
    </xf>
    <xf numFmtId="4" fontId="1" fillId="0" borderId="0" xfId="0" applyNumberFormat="1" applyFont="1" applyFill="1" applyBorder="1" applyAlignment="1"/>
    <xf numFmtId="4" fontId="8" fillId="0" borderId="0" xfId="0" applyNumberFormat="1" applyFont="1" applyFill="1" applyBorder="1" applyAlignment="1"/>
    <xf numFmtId="0" fontId="11" fillId="8" borderId="13" xfId="2" applyAlignment="1">
      <alignment horizontal="center"/>
    </xf>
    <xf numFmtId="0" fontId="13" fillId="8" borderId="13" xfId="2" applyFont="1" applyAlignment="1">
      <alignment horizontal="left"/>
    </xf>
    <xf numFmtId="3" fontId="12" fillId="9" borderId="14" xfId="3" applyNumberFormat="1" applyAlignment="1">
      <alignment horizontal="center"/>
    </xf>
    <xf numFmtId="0" fontId="14" fillId="0" borderId="15" xfId="4" applyFill="1" applyAlignment="1">
      <alignment horizontal="center"/>
    </xf>
    <xf numFmtId="0" fontId="11" fillId="8" borderId="13" xfId="5"/>
    <xf numFmtId="10" fontId="1" fillId="0" borderId="0" xfId="0" applyNumberFormat="1" applyFont="1" applyFill="1" applyBorder="1" applyAlignment="1">
      <alignment horizontal="center"/>
    </xf>
    <xf numFmtId="0" fontId="1" fillId="6" borderId="11" xfId="0" applyFont="1" applyFill="1" applyBorder="1" applyAlignment="1">
      <alignment horizontal="center"/>
    </xf>
    <xf numFmtId="0" fontId="15" fillId="10" borderId="1" xfId="0" applyFont="1" applyFill="1" applyBorder="1" applyAlignment="1">
      <alignment horizontal="center" vertical="center" wrapText="1"/>
    </xf>
    <xf numFmtId="0" fontId="1" fillId="0" borderId="0" xfId="0" applyFont="1"/>
    <xf numFmtId="2" fontId="3" fillId="10" borderId="1" xfId="0" applyNumberFormat="1" applyFont="1" applyFill="1" applyBorder="1" applyAlignment="1">
      <alignment horizontal="center"/>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2" fontId="0" fillId="0" borderId="1" xfId="0" applyNumberFormat="1" applyBorder="1" applyAlignment="1">
      <alignment horizontal="center" vertical="center"/>
    </xf>
    <xf numFmtId="2" fontId="0" fillId="0" borderId="1" xfId="0" applyNumberFormat="1" applyFill="1" applyBorder="1" applyAlignment="1">
      <alignment horizontal="center" vertical="center"/>
    </xf>
    <xf numFmtId="0" fontId="0" fillId="0" borderId="10" xfId="0" applyBorder="1"/>
    <xf numFmtId="0" fontId="0" fillId="0" borderId="12" xfId="0" applyBorder="1"/>
    <xf numFmtId="0" fontId="0" fillId="0" borderId="1" xfId="0" applyBorder="1" applyAlignment="1">
      <alignment horizontal="center"/>
    </xf>
    <xf numFmtId="0" fontId="1" fillId="6" borderId="1" xfId="0" applyFont="1"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3" borderId="1" xfId="0" applyFill="1" applyBorder="1" applyAlignment="1">
      <alignment horizontal="center"/>
    </xf>
    <xf numFmtId="0" fontId="0" fillId="0" borderId="11" xfId="0" applyBorder="1"/>
    <xf numFmtId="0" fontId="0" fillId="0" borderId="1" xfId="0" applyFont="1" applyFill="1" applyBorder="1" applyAlignment="1">
      <alignment horizontal="center" vertical="center" wrapText="1"/>
    </xf>
    <xf numFmtId="4" fontId="0" fillId="0" borderId="1" xfId="0" applyNumberForma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wrapText="1"/>
    </xf>
    <xf numFmtId="4" fontId="3" fillId="0" borderId="1" xfId="0" applyNumberFormat="1" applyFont="1" applyFill="1" applyBorder="1" applyAlignment="1">
      <alignment horizontal="center"/>
    </xf>
    <xf numFmtId="4" fontId="0" fillId="0" borderId="1" xfId="0" applyNumberFormat="1" applyFont="1" applyFill="1" applyBorder="1" applyAlignment="1">
      <alignment horizontal="center" vertical="center" wrapText="1"/>
    </xf>
  </cellXfs>
  <cellStyles count="6">
    <cellStyle name="Data from other table" xfId="4"/>
    <cellStyle name="Entrée 2" xfId="5"/>
    <cellStyle name="Invoer" xfId="2" builtinId="20"/>
    <cellStyle name="Normal_Feuil1" xfId="1"/>
    <cellStyle name="Standaard" xfId="0" builtinId="0"/>
    <cellStyle name="Uitvoer"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0628%20Economie%20vergadering%20Regi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e 1 • Global"/>
      <sheetName val="Partie 2 • Souhaits"/>
      <sheetName val="Partie 3 • M.implantation"/>
      <sheetName val="Partie 4 • µ.implantation"/>
      <sheetName val="Partie 5  • parties inchangées"/>
      <sheetName val="Partie 4 • detail per AD of SD"/>
      <sheetName val="Typologie détaillée"/>
      <sheetName val="Données et explication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AB49"/>
  <sheetViews>
    <sheetView workbookViewId="0">
      <pane xSplit="1" topLeftCell="F1" activePane="topRight" state="frozen"/>
      <selection activeCell="A4" sqref="A4"/>
      <selection pane="topRight" activeCell="N5" sqref="N5:N17"/>
    </sheetView>
  </sheetViews>
  <sheetFormatPr defaultRowHeight="14.4" x14ac:dyDescent="0.3"/>
  <cols>
    <col min="1" max="1" width="31.88671875" customWidth="1"/>
    <col min="2" max="3" width="17.33203125" customWidth="1"/>
    <col min="4" max="4" width="26.44140625" bestFit="1" customWidth="1"/>
    <col min="5" max="6" width="17.33203125" customWidth="1"/>
    <col min="7" max="7" width="17.33203125" hidden="1" customWidth="1"/>
    <col min="8" max="8" width="17.33203125" customWidth="1"/>
    <col min="9" max="9" width="15.6640625" customWidth="1"/>
    <col min="10" max="10" width="16.33203125" customWidth="1"/>
    <col min="11" max="11" width="15.5546875" customWidth="1"/>
    <col min="12" max="12" width="15.6640625" customWidth="1"/>
    <col min="13" max="13" width="15.6640625" hidden="1" customWidth="1"/>
    <col min="14" max="16" width="18.6640625" customWidth="1"/>
    <col min="17" max="17" width="18.6640625" hidden="1" customWidth="1"/>
    <col min="18" max="20" width="18.6640625" customWidth="1"/>
    <col min="21" max="21" width="18.6640625" hidden="1" customWidth="1"/>
    <col min="22" max="24" width="18.6640625" customWidth="1"/>
    <col min="25" max="25" width="10.5546875" customWidth="1"/>
    <col min="26" max="27" width="14.44140625" customWidth="1"/>
    <col min="28" max="28" width="14.6640625" hidden="1" customWidth="1"/>
  </cols>
  <sheetData>
    <row r="4" spans="1:28" x14ac:dyDescent="0.3">
      <c r="D4" s="101" t="s">
        <v>76</v>
      </c>
      <c r="G4" s="45" t="s">
        <v>51</v>
      </c>
      <c r="M4" s="45" t="s">
        <v>51</v>
      </c>
      <c r="Q4" s="45" t="s">
        <v>51</v>
      </c>
      <c r="U4" s="45" t="s">
        <v>51</v>
      </c>
    </row>
    <row r="5" spans="1:28" ht="86.4" x14ac:dyDescent="0.3">
      <c r="A5" s="2" t="s">
        <v>0</v>
      </c>
      <c r="B5" s="24" t="s">
        <v>45</v>
      </c>
      <c r="C5" s="24" t="s">
        <v>44</v>
      </c>
      <c r="D5" s="100" t="s">
        <v>75</v>
      </c>
      <c r="E5" s="37" t="s">
        <v>30</v>
      </c>
      <c r="F5" s="37" t="s">
        <v>22</v>
      </c>
      <c r="G5" s="24" t="s">
        <v>47</v>
      </c>
      <c r="H5" s="37" t="s">
        <v>31</v>
      </c>
      <c r="I5" s="37" t="s">
        <v>32</v>
      </c>
      <c r="J5" s="24" t="s">
        <v>33</v>
      </c>
      <c r="K5" s="24" t="s">
        <v>16</v>
      </c>
      <c r="L5" s="17" t="s">
        <v>34</v>
      </c>
      <c r="M5" s="24" t="s">
        <v>48</v>
      </c>
      <c r="N5" s="17" t="s">
        <v>35</v>
      </c>
      <c r="O5" s="23" t="s">
        <v>36</v>
      </c>
      <c r="P5" s="17" t="s">
        <v>15</v>
      </c>
      <c r="Q5" s="24" t="s">
        <v>49</v>
      </c>
      <c r="R5" s="26" t="s">
        <v>23</v>
      </c>
      <c r="S5" s="23" t="s">
        <v>37</v>
      </c>
      <c r="T5" s="17" t="s">
        <v>14</v>
      </c>
      <c r="U5" s="24" t="s">
        <v>50</v>
      </c>
      <c r="V5" s="26" t="s">
        <v>24</v>
      </c>
      <c r="W5" s="17" t="s">
        <v>13</v>
      </c>
      <c r="X5" s="24" t="s">
        <v>17</v>
      </c>
      <c r="Y5" s="17" t="s">
        <v>20</v>
      </c>
      <c r="Z5" s="16" t="s">
        <v>38</v>
      </c>
      <c r="AA5" s="16" t="s">
        <v>39</v>
      </c>
      <c r="AB5" s="4" t="s">
        <v>19</v>
      </c>
    </row>
    <row r="6" spans="1:28" x14ac:dyDescent="0.3">
      <c r="A6" s="2" t="s">
        <v>1</v>
      </c>
      <c r="B6" s="44">
        <v>94</v>
      </c>
      <c r="C6" s="41">
        <v>0</v>
      </c>
      <c r="D6" s="102">
        <f>N6/E6</f>
        <v>12.337735849056603</v>
      </c>
      <c r="E6" s="38">
        <v>106</v>
      </c>
      <c r="F6" s="38">
        <v>15</v>
      </c>
      <c r="G6" s="41">
        <f>F6*1.5</f>
        <v>22.5</v>
      </c>
      <c r="H6" s="38">
        <f>E6+F6</f>
        <v>121</v>
      </c>
      <c r="I6" s="39">
        <v>107.8</v>
      </c>
      <c r="J6" s="29">
        <v>21</v>
      </c>
      <c r="K6" s="29">
        <f>J6*0.2</f>
        <v>4.2</v>
      </c>
      <c r="L6" s="18">
        <f>I6-K6</f>
        <v>103.6</v>
      </c>
      <c r="M6" s="30">
        <f>I6+(G6-F6)-K6</f>
        <v>111.1</v>
      </c>
      <c r="N6" s="19">
        <v>1307.8</v>
      </c>
      <c r="O6" s="22">
        <v>1455</v>
      </c>
      <c r="P6" s="19">
        <f>L6*13.5</f>
        <v>1398.6</v>
      </c>
      <c r="Q6" s="25">
        <f>M6*13.5</f>
        <v>1499.85</v>
      </c>
      <c r="R6" s="28">
        <f t="shared" ref="R6:R17" si="0">(L6-F6)*13.5</f>
        <v>1196.0999999999999</v>
      </c>
      <c r="S6" s="22">
        <v>1132</v>
      </c>
      <c r="T6" s="19">
        <f>L6*10.5</f>
        <v>1087.8</v>
      </c>
      <c r="U6" s="25">
        <f>M6*10.5</f>
        <v>1166.55</v>
      </c>
      <c r="V6" s="27">
        <f t="shared" ref="V6:V17" si="1">(L6-F6)*10.5</f>
        <v>930.3</v>
      </c>
      <c r="W6" s="21">
        <f t="shared" ref="W6:W17" si="2">H6</f>
        <v>121</v>
      </c>
      <c r="X6" s="25">
        <f t="shared" ref="X6:X17" si="3">L6*0.85</f>
        <v>88.059999999999988</v>
      </c>
      <c r="Y6" s="21">
        <v>89</v>
      </c>
      <c r="Z6" s="6">
        <f t="shared" ref="Z6:Z17" si="4">P6/W6</f>
        <v>11.558677685950412</v>
      </c>
      <c r="AA6" s="36">
        <f>T6/X6</f>
        <v>12.352941176470589</v>
      </c>
      <c r="AB6" s="1">
        <f t="shared" ref="AB6:AB13" si="5">X6/W6*100</f>
        <v>72.776859504132219</v>
      </c>
    </row>
    <row r="7" spans="1:28" x14ac:dyDescent="0.3">
      <c r="A7" s="2" t="s">
        <v>2</v>
      </c>
      <c r="B7" s="44">
        <v>132</v>
      </c>
      <c r="C7" s="41">
        <v>0</v>
      </c>
      <c r="D7" s="102">
        <f t="shared" ref="D7:D17" si="6">N7/E7</f>
        <v>12.146305732484077</v>
      </c>
      <c r="E7" s="38">
        <v>157</v>
      </c>
      <c r="F7" s="38">
        <v>16</v>
      </c>
      <c r="G7" s="41">
        <f t="shared" ref="G7:G17" si="7">F7*1.5</f>
        <v>24</v>
      </c>
      <c r="H7" s="38">
        <f t="shared" ref="H7:H17" si="8">E7+F7</f>
        <v>173</v>
      </c>
      <c r="I7" s="39">
        <v>148.80000000000001</v>
      </c>
      <c r="J7" s="29">
        <v>56</v>
      </c>
      <c r="K7" s="29">
        <f t="shared" ref="K7:K17" si="9">J7*0.2</f>
        <v>11.200000000000001</v>
      </c>
      <c r="L7" s="18">
        <f t="shared" ref="L7:L17" si="10">I7-K7</f>
        <v>137.60000000000002</v>
      </c>
      <c r="M7" s="30">
        <f t="shared" ref="M7:M17" si="11">I7+(G7-F7)-K7</f>
        <v>145.60000000000002</v>
      </c>
      <c r="N7" s="19">
        <v>1906.97</v>
      </c>
      <c r="O7" s="22">
        <v>2009</v>
      </c>
      <c r="P7" s="19">
        <f t="shared" ref="P7:P17" si="12">L7*13.5</f>
        <v>1857.6000000000004</v>
      </c>
      <c r="Q7" s="25">
        <f t="shared" ref="Q7:Q17" si="13">M7*13.5</f>
        <v>1965.6000000000004</v>
      </c>
      <c r="R7" s="28">
        <f t="shared" si="0"/>
        <v>1641.6000000000004</v>
      </c>
      <c r="S7" s="22">
        <v>1562</v>
      </c>
      <c r="T7" s="19">
        <f t="shared" ref="T7:T17" si="14">L7*10.5</f>
        <v>1444.8000000000002</v>
      </c>
      <c r="U7" s="25">
        <f t="shared" ref="U7:U17" si="15">M7*10.5</f>
        <v>1528.8000000000002</v>
      </c>
      <c r="V7" s="27">
        <f t="shared" si="1"/>
        <v>1276.8000000000002</v>
      </c>
      <c r="W7" s="21">
        <f t="shared" si="2"/>
        <v>173</v>
      </c>
      <c r="X7" s="25">
        <f t="shared" si="3"/>
        <v>116.96000000000002</v>
      </c>
      <c r="Y7" s="21">
        <v>117</v>
      </c>
      <c r="Z7" s="6">
        <f t="shared" si="4"/>
        <v>10.737572254335262</v>
      </c>
      <c r="AA7" s="36">
        <f t="shared" ref="AA7:AA17" si="16">T7/X7</f>
        <v>12.352941176470587</v>
      </c>
      <c r="AB7" s="1">
        <f t="shared" si="5"/>
        <v>67.606936416184979</v>
      </c>
    </row>
    <row r="8" spans="1:28" ht="28.8" x14ac:dyDescent="0.3">
      <c r="A8" s="3" t="s">
        <v>3</v>
      </c>
      <c r="B8" s="42">
        <v>125</v>
      </c>
      <c r="C8" s="42">
        <f>B8-E8</f>
        <v>6</v>
      </c>
      <c r="D8" s="102">
        <f t="shared" si="6"/>
        <v>13.089915966386554</v>
      </c>
      <c r="E8" s="40">
        <v>119</v>
      </c>
      <c r="F8" s="40">
        <v>9</v>
      </c>
      <c r="G8" s="41">
        <f t="shared" si="7"/>
        <v>13.5</v>
      </c>
      <c r="H8" s="38">
        <f t="shared" si="8"/>
        <v>128</v>
      </c>
      <c r="I8" s="39">
        <v>113.4</v>
      </c>
      <c r="J8" s="29">
        <v>48</v>
      </c>
      <c r="K8" s="29">
        <f t="shared" si="9"/>
        <v>9.6000000000000014</v>
      </c>
      <c r="L8" s="18">
        <f t="shared" si="10"/>
        <v>103.80000000000001</v>
      </c>
      <c r="M8" s="30">
        <f t="shared" si="11"/>
        <v>108.30000000000001</v>
      </c>
      <c r="N8" s="19">
        <v>1557.7</v>
      </c>
      <c r="O8" s="22">
        <v>1531</v>
      </c>
      <c r="P8" s="19">
        <f t="shared" si="12"/>
        <v>1401.3000000000002</v>
      </c>
      <c r="Q8" s="25">
        <f t="shared" si="13"/>
        <v>1462.0500000000002</v>
      </c>
      <c r="R8" s="28">
        <f t="shared" si="0"/>
        <v>1279.8000000000002</v>
      </c>
      <c r="S8" s="22">
        <v>1191</v>
      </c>
      <c r="T8" s="19">
        <f t="shared" si="14"/>
        <v>1089.9000000000001</v>
      </c>
      <c r="U8" s="25">
        <f t="shared" si="15"/>
        <v>1137.1500000000001</v>
      </c>
      <c r="V8" s="27">
        <f t="shared" si="1"/>
        <v>995.40000000000009</v>
      </c>
      <c r="W8" s="21">
        <f t="shared" si="2"/>
        <v>128</v>
      </c>
      <c r="X8" s="25">
        <f t="shared" si="3"/>
        <v>88.23</v>
      </c>
      <c r="Y8" s="21">
        <v>89</v>
      </c>
      <c r="Z8" s="6">
        <f t="shared" si="4"/>
        <v>10.947656250000001</v>
      </c>
      <c r="AA8" s="36">
        <f t="shared" si="16"/>
        <v>12.352941176470589</v>
      </c>
      <c r="AB8" s="1">
        <f t="shared" si="5"/>
        <v>68.9296875</v>
      </c>
    </row>
    <row r="9" spans="1:28" x14ac:dyDescent="0.3">
      <c r="A9" s="2" t="s">
        <v>4</v>
      </c>
      <c r="B9" s="41">
        <v>60</v>
      </c>
      <c r="C9" s="41">
        <v>0</v>
      </c>
      <c r="D9" s="102">
        <f t="shared" si="6"/>
        <v>17.435964912280703</v>
      </c>
      <c r="E9" s="38">
        <v>57</v>
      </c>
      <c r="F9" s="38">
        <v>4</v>
      </c>
      <c r="G9" s="41">
        <f t="shared" si="7"/>
        <v>6</v>
      </c>
      <c r="H9" s="38">
        <f t="shared" si="8"/>
        <v>61</v>
      </c>
      <c r="I9" s="39">
        <v>55.7</v>
      </c>
      <c r="J9" s="29">
        <v>30</v>
      </c>
      <c r="K9" s="29">
        <f t="shared" si="9"/>
        <v>6</v>
      </c>
      <c r="L9" s="18">
        <f t="shared" si="10"/>
        <v>49.7</v>
      </c>
      <c r="M9" s="30">
        <f t="shared" si="11"/>
        <v>51.7</v>
      </c>
      <c r="N9" s="19">
        <v>993.85</v>
      </c>
      <c r="O9" s="22">
        <v>752</v>
      </c>
      <c r="P9" s="19">
        <f t="shared" si="12"/>
        <v>670.95</v>
      </c>
      <c r="Q9" s="25">
        <f t="shared" si="13"/>
        <v>697.95</v>
      </c>
      <c r="R9" s="28">
        <f t="shared" si="0"/>
        <v>616.95000000000005</v>
      </c>
      <c r="S9" s="22">
        <v>585</v>
      </c>
      <c r="T9" s="19">
        <f t="shared" si="14"/>
        <v>521.85</v>
      </c>
      <c r="U9" s="25">
        <f t="shared" si="15"/>
        <v>542.85</v>
      </c>
      <c r="V9" s="27">
        <f t="shared" si="1"/>
        <v>479.85</v>
      </c>
      <c r="W9" s="21">
        <f t="shared" si="2"/>
        <v>61</v>
      </c>
      <c r="X9" s="25">
        <f t="shared" si="3"/>
        <v>42.245000000000005</v>
      </c>
      <c r="Y9" s="21">
        <v>43</v>
      </c>
      <c r="Z9" s="6">
        <f t="shared" si="4"/>
        <v>10.999180327868853</v>
      </c>
      <c r="AA9" s="36">
        <f t="shared" si="16"/>
        <v>12.352941176470587</v>
      </c>
      <c r="AB9" s="1">
        <f t="shared" si="5"/>
        <v>69.254098360655746</v>
      </c>
    </row>
    <row r="10" spans="1:28" x14ac:dyDescent="0.3">
      <c r="A10" s="2" t="s">
        <v>5</v>
      </c>
      <c r="B10" s="41">
        <v>242</v>
      </c>
      <c r="C10" s="41">
        <f>B10-E10</f>
        <v>112</v>
      </c>
      <c r="D10" s="102">
        <f t="shared" si="6"/>
        <v>22.576307692307694</v>
      </c>
      <c r="E10" s="38">
        <v>130</v>
      </c>
      <c r="F10" s="38">
        <v>19</v>
      </c>
      <c r="G10" s="41">
        <f t="shared" si="7"/>
        <v>28.5</v>
      </c>
      <c r="H10" s="38">
        <f t="shared" si="8"/>
        <v>149</v>
      </c>
      <c r="I10" s="39">
        <v>139.5</v>
      </c>
      <c r="J10" s="29">
        <v>55</v>
      </c>
      <c r="K10" s="29">
        <f t="shared" si="9"/>
        <v>11</v>
      </c>
      <c r="L10" s="18">
        <f t="shared" si="10"/>
        <v>128.5</v>
      </c>
      <c r="M10" s="30">
        <f t="shared" si="11"/>
        <v>138</v>
      </c>
      <c r="N10" s="19">
        <v>2934.92</v>
      </c>
      <c r="O10" s="22">
        <v>1881</v>
      </c>
      <c r="P10" s="19">
        <f t="shared" si="12"/>
        <v>1734.75</v>
      </c>
      <c r="Q10" s="25">
        <f t="shared" si="13"/>
        <v>1863</v>
      </c>
      <c r="R10" s="28">
        <f t="shared" si="0"/>
        <v>1478.25</v>
      </c>
      <c r="S10" s="22">
        <v>1463</v>
      </c>
      <c r="T10" s="19">
        <f t="shared" si="14"/>
        <v>1349.25</v>
      </c>
      <c r="U10" s="25">
        <f t="shared" si="15"/>
        <v>1449</v>
      </c>
      <c r="V10" s="27">
        <f t="shared" si="1"/>
        <v>1149.75</v>
      </c>
      <c r="W10" s="21">
        <f t="shared" si="2"/>
        <v>149</v>
      </c>
      <c r="X10" s="25">
        <f t="shared" si="3"/>
        <v>109.22499999999999</v>
      </c>
      <c r="Y10" s="21">
        <v>110</v>
      </c>
      <c r="Z10" s="6">
        <f t="shared" si="4"/>
        <v>11.64261744966443</v>
      </c>
      <c r="AA10" s="36">
        <f t="shared" si="16"/>
        <v>12.352941176470589</v>
      </c>
      <c r="AB10" s="1">
        <f t="shared" si="5"/>
        <v>73.305369127516769</v>
      </c>
    </row>
    <row r="11" spans="1:28" x14ac:dyDescent="0.3">
      <c r="A11" s="2" t="s">
        <v>6</v>
      </c>
      <c r="B11" s="41">
        <v>234</v>
      </c>
      <c r="C11" s="41">
        <f>B11-E11</f>
        <v>95</v>
      </c>
      <c r="D11" s="102">
        <f t="shared" si="6"/>
        <v>15.4368345323741</v>
      </c>
      <c r="E11" s="38">
        <v>139</v>
      </c>
      <c r="F11" s="38">
        <v>31</v>
      </c>
      <c r="G11" s="41">
        <f t="shared" si="7"/>
        <v>46.5</v>
      </c>
      <c r="H11" s="38">
        <f t="shared" si="8"/>
        <v>170</v>
      </c>
      <c r="I11" s="39">
        <v>161.30000000000001</v>
      </c>
      <c r="J11" s="29">
        <v>7</v>
      </c>
      <c r="K11" s="29">
        <f t="shared" si="9"/>
        <v>1.4000000000000001</v>
      </c>
      <c r="L11" s="18">
        <f t="shared" si="10"/>
        <v>159.9</v>
      </c>
      <c r="M11" s="30">
        <f t="shared" si="11"/>
        <v>175.4</v>
      </c>
      <c r="N11" s="19">
        <v>2145.7199999999998</v>
      </c>
      <c r="O11" s="22">
        <v>1892</v>
      </c>
      <c r="P11" s="19">
        <f t="shared" si="12"/>
        <v>2158.65</v>
      </c>
      <c r="Q11" s="25">
        <f t="shared" si="13"/>
        <v>2367.9</v>
      </c>
      <c r="R11" s="28">
        <f t="shared" si="0"/>
        <v>1740.15</v>
      </c>
      <c r="S11" s="22">
        <v>1472</v>
      </c>
      <c r="T11" s="19">
        <f t="shared" si="14"/>
        <v>1678.95</v>
      </c>
      <c r="U11" s="25">
        <f t="shared" si="15"/>
        <v>1841.7</v>
      </c>
      <c r="V11" s="27">
        <f t="shared" si="1"/>
        <v>1353.45</v>
      </c>
      <c r="W11" s="21">
        <f t="shared" si="2"/>
        <v>170</v>
      </c>
      <c r="X11" s="25">
        <f t="shared" si="3"/>
        <v>135.91499999999999</v>
      </c>
      <c r="Y11" s="21">
        <v>136</v>
      </c>
      <c r="Z11" s="36">
        <f t="shared" si="4"/>
        <v>12.697941176470589</v>
      </c>
      <c r="AA11" s="6">
        <f t="shared" si="16"/>
        <v>12.352941176470589</v>
      </c>
      <c r="AB11" s="1">
        <f t="shared" si="5"/>
        <v>79.95</v>
      </c>
    </row>
    <row r="12" spans="1:28" x14ac:dyDescent="0.3">
      <c r="A12" s="2" t="s">
        <v>7</v>
      </c>
      <c r="B12" s="41">
        <v>363</v>
      </c>
      <c r="C12" s="41">
        <f>B12-E12</f>
        <v>64</v>
      </c>
      <c r="D12" s="102">
        <f t="shared" si="6"/>
        <v>16.105016722408024</v>
      </c>
      <c r="E12" s="38">
        <v>299</v>
      </c>
      <c r="F12" s="38">
        <v>7</v>
      </c>
      <c r="G12" s="41">
        <f t="shared" si="7"/>
        <v>10.5</v>
      </c>
      <c r="H12" s="38">
        <f t="shared" si="8"/>
        <v>306</v>
      </c>
      <c r="I12" s="39">
        <v>278.3</v>
      </c>
      <c r="J12" s="29">
        <v>149</v>
      </c>
      <c r="K12" s="29">
        <f t="shared" si="9"/>
        <v>29.8</v>
      </c>
      <c r="L12" s="18">
        <f t="shared" si="10"/>
        <v>248.5</v>
      </c>
      <c r="M12" s="30">
        <f t="shared" si="11"/>
        <v>252</v>
      </c>
      <c r="N12" s="19">
        <v>4815.3999999999996</v>
      </c>
      <c r="O12" s="22">
        <v>3742</v>
      </c>
      <c r="P12" s="19">
        <f t="shared" si="12"/>
        <v>3354.75</v>
      </c>
      <c r="Q12" s="25">
        <f t="shared" si="13"/>
        <v>3402</v>
      </c>
      <c r="R12" s="28">
        <f t="shared" si="0"/>
        <v>3260.25</v>
      </c>
      <c r="S12" s="22">
        <v>2911</v>
      </c>
      <c r="T12" s="19">
        <f t="shared" si="14"/>
        <v>2609.25</v>
      </c>
      <c r="U12" s="25">
        <f t="shared" si="15"/>
        <v>2646</v>
      </c>
      <c r="V12" s="27">
        <f t="shared" si="1"/>
        <v>2535.75</v>
      </c>
      <c r="W12" s="21">
        <f t="shared" si="2"/>
        <v>306</v>
      </c>
      <c r="X12" s="25">
        <f t="shared" si="3"/>
        <v>211.22499999999999</v>
      </c>
      <c r="Y12" s="21">
        <v>212</v>
      </c>
      <c r="Z12" s="6">
        <f t="shared" si="4"/>
        <v>10.963235294117647</v>
      </c>
      <c r="AA12" s="36">
        <f t="shared" si="16"/>
        <v>12.352941176470589</v>
      </c>
      <c r="AB12" s="1">
        <f t="shared" si="5"/>
        <v>69.027777777777771</v>
      </c>
    </row>
    <row r="13" spans="1:28" x14ac:dyDescent="0.3">
      <c r="A13" s="2" t="s">
        <v>8</v>
      </c>
      <c r="B13" s="41">
        <v>83</v>
      </c>
      <c r="C13" s="41">
        <v>0</v>
      </c>
      <c r="D13" s="102">
        <f t="shared" si="6"/>
        <v>14.550238095238095</v>
      </c>
      <c r="E13" s="38">
        <v>84</v>
      </c>
      <c r="F13" s="38">
        <v>10</v>
      </c>
      <c r="G13" s="41">
        <f t="shared" si="7"/>
        <v>15</v>
      </c>
      <c r="H13" s="38">
        <f t="shared" si="8"/>
        <v>94</v>
      </c>
      <c r="I13" s="39">
        <v>80</v>
      </c>
      <c r="J13" s="29">
        <v>20</v>
      </c>
      <c r="K13" s="29">
        <f t="shared" si="9"/>
        <v>4</v>
      </c>
      <c r="L13" s="18">
        <f t="shared" si="10"/>
        <v>76</v>
      </c>
      <c r="M13" s="30">
        <f t="shared" si="11"/>
        <v>81</v>
      </c>
      <c r="N13" s="19">
        <v>1222.22</v>
      </c>
      <c r="O13" s="22">
        <v>876</v>
      </c>
      <c r="P13" s="19">
        <f t="shared" si="12"/>
        <v>1026</v>
      </c>
      <c r="Q13" s="25">
        <f t="shared" si="13"/>
        <v>1093.5</v>
      </c>
      <c r="R13" s="28">
        <f t="shared" si="0"/>
        <v>891</v>
      </c>
      <c r="S13" s="22">
        <v>681</v>
      </c>
      <c r="T13" s="19">
        <f t="shared" si="14"/>
        <v>798</v>
      </c>
      <c r="U13" s="25">
        <f t="shared" si="15"/>
        <v>850.5</v>
      </c>
      <c r="V13" s="27">
        <f t="shared" si="1"/>
        <v>693</v>
      </c>
      <c r="W13" s="21">
        <f t="shared" si="2"/>
        <v>94</v>
      </c>
      <c r="X13" s="25">
        <f t="shared" si="3"/>
        <v>64.599999999999994</v>
      </c>
      <c r="Y13" s="21">
        <v>65</v>
      </c>
      <c r="Z13" s="6">
        <f t="shared" si="4"/>
        <v>10.914893617021276</v>
      </c>
      <c r="AA13" s="36">
        <f t="shared" si="16"/>
        <v>12.352941176470589</v>
      </c>
      <c r="AB13" s="1">
        <f t="shared" si="5"/>
        <v>68.723404255319139</v>
      </c>
    </row>
    <row r="14" spans="1:28" x14ac:dyDescent="0.3">
      <c r="A14" s="2" t="s">
        <v>9</v>
      </c>
      <c r="B14" s="41">
        <v>134</v>
      </c>
      <c r="C14" s="41">
        <f>B14-E14</f>
        <v>18</v>
      </c>
      <c r="D14" s="102">
        <f t="shared" si="6"/>
        <v>16.175172413793103</v>
      </c>
      <c r="E14" s="38">
        <v>116</v>
      </c>
      <c r="F14" s="38">
        <v>12</v>
      </c>
      <c r="G14" s="41">
        <f t="shared" si="7"/>
        <v>18</v>
      </c>
      <c r="H14" s="38">
        <f t="shared" si="8"/>
        <v>128</v>
      </c>
      <c r="I14" s="39">
        <v>117.7</v>
      </c>
      <c r="J14" s="29">
        <v>33</v>
      </c>
      <c r="K14" s="29">
        <f t="shared" si="9"/>
        <v>6.6000000000000005</v>
      </c>
      <c r="L14" s="18">
        <f>I14-K14</f>
        <v>111.10000000000001</v>
      </c>
      <c r="M14" s="30">
        <f t="shared" si="11"/>
        <v>117.10000000000001</v>
      </c>
      <c r="N14" s="20">
        <v>1876.32</v>
      </c>
      <c r="O14" s="22">
        <v>1196</v>
      </c>
      <c r="P14" s="19">
        <f t="shared" si="12"/>
        <v>1499.8500000000001</v>
      </c>
      <c r="Q14" s="25">
        <f t="shared" si="13"/>
        <v>1580.8500000000001</v>
      </c>
      <c r="R14" s="28">
        <f t="shared" si="0"/>
        <v>1337.8500000000001</v>
      </c>
      <c r="S14" s="22">
        <v>930</v>
      </c>
      <c r="T14" s="19">
        <f t="shared" si="14"/>
        <v>1166.5500000000002</v>
      </c>
      <c r="U14" s="25">
        <f t="shared" si="15"/>
        <v>1229.5500000000002</v>
      </c>
      <c r="V14" s="27">
        <f t="shared" si="1"/>
        <v>1040.5500000000002</v>
      </c>
      <c r="W14" s="21">
        <f t="shared" si="2"/>
        <v>128</v>
      </c>
      <c r="X14" s="25">
        <f t="shared" si="3"/>
        <v>94.435000000000002</v>
      </c>
      <c r="Y14" s="21">
        <v>99</v>
      </c>
      <c r="Z14" s="6">
        <f t="shared" si="4"/>
        <v>11.717578125000001</v>
      </c>
      <c r="AA14" s="36">
        <f t="shared" si="16"/>
        <v>12.352941176470591</v>
      </c>
      <c r="AB14" s="1">
        <f t="shared" ref="AB14:AB16" si="17">X14/W14*100</f>
        <v>73.77734375</v>
      </c>
    </row>
    <row r="15" spans="1:28" x14ac:dyDescent="0.3">
      <c r="A15" s="2" t="s">
        <v>10</v>
      </c>
      <c r="B15" s="44">
        <v>165</v>
      </c>
      <c r="C15" s="41">
        <v>0</v>
      </c>
      <c r="D15" s="102">
        <f t="shared" si="6"/>
        <v>15.822370689655171</v>
      </c>
      <c r="E15" s="38">
        <v>232</v>
      </c>
      <c r="F15" s="38">
        <v>38</v>
      </c>
      <c r="G15" s="41">
        <f t="shared" si="7"/>
        <v>57</v>
      </c>
      <c r="H15" s="38">
        <f t="shared" si="8"/>
        <v>270</v>
      </c>
      <c r="I15" s="39">
        <v>252.2</v>
      </c>
      <c r="J15" s="29">
        <v>98</v>
      </c>
      <c r="K15" s="29">
        <f t="shared" si="9"/>
        <v>19.600000000000001</v>
      </c>
      <c r="L15" s="18">
        <f t="shared" si="10"/>
        <v>232.6</v>
      </c>
      <c r="M15" s="30">
        <f t="shared" si="11"/>
        <v>251.6</v>
      </c>
      <c r="N15" s="19">
        <v>3670.79</v>
      </c>
      <c r="O15" s="22">
        <v>3306</v>
      </c>
      <c r="P15" s="19">
        <f t="shared" si="12"/>
        <v>3140.1</v>
      </c>
      <c r="Q15" s="25">
        <f t="shared" si="13"/>
        <v>3396.6</v>
      </c>
      <c r="R15" s="28">
        <f t="shared" si="0"/>
        <v>2627.1</v>
      </c>
      <c r="S15" s="22">
        <v>2571</v>
      </c>
      <c r="T15" s="19">
        <f t="shared" si="14"/>
        <v>2442.2999999999997</v>
      </c>
      <c r="U15" s="25">
        <f t="shared" si="15"/>
        <v>2641.7999999999997</v>
      </c>
      <c r="V15" s="27">
        <f t="shared" si="1"/>
        <v>2043.3</v>
      </c>
      <c r="W15" s="21">
        <f t="shared" si="2"/>
        <v>270</v>
      </c>
      <c r="X15" s="25">
        <f t="shared" si="3"/>
        <v>197.70999999999998</v>
      </c>
      <c r="Y15" s="21">
        <v>198</v>
      </c>
      <c r="Z15" s="6">
        <f t="shared" si="4"/>
        <v>11.629999999999999</v>
      </c>
      <c r="AA15" s="36">
        <f t="shared" si="16"/>
        <v>12.352941176470589</v>
      </c>
      <c r="AB15" s="1">
        <f t="shared" si="17"/>
        <v>73.225925925925921</v>
      </c>
    </row>
    <row r="16" spans="1:28" x14ac:dyDescent="0.3">
      <c r="A16" s="2" t="s">
        <v>11</v>
      </c>
      <c r="B16" s="41">
        <v>84</v>
      </c>
      <c r="C16" s="41">
        <v>0</v>
      </c>
      <c r="D16" s="102">
        <f t="shared" si="6"/>
        <v>12.898333333333333</v>
      </c>
      <c r="E16" s="38">
        <v>84</v>
      </c>
      <c r="F16" s="38">
        <v>4</v>
      </c>
      <c r="G16" s="41">
        <f t="shared" si="7"/>
        <v>6</v>
      </c>
      <c r="H16" s="38">
        <f t="shared" si="8"/>
        <v>88</v>
      </c>
      <c r="I16" s="39">
        <v>76.3</v>
      </c>
      <c r="J16" s="29">
        <v>24</v>
      </c>
      <c r="K16" s="29">
        <f t="shared" si="9"/>
        <v>4.8000000000000007</v>
      </c>
      <c r="L16" s="18">
        <f t="shared" si="10"/>
        <v>71.5</v>
      </c>
      <c r="M16" s="30">
        <f t="shared" si="11"/>
        <v>73.5</v>
      </c>
      <c r="N16" s="19">
        <v>1083.46</v>
      </c>
      <c r="O16" s="22">
        <v>705</v>
      </c>
      <c r="P16" s="19">
        <f t="shared" si="12"/>
        <v>965.25</v>
      </c>
      <c r="Q16" s="25">
        <f t="shared" si="13"/>
        <v>992.25</v>
      </c>
      <c r="R16" s="28">
        <f t="shared" si="0"/>
        <v>911.25</v>
      </c>
      <c r="S16" s="22">
        <v>548</v>
      </c>
      <c r="T16" s="19">
        <f t="shared" si="14"/>
        <v>750.75</v>
      </c>
      <c r="U16" s="25">
        <f t="shared" si="15"/>
        <v>771.75</v>
      </c>
      <c r="V16" s="27">
        <f t="shared" si="1"/>
        <v>708.75</v>
      </c>
      <c r="W16" s="21">
        <f t="shared" si="2"/>
        <v>88</v>
      </c>
      <c r="X16" s="25">
        <f t="shared" si="3"/>
        <v>60.774999999999999</v>
      </c>
      <c r="Y16" s="21">
        <v>61</v>
      </c>
      <c r="Z16" s="6">
        <f t="shared" si="4"/>
        <v>10.96875</v>
      </c>
      <c r="AA16" s="36">
        <f t="shared" si="16"/>
        <v>12.352941176470589</v>
      </c>
      <c r="AB16" s="1">
        <f t="shared" si="17"/>
        <v>69.0625</v>
      </c>
    </row>
    <row r="17" spans="1:28" x14ac:dyDescent="0.3">
      <c r="A17" s="2" t="s">
        <v>12</v>
      </c>
      <c r="B17" s="41">
        <v>49</v>
      </c>
      <c r="C17" s="41">
        <v>0</v>
      </c>
      <c r="D17" s="102">
        <f t="shared" si="6"/>
        <v>20.172040816326529</v>
      </c>
      <c r="E17" s="38">
        <v>49</v>
      </c>
      <c r="F17" s="38">
        <v>3</v>
      </c>
      <c r="G17" s="41">
        <f t="shared" si="7"/>
        <v>4.5</v>
      </c>
      <c r="H17" s="38">
        <f t="shared" si="8"/>
        <v>52</v>
      </c>
      <c r="I17" s="39">
        <v>50.9</v>
      </c>
      <c r="J17" s="29">
        <v>7</v>
      </c>
      <c r="K17" s="29">
        <f t="shared" si="9"/>
        <v>1.4000000000000001</v>
      </c>
      <c r="L17" s="18">
        <f t="shared" si="10"/>
        <v>49.5</v>
      </c>
      <c r="M17" s="30">
        <f t="shared" si="11"/>
        <v>51</v>
      </c>
      <c r="N17" s="19">
        <v>988.43</v>
      </c>
      <c r="O17" s="22">
        <v>687</v>
      </c>
      <c r="P17" s="19">
        <f t="shared" si="12"/>
        <v>668.25</v>
      </c>
      <c r="Q17" s="25">
        <f t="shared" si="13"/>
        <v>688.5</v>
      </c>
      <c r="R17" s="28">
        <f t="shared" si="0"/>
        <v>627.75</v>
      </c>
      <c r="S17" s="22">
        <v>534</v>
      </c>
      <c r="T17" s="19">
        <f t="shared" si="14"/>
        <v>519.75</v>
      </c>
      <c r="U17" s="25">
        <f t="shared" si="15"/>
        <v>535.5</v>
      </c>
      <c r="V17" s="27">
        <f t="shared" si="1"/>
        <v>488.25</v>
      </c>
      <c r="W17" s="21">
        <f t="shared" si="2"/>
        <v>52</v>
      </c>
      <c r="X17" s="25">
        <f t="shared" si="3"/>
        <v>42.074999999999996</v>
      </c>
      <c r="Y17" s="21">
        <v>43</v>
      </c>
      <c r="Z17" s="36">
        <f t="shared" si="4"/>
        <v>12.850961538461538</v>
      </c>
      <c r="AA17" s="6">
        <f t="shared" si="16"/>
        <v>12.352941176470589</v>
      </c>
      <c r="AB17" s="1">
        <f>X17/W17*100</f>
        <v>80.913461538461533</v>
      </c>
    </row>
    <row r="18" spans="1:28" x14ac:dyDescent="0.3">
      <c r="A18" s="31" t="s">
        <v>21</v>
      </c>
      <c r="B18" s="35">
        <f>SUM(B6:B17)</f>
        <v>1765</v>
      </c>
      <c r="C18" s="43">
        <f t="shared" ref="C18" si="18">SUM(C6:C17)</f>
        <v>295</v>
      </c>
      <c r="D18" s="43"/>
      <c r="E18" s="32">
        <f>SUM(E6:E17)</f>
        <v>1572</v>
      </c>
      <c r="F18" s="32">
        <f>SUM(F6:F17)</f>
        <v>168</v>
      </c>
      <c r="G18" s="35">
        <f>SUM(G6:G17)</f>
        <v>252</v>
      </c>
      <c r="H18" s="32">
        <f>SUM(H6:H17)</f>
        <v>1740</v>
      </c>
      <c r="I18" s="32">
        <f t="shared" ref="I18:Y18" si="19">SUM(I6:I17)</f>
        <v>1581.9</v>
      </c>
      <c r="J18" s="32">
        <f t="shared" si="19"/>
        <v>548</v>
      </c>
      <c r="K18" s="32">
        <f t="shared" si="19"/>
        <v>109.60000000000001</v>
      </c>
      <c r="L18" s="32">
        <f t="shared" si="19"/>
        <v>1472.3</v>
      </c>
      <c r="M18" s="35">
        <f t="shared" si="19"/>
        <v>1556.2999999999997</v>
      </c>
      <c r="N18" s="33">
        <f t="shared" si="19"/>
        <v>24503.58</v>
      </c>
      <c r="O18" s="34">
        <f t="shared" si="19"/>
        <v>20032</v>
      </c>
      <c r="P18" s="33">
        <f t="shared" si="19"/>
        <v>19876.05</v>
      </c>
      <c r="Q18" s="33">
        <f t="shared" si="19"/>
        <v>21010.05</v>
      </c>
      <c r="R18" s="34">
        <f>SUM(R6:R17)</f>
        <v>17608.050000000003</v>
      </c>
      <c r="S18" s="34">
        <f t="shared" si="19"/>
        <v>15580</v>
      </c>
      <c r="T18" s="33">
        <f t="shared" si="19"/>
        <v>15459.149999999998</v>
      </c>
      <c r="U18" s="33">
        <f t="shared" si="19"/>
        <v>16341.149999999998</v>
      </c>
      <c r="V18" s="33">
        <f t="shared" si="19"/>
        <v>13695.149999999998</v>
      </c>
      <c r="W18" s="34">
        <f t="shared" si="19"/>
        <v>1740</v>
      </c>
      <c r="X18" s="33">
        <f t="shared" si="19"/>
        <v>1251.4550000000002</v>
      </c>
      <c r="Y18" s="34">
        <f t="shared" si="19"/>
        <v>1262</v>
      </c>
      <c r="Z18" s="32" t="s">
        <v>18</v>
      </c>
      <c r="AA18" s="32" t="s">
        <v>18</v>
      </c>
      <c r="AB18" s="5" t="s">
        <v>18</v>
      </c>
    </row>
    <row r="19" spans="1:28" x14ac:dyDescent="0.3">
      <c r="A19" s="31" t="s">
        <v>66</v>
      </c>
      <c r="B19" s="81"/>
      <c r="C19" s="82"/>
      <c r="D19" s="82"/>
      <c r="E19" s="83"/>
      <c r="F19" s="99"/>
      <c r="G19" s="99"/>
      <c r="H19" s="99"/>
      <c r="I19" s="99"/>
      <c r="J19" s="83"/>
      <c r="K19" s="83"/>
      <c r="L19" s="83"/>
      <c r="M19" s="84"/>
      <c r="N19" s="33">
        <v>3051.3</v>
      </c>
      <c r="O19" s="85"/>
      <c r="P19" s="86"/>
      <c r="Q19" s="86"/>
      <c r="R19" s="87"/>
      <c r="S19" s="87"/>
      <c r="T19" s="86"/>
      <c r="U19" s="86"/>
      <c r="V19" s="86"/>
      <c r="W19" s="87"/>
      <c r="X19" s="86"/>
      <c r="Y19" s="87"/>
      <c r="Z19" s="83"/>
      <c r="AA19" s="84"/>
      <c r="AB19" s="46"/>
    </row>
    <row r="20" spans="1:28" s="52" customFormat="1" x14ac:dyDescent="0.3">
      <c r="A20" s="53" t="s">
        <v>53</v>
      </c>
      <c r="B20" s="55"/>
      <c r="C20" s="56"/>
      <c r="D20" s="56"/>
      <c r="E20" s="57"/>
      <c r="F20" s="47"/>
      <c r="G20" s="47"/>
      <c r="H20" s="47"/>
      <c r="I20" s="98"/>
      <c r="J20" s="57"/>
      <c r="K20" s="57"/>
      <c r="L20" s="57"/>
      <c r="M20" s="58"/>
      <c r="N20" s="65">
        <v>1478.64</v>
      </c>
      <c r="O20" s="66"/>
      <c r="P20" s="67"/>
      <c r="Q20" s="67"/>
      <c r="R20" s="68"/>
      <c r="S20" s="68"/>
      <c r="T20" s="67"/>
      <c r="U20" s="67"/>
      <c r="V20" s="67"/>
      <c r="W20" s="68"/>
      <c r="X20" s="67"/>
      <c r="Y20" s="68"/>
      <c r="Z20" s="57"/>
      <c r="AA20" s="58"/>
      <c r="AB20" s="51"/>
    </row>
    <row r="21" spans="1:28" s="52" customFormat="1" x14ac:dyDescent="0.3">
      <c r="A21" s="89" t="s">
        <v>54</v>
      </c>
      <c r="B21" s="59"/>
      <c r="C21" s="48"/>
      <c r="D21" s="48"/>
      <c r="E21" s="47"/>
      <c r="F21" s="47"/>
      <c r="G21" s="47"/>
      <c r="H21" s="47"/>
      <c r="I21" s="98"/>
      <c r="J21" s="47"/>
      <c r="K21" s="47"/>
      <c r="L21" s="47"/>
      <c r="M21" s="60"/>
      <c r="N21" s="65">
        <v>80.19</v>
      </c>
      <c r="O21" s="69"/>
      <c r="P21" s="49"/>
      <c r="Q21" s="49"/>
      <c r="R21" s="50"/>
      <c r="S21" s="50"/>
      <c r="T21" s="49"/>
      <c r="U21" s="49"/>
      <c r="V21" s="49"/>
      <c r="W21" s="50"/>
      <c r="X21" s="49"/>
      <c r="Y21" s="50"/>
      <c r="Z21" s="47"/>
      <c r="AA21" s="60"/>
      <c r="AB21" s="51"/>
    </row>
    <row r="22" spans="1:28" s="52" customFormat="1" x14ac:dyDescent="0.3">
      <c r="A22" s="53" t="s">
        <v>55</v>
      </c>
      <c r="B22" s="59"/>
      <c r="C22" s="48"/>
      <c r="D22" s="48"/>
      <c r="E22" s="47"/>
      <c r="F22" s="47"/>
      <c r="G22" s="47"/>
      <c r="H22" s="47"/>
      <c r="I22" s="47"/>
      <c r="J22" s="47" t="s">
        <v>78</v>
      </c>
      <c r="K22" s="49">
        <f>(N15+N12)-1600</f>
        <v>6886.1899999999987</v>
      </c>
      <c r="L22" s="47">
        <f>E15+E12</f>
        <v>531</v>
      </c>
      <c r="M22" s="60"/>
      <c r="N22" s="65">
        <v>91.02</v>
      </c>
      <c r="O22" s="69"/>
      <c r="P22" s="49"/>
      <c r="Q22" s="49"/>
      <c r="R22" s="50"/>
      <c r="S22" s="50"/>
      <c r="T22" s="49"/>
      <c r="U22" s="49"/>
      <c r="V22" s="49"/>
      <c r="W22" s="50"/>
      <c r="X22" s="49"/>
      <c r="Y22" s="50"/>
      <c r="Z22" s="47"/>
      <c r="AA22" s="60"/>
      <c r="AB22" s="51"/>
    </row>
    <row r="23" spans="1:28" s="52" customFormat="1" x14ac:dyDescent="0.3">
      <c r="A23" s="53" t="s">
        <v>57</v>
      </c>
      <c r="B23" s="59"/>
      <c r="C23" s="48"/>
      <c r="D23" s="48"/>
      <c r="E23" s="47"/>
      <c r="F23" s="47"/>
      <c r="G23" s="47"/>
      <c r="H23" s="47"/>
      <c r="I23" s="47"/>
      <c r="J23" s="47"/>
      <c r="K23" s="47">
        <f>K22/L22</f>
        <v>12.968342749529187</v>
      </c>
      <c r="L23" s="47"/>
      <c r="M23" s="60"/>
      <c r="N23" s="65">
        <v>40</v>
      </c>
      <c r="O23" s="69"/>
      <c r="P23" s="90"/>
      <c r="Q23" s="49"/>
      <c r="R23" s="88"/>
      <c r="S23" s="50"/>
      <c r="T23" s="49"/>
      <c r="U23" s="49"/>
      <c r="V23" s="49"/>
      <c r="W23" s="50"/>
      <c r="X23" s="49"/>
      <c r="Y23" s="50"/>
      <c r="Z23" s="47"/>
      <c r="AA23" s="60"/>
      <c r="AB23" s="51"/>
    </row>
    <row r="24" spans="1:28" s="52" customFormat="1" x14ac:dyDescent="0.3">
      <c r="A24" s="89" t="s">
        <v>56</v>
      </c>
      <c r="B24" s="59"/>
      <c r="C24" s="48"/>
      <c r="D24" s="48"/>
      <c r="E24" s="47"/>
      <c r="F24" s="47"/>
      <c r="G24" s="47"/>
      <c r="H24" s="47"/>
      <c r="I24" s="47"/>
      <c r="J24" s="47"/>
      <c r="K24" s="47"/>
      <c r="L24" s="47"/>
      <c r="M24" s="60"/>
      <c r="N24" s="65">
        <v>245.17</v>
      </c>
      <c r="O24" s="69"/>
      <c r="P24" s="91"/>
      <c r="Q24" s="91"/>
      <c r="R24" s="91"/>
      <c r="S24" s="50"/>
      <c r="T24" s="49"/>
      <c r="U24" s="49"/>
      <c r="V24" s="49"/>
      <c r="W24" s="50"/>
      <c r="X24" s="49"/>
      <c r="Y24" s="50"/>
      <c r="Z24" s="47"/>
      <c r="AA24" s="60"/>
      <c r="AB24" s="51"/>
    </row>
    <row r="25" spans="1:28" s="52" customFormat="1" x14ac:dyDescent="0.3">
      <c r="A25" s="53" t="s">
        <v>58</v>
      </c>
      <c r="B25" s="59"/>
      <c r="C25" s="48"/>
      <c r="D25" s="48"/>
      <c r="E25" s="47"/>
      <c r="F25" s="47"/>
      <c r="G25" s="47"/>
      <c r="H25" s="47"/>
      <c r="I25" s="47"/>
      <c r="J25" s="47"/>
      <c r="K25" s="47"/>
      <c r="L25" s="47"/>
      <c r="M25" s="60"/>
      <c r="N25" s="65">
        <v>26.66</v>
      </c>
      <c r="O25" s="69"/>
      <c r="P25" s="92"/>
      <c r="Q25" s="92"/>
      <c r="R25" s="92"/>
      <c r="S25" s="50"/>
      <c r="T25" s="49"/>
      <c r="U25" s="49"/>
      <c r="V25" s="49"/>
      <c r="W25" s="50"/>
      <c r="X25" s="49"/>
      <c r="Y25" s="50"/>
      <c r="Z25" s="47"/>
      <c r="AA25" s="60"/>
      <c r="AB25" s="51"/>
    </row>
    <row r="26" spans="1:28" s="52" customFormat="1" ht="43.2" x14ac:dyDescent="0.3">
      <c r="A26" s="53" t="s">
        <v>59</v>
      </c>
      <c r="B26" s="59"/>
      <c r="C26" s="48"/>
      <c r="D26" s="48"/>
      <c r="E26" s="47"/>
      <c r="F26" s="47"/>
      <c r="G26" s="47"/>
      <c r="H26" s="47"/>
      <c r="I26" s="47"/>
      <c r="J26" s="47"/>
      <c r="K26" s="47"/>
      <c r="L26" s="47"/>
      <c r="M26" s="60"/>
      <c r="N26" s="65">
        <v>412.36</v>
      </c>
      <c r="O26" s="69"/>
      <c r="P26" s="49"/>
      <c r="Q26" s="49"/>
      <c r="R26" s="50"/>
      <c r="S26" s="50"/>
      <c r="T26" s="49"/>
      <c r="U26" s="49"/>
      <c r="V26" s="49"/>
      <c r="W26" s="50"/>
      <c r="X26" s="49"/>
      <c r="Y26" s="50"/>
      <c r="Z26" s="47"/>
      <c r="AA26" s="60"/>
      <c r="AB26" s="51"/>
    </row>
    <row r="27" spans="1:28" s="52" customFormat="1" x14ac:dyDescent="0.3">
      <c r="A27" s="89" t="s">
        <v>60</v>
      </c>
      <c r="B27" s="59"/>
      <c r="C27" s="48"/>
      <c r="D27" s="48"/>
      <c r="E27" s="47"/>
      <c r="F27" s="47"/>
      <c r="G27" s="47"/>
      <c r="H27" s="47"/>
      <c r="I27" s="47"/>
      <c r="J27" s="47"/>
      <c r="K27" s="47"/>
      <c r="L27" s="47"/>
      <c r="M27" s="60"/>
      <c r="N27" s="65">
        <v>1862.45</v>
      </c>
      <c r="O27" s="69"/>
      <c r="P27" s="49"/>
      <c r="Q27" s="49"/>
      <c r="R27" s="50"/>
      <c r="S27" s="50"/>
      <c r="T27" s="49"/>
      <c r="U27" s="49"/>
      <c r="V27" s="49"/>
      <c r="W27" s="50"/>
      <c r="X27" s="49"/>
      <c r="Y27" s="50"/>
      <c r="Z27" s="47"/>
      <c r="AA27" s="60"/>
      <c r="AB27" s="51"/>
    </row>
    <row r="28" spans="1:28" s="52" customFormat="1" x14ac:dyDescent="0.3">
      <c r="A28" s="89" t="s">
        <v>61</v>
      </c>
      <c r="B28" s="59"/>
      <c r="C28" s="48"/>
      <c r="D28" s="48"/>
      <c r="E28" s="47"/>
      <c r="F28" s="47"/>
      <c r="G28" s="47"/>
      <c r="H28" s="47"/>
      <c r="I28" s="47"/>
      <c r="J28" s="47"/>
      <c r="K28" s="47"/>
      <c r="L28" s="47"/>
      <c r="M28" s="60"/>
      <c r="N28" s="65">
        <v>233.23</v>
      </c>
      <c r="O28" s="69"/>
      <c r="P28" s="49"/>
      <c r="Q28" s="49"/>
      <c r="R28" s="50"/>
      <c r="S28" s="50"/>
      <c r="T28" s="49"/>
      <c r="U28" s="49"/>
      <c r="V28" s="49"/>
      <c r="W28" s="50"/>
      <c r="X28" s="49"/>
      <c r="Y28" s="50"/>
      <c r="Z28" s="47"/>
      <c r="AA28" s="60"/>
      <c r="AB28" s="51"/>
    </row>
    <row r="29" spans="1:28" s="52" customFormat="1" x14ac:dyDescent="0.3">
      <c r="A29" s="53" t="s">
        <v>62</v>
      </c>
      <c r="B29" s="59"/>
      <c r="C29" s="48"/>
      <c r="D29" s="48"/>
      <c r="E29" s="47"/>
      <c r="F29" s="47"/>
      <c r="G29" s="47"/>
      <c r="H29" s="47"/>
      <c r="I29" s="47"/>
      <c r="J29" s="47"/>
      <c r="K29" s="47"/>
      <c r="L29" s="47"/>
      <c r="M29" s="60"/>
      <c r="N29" s="65">
        <v>469</v>
      </c>
      <c r="O29" s="69"/>
      <c r="P29" s="49"/>
      <c r="Q29" s="49"/>
      <c r="R29" s="50"/>
      <c r="S29" s="50"/>
      <c r="T29" s="49"/>
      <c r="U29" s="49"/>
      <c r="V29" s="49"/>
      <c r="W29" s="50"/>
      <c r="X29" s="49"/>
      <c r="Y29" s="50"/>
      <c r="Z29" s="47"/>
      <c r="AA29" s="60"/>
      <c r="AB29" s="51"/>
    </row>
    <row r="30" spans="1:28" s="52" customFormat="1" x14ac:dyDescent="0.3">
      <c r="A30" s="53" t="s">
        <v>63</v>
      </c>
      <c r="B30" s="59"/>
      <c r="C30" s="48"/>
      <c r="D30" s="48"/>
      <c r="E30" s="47"/>
      <c r="F30" s="47"/>
      <c r="G30" s="47"/>
      <c r="H30" s="47"/>
      <c r="I30" s="47"/>
      <c r="J30" s="47"/>
      <c r="K30" s="47"/>
      <c r="L30" s="47"/>
      <c r="M30" s="60"/>
      <c r="N30" s="65">
        <v>145</v>
      </c>
      <c r="O30" s="69"/>
      <c r="P30" s="49"/>
      <c r="Q30" s="49"/>
      <c r="R30" s="50"/>
      <c r="S30" s="50"/>
      <c r="T30" s="49"/>
      <c r="U30" s="49"/>
      <c r="V30" s="49"/>
      <c r="W30" s="50"/>
      <c r="X30" s="49"/>
      <c r="Y30" s="50"/>
      <c r="Z30" s="47"/>
      <c r="AA30" s="60"/>
      <c r="AB30" s="51"/>
    </row>
    <row r="31" spans="1:28" s="52" customFormat="1" x14ac:dyDescent="0.3">
      <c r="A31" s="54" t="s">
        <v>64</v>
      </c>
      <c r="B31" s="61"/>
      <c r="C31" s="62"/>
      <c r="D31" s="62"/>
      <c r="E31" s="63"/>
      <c r="F31" s="63"/>
      <c r="G31" s="63"/>
      <c r="H31" s="63"/>
      <c r="I31" s="63"/>
      <c r="J31" s="63"/>
      <c r="K31" s="63"/>
      <c r="L31" s="63"/>
      <c r="M31" s="64"/>
      <c r="N31" s="33">
        <f>SUM(N20:N30)</f>
        <v>5083.72</v>
      </c>
      <c r="O31" s="70"/>
      <c r="P31" s="71"/>
      <c r="Q31" s="71"/>
      <c r="R31" s="72"/>
      <c r="S31" s="72"/>
      <c r="T31" s="71"/>
      <c r="U31" s="71"/>
      <c r="V31" s="71"/>
      <c r="W31" s="72"/>
      <c r="X31" s="71"/>
      <c r="Y31" s="72"/>
      <c r="Z31" s="63"/>
      <c r="AA31" s="64"/>
      <c r="AB31" s="51"/>
    </row>
    <row r="32" spans="1:28" s="52" customFormat="1" x14ac:dyDescent="0.3">
      <c r="A32" s="54" t="s">
        <v>65</v>
      </c>
      <c r="B32" s="73"/>
      <c r="C32" s="74"/>
      <c r="D32" s="74"/>
      <c r="E32" s="75"/>
      <c r="F32" s="75"/>
      <c r="G32" s="75"/>
      <c r="H32" s="75"/>
      <c r="I32" s="75"/>
      <c r="J32" s="75"/>
      <c r="K32" s="75"/>
      <c r="L32" s="75"/>
      <c r="M32" s="76"/>
      <c r="N32" s="80">
        <f>N18+N19+N31</f>
        <v>32638.600000000002</v>
      </c>
      <c r="O32" s="77"/>
      <c r="P32" s="78"/>
      <c r="Q32" s="78"/>
      <c r="R32" s="79"/>
      <c r="S32" s="79"/>
      <c r="T32" s="78"/>
      <c r="U32" s="78"/>
      <c r="V32" s="78"/>
      <c r="W32" s="79"/>
      <c r="X32" s="78"/>
      <c r="Y32" s="79"/>
      <c r="Z32" s="75"/>
      <c r="AA32" s="76"/>
      <c r="AB32" s="51"/>
    </row>
    <row r="33" spans="1:26" x14ac:dyDescent="0.3">
      <c r="P33" s="11"/>
      <c r="Q33" s="11"/>
      <c r="R33" s="11"/>
      <c r="S33" s="11"/>
      <c r="T33" s="11"/>
      <c r="U33" s="11"/>
      <c r="V33" s="11"/>
      <c r="W33" s="11"/>
      <c r="X33" s="11"/>
      <c r="Y33" s="11"/>
    </row>
    <row r="34" spans="1:26" x14ac:dyDescent="0.3">
      <c r="A34" s="7" t="s">
        <v>43</v>
      </c>
      <c r="B34" s="7"/>
      <c r="C34" s="7"/>
      <c r="D34" s="7"/>
      <c r="E34" s="7"/>
      <c r="F34" s="7"/>
      <c r="G34" s="7"/>
      <c r="O34" s="113" t="s">
        <v>25</v>
      </c>
      <c r="P34" s="113"/>
      <c r="Q34" s="113"/>
      <c r="R34" s="113"/>
      <c r="S34" s="11"/>
      <c r="T34" s="11"/>
      <c r="U34" s="11"/>
      <c r="V34" s="11"/>
      <c r="W34" s="11"/>
      <c r="X34" s="11"/>
      <c r="Y34" s="11"/>
    </row>
    <row r="35" spans="1:26" x14ac:dyDescent="0.3">
      <c r="A35" s="7" t="s">
        <v>52</v>
      </c>
      <c r="B35" s="7"/>
      <c r="C35" s="7"/>
      <c r="D35" s="7"/>
      <c r="E35" s="7"/>
      <c r="F35" s="7"/>
      <c r="G35" s="7"/>
      <c r="O35" s="115" t="s">
        <v>26</v>
      </c>
      <c r="P35" s="115"/>
      <c r="Q35" s="115"/>
      <c r="R35" s="115"/>
      <c r="S35" s="11"/>
      <c r="T35" s="11"/>
      <c r="U35" s="11"/>
      <c r="V35" s="11"/>
      <c r="W35" s="11"/>
      <c r="X35" s="11"/>
      <c r="Y35" s="11"/>
    </row>
    <row r="36" spans="1:26" x14ac:dyDescent="0.3">
      <c r="A36" s="7" t="s">
        <v>40</v>
      </c>
      <c r="B36" s="7"/>
      <c r="C36" s="7"/>
      <c r="D36" s="7"/>
      <c r="E36" s="7"/>
      <c r="F36" s="7"/>
      <c r="G36" s="7"/>
      <c r="O36" s="114" t="s">
        <v>27</v>
      </c>
      <c r="P36" s="114"/>
      <c r="Q36" s="114"/>
      <c r="R36" s="114"/>
      <c r="S36" s="11"/>
      <c r="T36" s="11"/>
      <c r="U36" s="11"/>
      <c r="V36" s="11"/>
      <c r="W36" s="11"/>
      <c r="X36" s="11"/>
      <c r="Y36" s="11"/>
    </row>
    <row r="37" spans="1:26" x14ac:dyDescent="0.3">
      <c r="A37" s="7" t="s">
        <v>41</v>
      </c>
      <c r="B37" s="7"/>
      <c r="C37" s="7"/>
      <c r="D37" s="7"/>
      <c r="E37" s="7"/>
      <c r="F37" s="7"/>
      <c r="G37" s="7"/>
      <c r="O37" s="111" t="s">
        <v>28</v>
      </c>
      <c r="P37" s="111"/>
      <c r="Q37" s="111"/>
      <c r="R37" s="111"/>
      <c r="S37" s="15"/>
      <c r="T37" s="11"/>
      <c r="U37" s="11"/>
      <c r="V37" s="11"/>
      <c r="W37" s="12"/>
      <c r="X37" s="12"/>
      <c r="Y37" s="11"/>
      <c r="Z37" s="9"/>
    </row>
    <row r="38" spans="1:26" ht="16.8" x14ac:dyDescent="0.4">
      <c r="A38" s="7" t="s">
        <v>42</v>
      </c>
      <c r="B38" s="7"/>
      <c r="C38" s="7"/>
      <c r="D38" s="7"/>
      <c r="O38" s="112" t="s">
        <v>29</v>
      </c>
      <c r="P38" s="112"/>
      <c r="Q38" s="112"/>
      <c r="R38" s="112"/>
      <c r="S38" s="15"/>
      <c r="T38" s="11"/>
      <c r="U38" s="11"/>
      <c r="V38" s="11"/>
      <c r="W38" s="13"/>
      <c r="X38" s="13"/>
      <c r="Y38" s="11"/>
      <c r="Z38" s="10"/>
    </row>
    <row r="39" spans="1:26" ht="16.8" x14ac:dyDescent="0.4">
      <c r="A39" s="7" t="s">
        <v>46</v>
      </c>
      <c r="P39" s="14"/>
      <c r="Q39" s="14"/>
      <c r="R39" s="14"/>
      <c r="S39" s="14"/>
      <c r="T39" s="11"/>
      <c r="U39" s="11"/>
      <c r="V39" s="11"/>
      <c r="W39" s="13"/>
      <c r="X39" s="13"/>
      <c r="Y39" s="11"/>
      <c r="Z39" s="10"/>
    </row>
    <row r="40" spans="1:26" ht="16.8" x14ac:dyDescent="0.4">
      <c r="R40" s="14"/>
      <c r="S40" s="14"/>
      <c r="T40" s="11"/>
      <c r="U40" s="11"/>
      <c r="V40" s="11"/>
      <c r="W40" s="13"/>
      <c r="X40" s="13"/>
      <c r="Y40" s="11"/>
      <c r="Z40" s="10"/>
    </row>
    <row r="41" spans="1:26" x14ac:dyDescent="0.3">
      <c r="R41" s="14"/>
      <c r="S41" s="14"/>
      <c r="T41" s="11"/>
      <c r="U41" s="11"/>
      <c r="V41" s="11"/>
      <c r="W41" s="13"/>
      <c r="X41" s="13"/>
      <c r="Y41" s="11"/>
      <c r="Z41" s="9"/>
    </row>
    <row r="42" spans="1:26" x14ac:dyDescent="0.3">
      <c r="L42" t="s">
        <v>73</v>
      </c>
      <c r="N42" t="s">
        <v>74</v>
      </c>
      <c r="R42" s="14"/>
      <c r="S42" s="14"/>
      <c r="T42" s="11"/>
      <c r="U42" s="11"/>
      <c r="V42" s="11"/>
      <c r="W42" s="11"/>
      <c r="X42" s="11"/>
      <c r="Y42" s="11"/>
    </row>
    <row r="43" spans="1:26" x14ac:dyDescent="0.3">
      <c r="B43" s="93">
        <v>35</v>
      </c>
      <c r="C43" s="94" t="s">
        <v>67</v>
      </c>
      <c r="D43" s="94"/>
      <c r="E43" s="93"/>
      <c r="F43" s="93"/>
      <c r="G43" s="95">
        <f t="shared" ref="G43:G46" si="20">IF(OR(H43="MiN.",H43="SPEC."),J43,I43*J43)</f>
        <v>24</v>
      </c>
      <c r="H43" s="96">
        <f>I43*J43</f>
        <v>24</v>
      </c>
      <c r="I43" s="96">
        <v>2</v>
      </c>
      <c r="J43" s="97">
        <v>12</v>
      </c>
      <c r="K43">
        <f>B43*H43</f>
        <v>840</v>
      </c>
      <c r="L43">
        <f>10*H43</f>
        <v>240</v>
      </c>
      <c r="N43">
        <f>25*H43</f>
        <v>600</v>
      </c>
      <c r="R43" s="14"/>
      <c r="S43" s="8"/>
    </row>
    <row r="44" spans="1:26" x14ac:dyDescent="0.3">
      <c r="B44" s="93">
        <v>18</v>
      </c>
      <c r="C44" s="94" t="s">
        <v>68</v>
      </c>
      <c r="D44" s="94"/>
      <c r="E44" s="93"/>
      <c r="F44" s="93"/>
      <c r="G44" s="95">
        <f t="shared" si="20"/>
        <v>30</v>
      </c>
      <c r="H44" s="96">
        <f t="shared" ref="H44:H48" si="21">I44*J44</f>
        <v>30</v>
      </c>
      <c r="I44" s="96">
        <v>2</v>
      </c>
      <c r="J44" s="97">
        <v>15</v>
      </c>
      <c r="K44">
        <f t="shared" ref="K44:K48" si="22">B44*H44</f>
        <v>540</v>
      </c>
      <c r="L44">
        <f>11*H44</f>
        <v>330</v>
      </c>
      <c r="N44">
        <f>7*H44</f>
        <v>210</v>
      </c>
    </row>
    <row r="45" spans="1:26" x14ac:dyDescent="0.3">
      <c r="B45" s="93">
        <v>28</v>
      </c>
      <c r="C45" s="94" t="s">
        <v>69</v>
      </c>
      <c r="D45" s="94"/>
      <c r="E45" s="93"/>
      <c r="F45" s="93"/>
      <c r="G45" s="95">
        <f t="shared" si="20"/>
        <v>40</v>
      </c>
      <c r="H45" s="96">
        <f t="shared" si="21"/>
        <v>40</v>
      </c>
      <c r="I45" s="96">
        <v>2</v>
      </c>
      <c r="J45" s="97">
        <v>20</v>
      </c>
      <c r="K45">
        <f t="shared" si="22"/>
        <v>1120</v>
      </c>
      <c r="L45">
        <f>16*H45</f>
        <v>640</v>
      </c>
      <c r="N45">
        <f>12*H45</f>
        <v>480</v>
      </c>
    </row>
    <row r="46" spans="1:26" x14ac:dyDescent="0.3">
      <c r="B46" s="93">
        <v>12</v>
      </c>
      <c r="C46" s="94" t="s">
        <v>70</v>
      </c>
      <c r="D46" s="94"/>
      <c r="E46" s="93"/>
      <c r="F46" s="93"/>
      <c r="G46" s="95">
        <f t="shared" si="20"/>
        <v>60</v>
      </c>
      <c r="H46" s="96">
        <f t="shared" si="21"/>
        <v>60</v>
      </c>
      <c r="I46" s="96">
        <v>2</v>
      </c>
      <c r="J46" s="97">
        <v>30</v>
      </c>
      <c r="K46">
        <f t="shared" si="22"/>
        <v>720</v>
      </c>
      <c r="L46">
        <f>11*H46</f>
        <v>660</v>
      </c>
      <c r="N46">
        <f>H46</f>
        <v>60</v>
      </c>
    </row>
    <row r="47" spans="1:26" x14ac:dyDescent="0.3">
      <c r="B47" s="93">
        <v>4</v>
      </c>
      <c r="C47" s="94" t="s">
        <v>71</v>
      </c>
      <c r="D47" s="94"/>
      <c r="E47" s="93"/>
      <c r="F47" s="93"/>
      <c r="G47" s="95">
        <f>IF(OR(H47="MiN.",H47="SPEC."),J47,I47*J47)</f>
        <v>100</v>
      </c>
      <c r="H47" s="96">
        <f t="shared" si="21"/>
        <v>100</v>
      </c>
      <c r="I47" s="96">
        <v>2</v>
      </c>
      <c r="J47" s="97">
        <v>50</v>
      </c>
      <c r="K47">
        <f t="shared" si="22"/>
        <v>400</v>
      </c>
      <c r="L47">
        <v>0</v>
      </c>
      <c r="N47">
        <f>4*H47</f>
        <v>400</v>
      </c>
    </row>
    <row r="48" spans="1:26" x14ac:dyDescent="0.3">
      <c r="B48" s="93">
        <v>1</v>
      </c>
      <c r="C48" s="94" t="s">
        <v>72</v>
      </c>
      <c r="D48" s="94"/>
      <c r="E48" s="93"/>
      <c r="F48" s="93"/>
      <c r="G48" s="95">
        <f>IF(OR(H48="MiN.",H48="SPEC."),J48,I48*J48)</f>
        <v>200</v>
      </c>
      <c r="H48" s="96">
        <f t="shared" si="21"/>
        <v>200</v>
      </c>
      <c r="I48" s="96">
        <v>2</v>
      </c>
      <c r="J48" s="97">
        <v>100</v>
      </c>
      <c r="K48">
        <f t="shared" si="22"/>
        <v>200</v>
      </c>
      <c r="L48">
        <v>0</v>
      </c>
      <c r="N48">
        <f>H48</f>
        <v>200</v>
      </c>
    </row>
    <row r="49" spans="3:4" x14ac:dyDescent="0.3">
      <c r="C49" s="93">
        <v>6</v>
      </c>
      <c r="D49" s="93"/>
    </row>
  </sheetData>
  <mergeCells count="5">
    <mergeCell ref="O37:R37"/>
    <mergeCell ref="O38:R38"/>
    <mergeCell ref="O34:R34"/>
    <mergeCell ref="O36:R36"/>
    <mergeCell ref="O35:R35"/>
  </mergeCells>
  <dataValidations count="1">
    <dataValidation type="list" allowBlank="1" showInputMessage="1" showErrorMessage="1" sqref="H43:I48">
      <formula1>Typologie</formula1>
    </dataValidation>
  </dataValidations>
  <pageMargins left="0.7" right="0.7" top="0.75" bottom="0.75" header="0.3" footer="0.3"/>
  <pageSetup paperSize="8"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workbookViewId="0">
      <selection activeCell="B12" sqref="B12"/>
    </sheetView>
  </sheetViews>
  <sheetFormatPr defaultRowHeight="14.4" x14ac:dyDescent="0.3"/>
  <cols>
    <col min="1" max="4" width="38.33203125" customWidth="1"/>
  </cols>
  <sheetData>
    <row r="1" spans="1:4" ht="46.8" x14ac:dyDescent="0.3">
      <c r="A1" s="103" t="s">
        <v>0</v>
      </c>
      <c r="B1" s="16" t="s">
        <v>80</v>
      </c>
      <c r="C1" s="16" t="s">
        <v>79</v>
      </c>
      <c r="D1" s="104" t="s">
        <v>81</v>
      </c>
    </row>
    <row r="2" spans="1:4" x14ac:dyDescent="0.3">
      <c r="A2" s="105" t="s">
        <v>1</v>
      </c>
      <c r="B2" s="118">
        <v>1307.8</v>
      </c>
      <c r="C2" s="119">
        <v>106</v>
      </c>
      <c r="D2" s="107">
        <v>12.337735849056603</v>
      </c>
    </row>
    <row r="3" spans="1:4" x14ac:dyDescent="0.3">
      <c r="A3" s="105" t="s">
        <v>2</v>
      </c>
      <c r="B3" s="118">
        <v>1906.97</v>
      </c>
      <c r="C3" s="119">
        <v>157</v>
      </c>
      <c r="D3" s="107">
        <v>12.146305732484077</v>
      </c>
    </row>
    <row r="4" spans="1:4" ht="28.8" x14ac:dyDescent="0.3">
      <c r="A4" s="106" t="s">
        <v>3</v>
      </c>
      <c r="B4" s="118">
        <v>1557.7</v>
      </c>
      <c r="C4" s="120">
        <v>119</v>
      </c>
      <c r="D4" s="107">
        <v>13.089915966386554</v>
      </c>
    </row>
    <row r="5" spans="1:4" x14ac:dyDescent="0.3">
      <c r="A5" s="105" t="s">
        <v>4</v>
      </c>
      <c r="B5" s="118">
        <v>993.85</v>
      </c>
      <c r="C5" s="119">
        <v>57</v>
      </c>
      <c r="D5" s="107">
        <v>17.435964912280703</v>
      </c>
    </row>
    <row r="6" spans="1:4" x14ac:dyDescent="0.3">
      <c r="A6" s="105" t="s">
        <v>5</v>
      </c>
      <c r="B6" s="118">
        <v>2934.92</v>
      </c>
      <c r="C6" s="119">
        <v>130</v>
      </c>
      <c r="D6" s="107">
        <v>22.576307692307694</v>
      </c>
    </row>
    <row r="7" spans="1:4" x14ac:dyDescent="0.3">
      <c r="A7" s="105" t="s">
        <v>6</v>
      </c>
      <c r="B7" s="118">
        <v>2145.7199999999998</v>
      </c>
      <c r="C7" s="119">
        <v>139</v>
      </c>
      <c r="D7" s="107">
        <v>15.4368345323741</v>
      </c>
    </row>
    <row r="8" spans="1:4" x14ac:dyDescent="0.3">
      <c r="A8" s="105" t="s">
        <v>7</v>
      </c>
      <c r="B8" s="118">
        <v>4815.3999999999996</v>
      </c>
      <c r="C8" s="119">
        <v>299</v>
      </c>
      <c r="D8" s="107">
        <v>16.105016722408024</v>
      </c>
    </row>
    <row r="9" spans="1:4" x14ac:dyDescent="0.3">
      <c r="A9" s="105" t="s">
        <v>8</v>
      </c>
      <c r="B9" s="118">
        <v>1222.22</v>
      </c>
      <c r="C9" s="119">
        <v>84</v>
      </c>
      <c r="D9" s="107">
        <v>14.550238095238095</v>
      </c>
    </row>
    <row r="10" spans="1:4" x14ac:dyDescent="0.3">
      <c r="A10" s="105" t="s">
        <v>9</v>
      </c>
      <c r="B10" s="121">
        <v>1876.32</v>
      </c>
      <c r="C10" s="119">
        <v>116</v>
      </c>
      <c r="D10" s="107">
        <v>16.175172413793103</v>
      </c>
    </row>
    <row r="11" spans="1:4" x14ac:dyDescent="0.3">
      <c r="A11" s="105" t="s">
        <v>10</v>
      </c>
      <c r="B11" s="118">
        <v>3670.79</v>
      </c>
      <c r="C11" s="119">
        <v>232</v>
      </c>
      <c r="D11" s="107">
        <v>15.822370689655171</v>
      </c>
    </row>
    <row r="12" spans="1:4" x14ac:dyDescent="0.3">
      <c r="A12" s="105" t="s">
        <v>11</v>
      </c>
      <c r="B12" s="118">
        <v>1083.46</v>
      </c>
      <c r="C12" s="119">
        <v>84</v>
      </c>
      <c r="D12" s="107">
        <v>12.898333333333333</v>
      </c>
    </row>
    <row r="13" spans="1:4" x14ac:dyDescent="0.3">
      <c r="A13" s="105" t="s">
        <v>12</v>
      </c>
      <c r="B13" s="118">
        <v>988.43</v>
      </c>
      <c r="C13" s="119">
        <v>49</v>
      </c>
      <c r="D13" s="107">
        <v>20.172040816326529</v>
      </c>
    </row>
    <row r="14" spans="1:4" x14ac:dyDescent="0.3">
      <c r="A14" s="109"/>
      <c r="B14" s="116"/>
      <c r="C14" s="116"/>
      <c r="D14" s="110"/>
    </row>
    <row r="15" spans="1:4" ht="43.2" x14ac:dyDescent="0.3">
      <c r="A15" s="16" t="s">
        <v>77</v>
      </c>
      <c r="B15" s="122">
        <f>(B11+B8)-1600</f>
        <v>6886.1899999999987</v>
      </c>
      <c r="C15" s="117">
        <f>C11+C8</f>
        <v>531</v>
      </c>
      <c r="D15" s="108">
        <f>B15/C15</f>
        <v>12.968342749529187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Jaarverslag 2019</vt:lpstr>
    </vt:vector>
  </TitlesOfParts>
  <Company>FOD/SPF Economie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LENAERTS Mathias</dc:creator>
  <cp:lastModifiedBy>Mathias LENAERTS</cp:lastModifiedBy>
  <cp:lastPrinted>2019-07-09T08:40:07Z</cp:lastPrinted>
  <dcterms:created xsi:type="dcterms:W3CDTF">2019-06-13T14:20:04Z</dcterms:created>
  <dcterms:modified xsi:type="dcterms:W3CDTF">2020-04-20T14:13:57Z</dcterms:modified>
</cp:coreProperties>
</file>