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pfi\PycharmProjects\проект весна\"/>
    </mc:Choice>
  </mc:AlternateContent>
  <xr:revisionPtr revIDLastSave="0" documentId="13_ncr:1_{8CE1BBFE-55B9-4ABF-911E-41B4971EF54A}" xr6:coauthVersionLast="47" xr6:coauthVersionMax="47" xr10:uidLastSave="{00000000-0000-0000-0000-000000000000}"/>
  <bookViews>
    <workbookView xWindow="108" yWindow="24" windowWidth="22932" windowHeight="12936" activeTab="1" xr2:uid="{00000000-000D-0000-FFFF-FFFF00000000}"/>
  </bookViews>
  <sheets>
    <sheet name="Команды" sheetId="1" r:id="rId1"/>
    <sheet name="Студент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2" l="1"/>
  <c r="F345" i="2"/>
  <c r="E345" i="2"/>
  <c r="D345" i="2"/>
  <c r="C345" i="2"/>
  <c r="B345" i="2"/>
  <c r="A345" i="2"/>
  <c r="G296" i="2"/>
  <c r="F296" i="2"/>
  <c r="E296" i="2"/>
  <c r="D296" i="2"/>
  <c r="C296" i="2"/>
  <c r="B296" i="2"/>
  <c r="A296" i="2"/>
  <c r="G1397" i="2"/>
  <c r="D1397" i="2"/>
  <c r="C1397" i="2"/>
  <c r="B1397" i="2"/>
  <c r="A1397" i="2"/>
  <c r="G166" i="2"/>
  <c r="F166" i="2"/>
  <c r="E166" i="2"/>
  <c r="D166" i="2"/>
  <c r="C166" i="2"/>
  <c r="B166" i="2"/>
  <c r="A166" i="2"/>
  <c r="G269" i="2"/>
  <c r="F269" i="2"/>
  <c r="E269" i="2"/>
  <c r="D269" i="2"/>
  <c r="C269" i="2"/>
  <c r="B269" i="2"/>
  <c r="A269" i="2"/>
  <c r="G136" i="2"/>
  <c r="F136" i="2"/>
  <c r="E136" i="2"/>
  <c r="D136" i="2"/>
  <c r="C136" i="2"/>
  <c r="B136" i="2"/>
  <c r="A136" i="2"/>
  <c r="G1396" i="2"/>
  <c r="D1396" i="2"/>
  <c r="C1396" i="2"/>
  <c r="B1396" i="2"/>
  <c r="A1396" i="2"/>
  <c r="G391" i="2"/>
  <c r="F391" i="2"/>
  <c r="E391" i="2"/>
  <c r="D391" i="2"/>
  <c r="C391" i="2"/>
  <c r="B391" i="2"/>
  <c r="A391" i="2"/>
  <c r="G1197" i="2"/>
  <c r="F1197" i="2"/>
  <c r="E1197" i="2"/>
  <c r="D1197" i="2"/>
  <c r="C1197" i="2"/>
  <c r="B1197" i="2"/>
  <c r="A1197" i="2"/>
  <c r="G1395" i="2"/>
  <c r="D1395" i="2"/>
  <c r="C1395" i="2"/>
  <c r="B1395" i="2"/>
  <c r="A1395" i="2"/>
  <c r="G1394" i="2"/>
  <c r="D1394" i="2"/>
  <c r="C1394" i="2"/>
  <c r="B1394" i="2"/>
  <c r="A1394" i="2"/>
  <c r="G1192" i="2"/>
  <c r="F1192" i="2"/>
  <c r="E1192" i="2"/>
  <c r="D1192" i="2"/>
  <c r="C1192" i="2"/>
  <c r="B1192" i="2"/>
  <c r="A1192" i="2"/>
  <c r="G947" i="2"/>
  <c r="F947" i="2"/>
  <c r="E947" i="2"/>
  <c r="D947" i="2"/>
  <c r="C947" i="2"/>
  <c r="B947" i="2"/>
  <c r="A947" i="2"/>
  <c r="G71" i="2"/>
  <c r="F71" i="2"/>
  <c r="E71" i="2"/>
  <c r="D71" i="2"/>
  <c r="C71" i="2"/>
  <c r="B71" i="2"/>
  <c r="A71" i="2"/>
  <c r="G634" i="2"/>
  <c r="F634" i="2"/>
  <c r="E634" i="2"/>
  <c r="D634" i="2"/>
  <c r="C634" i="2"/>
  <c r="B634" i="2"/>
  <c r="A634" i="2"/>
  <c r="G541" i="2"/>
  <c r="E541" i="2"/>
  <c r="D541" i="2"/>
  <c r="C541" i="2"/>
  <c r="B541" i="2"/>
  <c r="A541" i="2"/>
  <c r="G301" i="2"/>
  <c r="F301" i="2"/>
  <c r="E301" i="2"/>
  <c r="D301" i="2"/>
  <c r="C301" i="2"/>
  <c r="B301" i="2"/>
  <c r="A301" i="2"/>
  <c r="G312" i="2"/>
  <c r="F312" i="2"/>
  <c r="E312" i="2"/>
  <c r="D312" i="2"/>
  <c r="C312" i="2"/>
  <c r="B312" i="2"/>
  <c r="A312" i="2"/>
  <c r="G914" i="2"/>
  <c r="F914" i="2"/>
  <c r="E914" i="2"/>
  <c r="D914" i="2"/>
  <c r="C914" i="2"/>
  <c r="B914" i="2"/>
  <c r="A914" i="2"/>
  <c r="G1393" i="2"/>
  <c r="D1393" i="2"/>
  <c r="C1393" i="2"/>
  <c r="B1393" i="2"/>
  <c r="A1393" i="2"/>
  <c r="G598" i="2"/>
  <c r="F598" i="2"/>
  <c r="E598" i="2"/>
  <c r="D598" i="2"/>
  <c r="C598" i="2"/>
  <c r="B598" i="2"/>
  <c r="A598" i="2"/>
  <c r="G477" i="2"/>
  <c r="F477" i="2"/>
  <c r="E477" i="2"/>
  <c r="D477" i="2"/>
  <c r="C477" i="2"/>
  <c r="B477" i="2"/>
  <c r="A477" i="2"/>
  <c r="G1013" i="2"/>
  <c r="F1013" i="2"/>
  <c r="E1013" i="2"/>
  <c r="D1013" i="2"/>
  <c r="C1013" i="2"/>
  <c r="B1013" i="2"/>
  <c r="A1013" i="2"/>
  <c r="G970" i="2"/>
  <c r="F970" i="2"/>
  <c r="E970" i="2"/>
  <c r="D970" i="2"/>
  <c r="C970" i="2"/>
  <c r="B970" i="2"/>
  <c r="A970" i="2"/>
  <c r="G468" i="2"/>
  <c r="F468" i="2"/>
  <c r="E468" i="2"/>
  <c r="D468" i="2"/>
  <c r="C468" i="2"/>
  <c r="B468" i="2"/>
  <c r="A468" i="2"/>
  <c r="G1392" i="2"/>
  <c r="D1392" i="2"/>
  <c r="C1392" i="2"/>
  <c r="B1392" i="2"/>
  <c r="A1392" i="2"/>
  <c r="G592" i="2"/>
  <c r="F592" i="2"/>
  <c r="E592" i="2"/>
  <c r="D592" i="2"/>
  <c r="C592" i="2"/>
  <c r="B592" i="2"/>
  <c r="A592" i="2"/>
  <c r="G988" i="2"/>
  <c r="F988" i="2"/>
  <c r="E988" i="2"/>
  <c r="D988" i="2"/>
  <c r="C988" i="2"/>
  <c r="B988" i="2"/>
  <c r="A988" i="2"/>
  <c r="G848" i="2"/>
  <c r="F848" i="2"/>
  <c r="E848" i="2"/>
  <c r="D848" i="2"/>
  <c r="C848" i="2"/>
  <c r="B848" i="2"/>
  <c r="A848" i="2"/>
  <c r="G317" i="2"/>
  <c r="F317" i="2"/>
  <c r="E317" i="2"/>
  <c r="D317" i="2"/>
  <c r="C317" i="2"/>
  <c r="B317" i="2"/>
  <c r="A317" i="2"/>
  <c r="G902" i="2"/>
  <c r="F902" i="2"/>
  <c r="E902" i="2"/>
  <c r="D902" i="2"/>
  <c r="C902" i="2"/>
  <c r="B902" i="2"/>
  <c r="A902" i="2"/>
  <c r="G1391" i="2"/>
  <c r="D1391" i="2"/>
  <c r="C1391" i="2"/>
  <c r="B1391" i="2"/>
  <c r="A1391" i="2"/>
  <c r="G423" i="2"/>
  <c r="F423" i="2"/>
  <c r="E423" i="2"/>
  <c r="D423" i="2"/>
  <c r="C423" i="2"/>
  <c r="B423" i="2"/>
  <c r="A423" i="2"/>
  <c r="G1153" i="2"/>
  <c r="F1153" i="2"/>
  <c r="E1153" i="2"/>
  <c r="D1153" i="2"/>
  <c r="C1153" i="2"/>
  <c r="B1153" i="2"/>
  <c r="A1153" i="2"/>
  <c r="G414" i="2"/>
  <c r="F414" i="2"/>
  <c r="E414" i="2"/>
  <c r="D414" i="2"/>
  <c r="C414" i="2"/>
  <c r="B414" i="2"/>
  <c r="A414" i="2"/>
  <c r="G1003" i="2"/>
  <c r="F1003" i="2"/>
  <c r="E1003" i="2"/>
  <c r="D1003" i="2"/>
  <c r="C1003" i="2"/>
  <c r="B1003" i="2"/>
  <c r="A1003" i="2"/>
  <c r="G1077" i="2"/>
  <c r="F1077" i="2"/>
  <c r="E1077" i="2"/>
  <c r="D1077" i="2"/>
  <c r="C1077" i="2"/>
  <c r="B1077" i="2"/>
  <c r="A1077" i="2"/>
  <c r="G888" i="2"/>
  <c r="F888" i="2"/>
  <c r="E888" i="2"/>
  <c r="D888" i="2"/>
  <c r="C888" i="2"/>
  <c r="B888" i="2"/>
  <c r="A888" i="2"/>
  <c r="G863" i="2"/>
  <c r="F863" i="2"/>
  <c r="E863" i="2"/>
  <c r="D863" i="2"/>
  <c r="C863" i="2"/>
  <c r="B863" i="2"/>
  <c r="A863" i="2"/>
  <c r="G1146" i="2"/>
  <c r="F1146" i="2"/>
  <c r="E1146" i="2"/>
  <c r="D1146" i="2"/>
  <c r="C1146" i="2"/>
  <c r="B1146" i="2"/>
  <c r="A1146" i="2"/>
  <c r="G1042" i="2"/>
  <c r="F1042" i="2"/>
  <c r="E1042" i="2"/>
  <c r="D1042" i="2"/>
  <c r="C1042" i="2"/>
  <c r="B1042" i="2"/>
  <c r="A1042" i="2"/>
  <c r="G1390" i="2"/>
  <c r="D1390" i="2"/>
  <c r="C1390" i="2"/>
  <c r="B1390" i="2"/>
  <c r="A1390" i="2"/>
  <c r="G165" i="2"/>
  <c r="F165" i="2"/>
  <c r="E165" i="2"/>
  <c r="D165" i="2"/>
  <c r="C165" i="2"/>
  <c r="B165" i="2"/>
  <c r="A165" i="2"/>
  <c r="G1162" i="2"/>
  <c r="F1162" i="2"/>
  <c r="E1162" i="2"/>
  <c r="D1162" i="2"/>
  <c r="C1162" i="2"/>
  <c r="B1162" i="2"/>
  <c r="A1162" i="2"/>
  <c r="G666" i="2"/>
  <c r="F666" i="2"/>
  <c r="E666" i="2"/>
  <c r="D666" i="2"/>
  <c r="C666" i="2"/>
  <c r="B666" i="2"/>
  <c r="A666" i="2"/>
  <c r="G305" i="2"/>
  <c r="F305" i="2"/>
  <c r="E305" i="2"/>
  <c r="D305" i="2"/>
  <c r="C305" i="2"/>
  <c r="B305" i="2"/>
  <c r="A305" i="2"/>
  <c r="G245" i="2"/>
  <c r="F245" i="2"/>
  <c r="E245" i="2"/>
  <c r="D245" i="2"/>
  <c r="C245" i="2"/>
  <c r="B245" i="2"/>
  <c r="A245" i="2"/>
  <c r="G1389" i="2"/>
  <c r="D1389" i="2"/>
  <c r="C1389" i="2"/>
  <c r="B1389" i="2"/>
  <c r="A1389" i="2"/>
  <c r="G898" i="2"/>
  <c r="F898" i="2"/>
  <c r="E898" i="2"/>
  <c r="D898" i="2"/>
  <c r="C898" i="2"/>
  <c r="B898" i="2"/>
  <c r="A898" i="2"/>
  <c r="G894" i="2"/>
  <c r="F894" i="2"/>
  <c r="E894" i="2"/>
  <c r="D894" i="2"/>
  <c r="C894" i="2"/>
  <c r="B894" i="2"/>
  <c r="A894" i="2"/>
  <c r="G311" i="2"/>
  <c r="F311" i="2"/>
  <c r="E311" i="2"/>
  <c r="D311" i="2"/>
  <c r="C311" i="2"/>
  <c r="B311" i="2"/>
  <c r="A311" i="2"/>
  <c r="G338" i="2"/>
  <c r="F338" i="2"/>
  <c r="E338" i="2"/>
  <c r="D338" i="2"/>
  <c r="C338" i="2"/>
  <c r="B338" i="2"/>
  <c r="A338" i="2"/>
  <c r="G1388" i="2"/>
  <c r="D1388" i="2"/>
  <c r="C1388" i="2"/>
  <c r="B1388" i="2"/>
  <c r="A1388" i="2"/>
  <c r="G792" i="2"/>
  <c r="F792" i="2"/>
  <c r="E792" i="2"/>
  <c r="D792" i="2"/>
  <c r="C792" i="2"/>
  <c r="B792" i="2"/>
  <c r="A792" i="2"/>
  <c r="G959" i="2"/>
  <c r="F959" i="2"/>
  <c r="E959" i="2"/>
  <c r="D959" i="2"/>
  <c r="C959" i="2"/>
  <c r="B959" i="2"/>
  <c r="A959" i="2"/>
  <c r="G518" i="2"/>
  <c r="F518" i="2"/>
  <c r="E518" i="2"/>
  <c r="D518" i="2"/>
  <c r="C518" i="2"/>
  <c r="B518" i="2"/>
  <c r="A518" i="2"/>
  <c r="G709" i="2"/>
  <c r="F709" i="2"/>
  <c r="E709" i="2"/>
  <c r="D709" i="2"/>
  <c r="C709" i="2"/>
  <c r="B709" i="2"/>
  <c r="A709" i="2"/>
  <c r="G549" i="2"/>
  <c r="F549" i="2"/>
  <c r="E549" i="2"/>
  <c r="D549" i="2"/>
  <c r="C549" i="2"/>
  <c r="B549" i="2"/>
  <c r="A549" i="2"/>
  <c r="G614" i="2"/>
  <c r="F614" i="2"/>
  <c r="E614" i="2"/>
  <c r="D614" i="2"/>
  <c r="C614" i="2"/>
  <c r="B614" i="2"/>
  <c r="A614" i="2"/>
  <c r="G409" i="2"/>
  <c r="F409" i="2"/>
  <c r="E409" i="2"/>
  <c r="D409" i="2"/>
  <c r="C409" i="2"/>
  <c r="B409" i="2"/>
  <c r="A409" i="2"/>
  <c r="G714" i="2"/>
  <c r="F714" i="2"/>
  <c r="E714" i="2"/>
  <c r="D714" i="2"/>
  <c r="C714" i="2"/>
  <c r="B714" i="2"/>
  <c r="A714" i="2"/>
  <c r="G330" i="2"/>
  <c r="F330" i="2"/>
  <c r="E330" i="2"/>
  <c r="D330" i="2"/>
  <c r="C330" i="2"/>
  <c r="B330" i="2"/>
  <c r="A330" i="2"/>
  <c r="G946" i="2"/>
  <c r="F946" i="2"/>
  <c r="E946" i="2"/>
  <c r="D946" i="2"/>
  <c r="C946" i="2"/>
  <c r="B946" i="2"/>
  <c r="A946" i="2"/>
  <c r="G510" i="2"/>
  <c r="F510" i="2"/>
  <c r="E510" i="2"/>
  <c r="C510" i="2"/>
  <c r="B510" i="2"/>
  <c r="A510" i="2"/>
  <c r="G325" i="2"/>
  <c r="F325" i="2"/>
  <c r="E325" i="2"/>
  <c r="D325" i="2"/>
  <c r="C325" i="2"/>
  <c r="B325" i="2"/>
  <c r="A325" i="2"/>
  <c r="G361" i="2"/>
  <c r="F361" i="2"/>
  <c r="E361" i="2"/>
  <c r="D361" i="2"/>
  <c r="C361" i="2"/>
  <c r="B361" i="2"/>
  <c r="A361" i="2"/>
  <c r="G1150" i="2"/>
  <c r="F1150" i="2"/>
  <c r="E1150" i="2"/>
  <c r="D1150" i="2"/>
  <c r="C1150" i="2"/>
  <c r="B1150" i="2"/>
  <c r="A1150" i="2"/>
  <c r="G24" i="2"/>
  <c r="F24" i="2"/>
  <c r="E24" i="2"/>
  <c r="D24" i="2"/>
  <c r="C24" i="2"/>
  <c r="B24" i="2"/>
  <c r="A24" i="2"/>
  <c r="G119" i="2"/>
  <c r="F119" i="2"/>
  <c r="E119" i="2"/>
  <c r="D119" i="2"/>
  <c r="C119" i="2"/>
  <c r="B119" i="2"/>
  <c r="A119" i="2"/>
  <c r="G350" i="2"/>
  <c r="F350" i="2"/>
  <c r="E350" i="2"/>
  <c r="D350" i="2"/>
  <c r="C350" i="2"/>
  <c r="B350" i="2"/>
  <c r="A350" i="2"/>
  <c r="G369" i="2"/>
  <c r="F369" i="2"/>
  <c r="E369" i="2"/>
  <c r="D369" i="2"/>
  <c r="C369" i="2"/>
  <c r="B369" i="2"/>
  <c r="A369" i="2"/>
  <c r="G1387" i="2"/>
  <c r="D1387" i="2"/>
  <c r="C1387" i="2"/>
  <c r="B1387" i="2"/>
  <c r="A1387" i="2"/>
  <c r="G216" i="2"/>
  <c r="F216" i="2"/>
  <c r="E216" i="2"/>
  <c r="D216" i="2"/>
  <c r="C216" i="2"/>
  <c r="B216" i="2"/>
  <c r="A216" i="2"/>
  <c r="G292" i="2"/>
  <c r="F292" i="2"/>
  <c r="E292" i="2"/>
  <c r="D292" i="2"/>
  <c r="C292" i="2"/>
  <c r="B292" i="2"/>
  <c r="A292" i="2"/>
  <c r="G808" i="2"/>
  <c r="F808" i="2"/>
  <c r="E808" i="2"/>
  <c r="D808" i="2"/>
  <c r="C808" i="2"/>
  <c r="B808" i="2"/>
  <c r="A808" i="2"/>
  <c r="G27" i="2"/>
  <c r="F27" i="2"/>
  <c r="E27" i="2"/>
  <c r="D27" i="2"/>
  <c r="C27" i="2"/>
  <c r="B27" i="2"/>
  <c r="A27" i="2"/>
  <c r="G833" i="2"/>
  <c r="F833" i="2"/>
  <c r="E833" i="2"/>
  <c r="D833" i="2"/>
  <c r="C833" i="2"/>
  <c r="B833" i="2"/>
  <c r="A833" i="2"/>
  <c r="G957" i="2"/>
  <c r="F957" i="2"/>
  <c r="E957" i="2"/>
  <c r="D957" i="2"/>
  <c r="C957" i="2"/>
  <c r="B957" i="2"/>
  <c r="A957" i="2"/>
  <c r="G1386" i="2"/>
  <c r="D1386" i="2"/>
  <c r="C1386" i="2"/>
  <c r="B1386" i="2"/>
  <c r="A1386" i="2"/>
  <c r="G1091" i="2"/>
  <c r="F1091" i="2"/>
  <c r="E1091" i="2"/>
  <c r="D1091" i="2"/>
  <c r="C1091" i="2"/>
  <c r="B1091" i="2"/>
  <c r="A1091" i="2"/>
  <c r="G998" i="2"/>
  <c r="F998" i="2"/>
  <c r="E998" i="2"/>
  <c r="D998" i="2"/>
  <c r="C998" i="2"/>
  <c r="B998" i="2"/>
  <c r="A998" i="2"/>
  <c r="G6" i="2"/>
  <c r="F6" i="2"/>
  <c r="E6" i="2"/>
  <c r="D6" i="2"/>
  <c r="C6" i="2"/>
  <c r="B6" i="2"/>
  <c r="A6" i="2"/>
  <c r="G1060" i="2"/>
  <c r="F1060" i="2"/>
  <c r="E1060" i="2"/>
  <c r="D1060" i="2"/>
  <c r="C1060" i="2"/>
  <c r="B1060" i="2"/>
  <c r="A1060" i="2"/>
  <c r="G1031" i="2"/>
  <c r="F1031" i="2"/>
  <c r="E1031" i="2"/>
  <c r="D1031" i="2"/>
  <c r="C1031" i="2"/>
  <c r="B1031" i="2"/>
  <c r="A1031" i="2"/>
  <c r="G1385" i="2"/>
  <c r="D1385" i="2"/>
  <c r="C1385" i="2"/>
  <c r="B1385" i="2"/>
  <c r="A1385" i="2"/>
  <c r="G123" i="2"/>
  <c r="F123" i="2"/>
  <c r="E123" i="2"/>
  <c r="D123" i="2"/>
  <c r="C123" i="2"/>
  <c r="B123" i="2"/>
  <c r="A123" i="2"/>
  <c r="G603" i="2"/>
  <c r="F603" i="2"/>
  <c r="E603" i="2"/>
  <c r="D603" i="2"/>
  <c r="C603" i="2"/>
  <c r="B603" i="2"/>
  <c r="A603" i="2"/>
  <c r="G858" i="2"/>
  <c r="F858" i="2"/>
  <c r="E858" i="2"/>
  <c r="D858" i="2"/>
  <c r="C858" i="2"/>
  <c r="B858" i="2"/>
  <c r="A858" i="2"/>
  <c r="G523" i="2"/>
  <c r="F523" i="2"/>
  <c r="E523" i="2"/>
  <c r="D523" i="2"/>
  <c r="C523" i="2"/>
  <c r="B523" i="2"/>
  <c r="A523" i="2"/>
  <c r="G868" i="2"/>
  <c r="F868" i="2"/>
  <c r="E868" i="2"/>
  <c r="D868" i="2"/>
  <c r="C868" i="2"/>
  <c r="B868" i="2"/>
  <c r="A868" i="2"/>
  <c r="G1135" i="2"/>
  <c r="F1135" i="2"/>
  <c r="E1135" i="2"/>
  <c r="D1135" i="2"/>
  <c r="C1135" i="2"/>
  <c r="B1135" i="2"/>
  <c r="A1135" i="2"/>
  <c r="G240" i="2"/>
  <c r="F240" i="2"/>
  <c r="E240" i="2"/>
  <c r="D240" i="2"/>
  <c r="C240" i="2"/>
  <c r="B240" i="2"/>
  <c r="A240" i="2"/>
  <c r="G114" i="2"/>
  <c r="F114" i="2"/>
  <c r="E114" i="2"/>
  <c r="D114" i="2"/>
  <c r="C114" i="2"/>
  <c r="B114" i="2"/>
  <c r="A114" i="2"/>
  <c r="G618" i="2"/>
  <c r="F618" i="2"/>
  <c r="E618" i="2"/>
  <c r="D618" i="2"/>
  <c r="C618" i="2"/>
  <c r="B618" i="2"/>
  <c r="A618" i="2"/>
  <c r="G215" i="2"/>
  <c r="F215" i="2"/>
  <c r="E215" i="2"/>
  <c r="D215" i="2"/>
  <c r="C215" i="2"/>
  <c r="B215" i="2"/>
  <c r="A215" i="2"/>
  <c r="G23" i="2"/>
  <c r="F23" i="2"/>
  <c r="E23" i="2"/>
  <c r="D23" i="2"/>
  <c r="C23" i="2"/>
  <c r="B23" i="2"/>
  <c r="A23" i="2"/>
  <c r="G244" i="2"/>
  <c r="F244" i="2"/>
  <c r="E244" i="2"/>
  <c r="D244" i="2"/>
  <c r="C244" i="2"/>
  <c r="B244" i="2"/>
  <c r="A244" i="2"/>
  <c r="G980" i="2"/>
  <c r="F980" i="2"/>
  <c r="E980" i="2"/>
  <c r="D980" i="2"/>
  <c r="C980" i="2"/>
  <c r="B980" i="2"/>
  <c r="A980" i="2"/>
  <c r="G262" i="2"/>
  <c r="F262" i="2"/>
  <c r="E262" i="2"/>
  <c r="D262" i="2"/>
  <c r="C262" i="2"/>
  <c r="B262" i="2"/>
  <c r="A262" i="2"/>
  <c r="G555" i="2"/>
  <c r="F555" i="2"/>
  <c r="E555" i="2"/>
  <c r="D555" i="2"/>
  <c r="C555" i="2"/>
  <c r="B555" i="2"/>
  <c r="A555" i="2"/>
  <c r="G1161" i="2"/>
  <c r="F1161" i="2"/>
  <c r="E1161" i="2"/>
  <c r="D1161" i="2"/>
  <c r="C1161" i="2"/>
  <c r="B1161" i="2"/>
  <c r="A1161" i="2"/>
  <c r="G104" i="2"/>
  <c r="F104" i="2"/>
  <c r="E104" i="2"/>
  <c r="D104" i="2"/>
  <c r="C104" i="2"/>
  <c r="B104" i="2"/>
  <c r="A104" i="2"/>
  <c r="G1384" i="2"/>
  <c r="D1384" i="2"/>
  <c r="C1384" i="2"/>
  <c r="B1384" i="2"/>
  <c r="A1384" i="2"/>
  <c r="G578" i="2"/>
  <c r="F578" i="2"/>
  <c r="E578" i="2"/>
  <c r="D578" i="2"/>
  <c r="C578" i="2"/>
  <c r="B578" i="2"/>
  <c r="A578" i="2"/>
  <c r="G871" i="2"/>
  <c r="F871" i="2"/>
  <c r="E871" i="2"/>
  <c r="D871" i="2"/>
  <c r="C871" i="2"/>
  <c r="B871" i="2"/>
  <c r="A871" i="2"/>
  <c r="G563" i="2"/>
  <c r="F563" i="2"/>
  <c r="E563" i="2"/>
  <c r="D563" i="2"/>
  <c r="C563" i="2"/>
  <c r="B563" i="2"/>
  <c r="A563" i="2"/>
  <c r="G11" i="2"/>
  <c r="F11" i="2"/>
  <c r="E11" i="2"/>
  <c r="D11" i="2"/>
  <c r="C11" i="2"/>
  <c r="B11" i="2"/>
  <c r="A11" i="2"/>
  <c r="G718" i="2"/>
  <c r="F718" i="2"/>
  <c r="E718" i="2"/>
  <c r="D718" i="2"/>
  <c r="C718" i="2"/>
  <c r="B718" i="2"/>
  <c r="A718" i="2"/>
  <c r="G1383" i="2"/>
  <c r="D1383" i="2"/>
  <c r="C1383" i="2"/>
  <c r="B1383" i="2"/>
  <c r="A1383" i="2"/>
  <c r="G847" i="2"/>
  <c r="F847" i="2"/>
  <c r="E847" i="2"/>
  <c r="D847" i="2"/>
  <c r="C847" i="2"/>
  <c r="B847" i="2"/>
  <c r="A847" i="2"/>
  <c r="G1090" i="2"/>
  <c r="F1090" i="2"/>
  <c r="E1090" i="2"/>
  <c r="D1090" i="2"/>
  <c r="C1090" i="2"/>
  <c r="B1090" i="2"/>
  <c r="A1090" i="2"/>
  <c r="G803" i="2"/>
  <c r="F803" i="2"/>
  <c r="E803" i="2"/>
  <c r="D803" i="2"/>
  <c r="C803" i="2"/>
  <c r="B803" i="2"/>
  <c r="A803" i="2"/>
  <c r="G500" i="2"/>
  <c r="F500" i="2"/>
  <c r="E500" i="2"/>
  <c r="D500" i="2"/>
  <c r="C500" i="2"/>
  <c r="B500" i="2"/>
  <c r="A500" i="2"/>
  <c r="G223" i="2"/>
  <c r="F223" i="2"/>
  <c r="E223" i="2"/>
  <c r="D223" i="2"/>
  <c r="C223" i="2"/>
  <c r="B223" i="2"/>
  <c r="A223" i="2"/>
  <c r="G66" i="2"/>
  <c r="F66" i="2"/>
  <c r="E66" i="2"/>
  <c r="D66" i="2"/>
  <c r="C66" i="2"/>
  <c r="B66" i="2"/>
  <c r="A66" i="2"/>
  <c r="G1206" i="2"/>
  <c r="F1206" i="2"/>
  <c r="E1206" i="2"/>
  <c r="D1206" i="2"/>
  <c r="C1206" i="2"/>
  <c r="B1206" i="2"/>
  <c r="A1206" i="2"/>
  <c r="G239" i="2"/>
  <c r="F239" i="2"/>
  <c r="E239" i="2"/>
  <c r="D239" i="2"/>
  <c r="C239" i="2"/>
  <c r="B239" i="2"/>
  <c r="A239" i="2"/>
  <c r="G1127" i="2"/>
  <c r="F1127" i="2"/>
  <c r="E1127" i="2"/>
  <c r="D1127" i="2"/>
  <c r="C1127" i="2"/>
  <c r="B1127" i="2"/>
  <c r="A1127" i="2"/>
  <c r="G230" i="2"/>
  <c r="F230" i="2"/>
  <c r="E230" i="2"/>
  <c r="D230" i="2"/>
  <c r="C230" i="2"/>
  <c r="B230" i="2"/>
  <c r="A230" i="2"/>
  <c r="G417" i="2"/>
  <c r="F417" i="2"/>
  <c r="E417" i="2"/>
  <c r="D417" i="2"/>
  <c r="C417" i="2"/>
  <c r="B417" i="2"/>
  <c r="A417" i="2"/>
  <c r="G713" i="2"/>
  <c r="F713" i="2"/>
  <c r="E713" i="2"/>
  <c r="D713" i="2"/>
  <c r="C713" i="2"/>
  <c r="B713" i="2"/>
  <c r="A713" i="2"/>
  <c r="G680" i="2"/>
  <c r="F680" i="2"/>
  <c r="E680" i="2"/>
  <c r="D680" i="2"/>
  <c r="C680" i="2"/>
  <c r="B680" i="2"/>
  <c r="A680" i="2"/>
  <c r="G874" i="2"/>
  <c r="F874" i="2"/>
  <c r="E874" i="2"/>
  <c r="D874" i="2"/>
  <c r="C874" i="2"/>
  <c r="B874" i="2"/>
  <c r="A874" i="2"/>
  <c r="G84" i="2"/>
  <c r="F84" i="2"/>
  <c r="E84" i="2"/>
  <c r="D84" i="2"/>
  <c r="C84" i="2"/>
  <c r="B84" i="2"/>
  <c r="A84" i="2"/>
  <c r="G36" i="2"/>
  <c r="F36" i="2"/>
  <c r="E36" i="2"/>
  <c r="D36" i="2"/>
  <c r="C36" i="2"/>
  <c r="B36" i="2"/>
  <c r="A36" i="2"/>
  <c r="G1141" i="2"/>
  <c r="F1141" i="2"/>
  <c r="E1141" i="2"/>
  <c r="D1141" i="2"/>
  <c r="C1141" i="2"/>
  <c r="B1141" i="2"/>
  <c r="A1141" i="2"/>
  <c r="G798" i="2"/>
  <c r="F798" i="2"/>
  <c r="E798" i="2"/>
  <c r="D798" i="2"/>
  <c r="C798" i="2"/>
  <c r="B798" i="2"/>
  <c r="A798" i="2"/>
  <c r="G463" i="2"/>
  <c r="F463" i="2"/>
  <c r="E463" i="2"/>
  <c r="D463" i="2"/>
  <c r="C463" i="2"/>
  <c r="B463" i="2"/>
  <c r="A463" i="2"/>
  <c r="G1036" i="2"/>
  <c r="F1036" i="2"/>
  <c r="E1036" i="2"/>
  <c r="D1036" i="2"/>
  <c r="C1036" i="2"/>
  <c r="B1036" i="2"/>
  <c r="A1036" i="2"/>
  <c r="G945" i="2"/>
  <c r="F945" i="2"/>
  <c r="E945" i="2"/>
  <c r="D945" i="2"/>
  <c r="C945" i="2"/>
  <c r="B945" i="2"/>
  <c r="A945" i="2"/>
  <c r="G629" i="2"/>
  <c r="F629" i="2"/>
  <c r="E629" i="2"/>
  <c r="D629" i="2"/>
  <c r="C629" i="2"/>
  <c r="B629" i="2"/>
  <c r="A629" i="2"/>
  <c r="G41" i="2"/>
  <c r="F41" i="2"/>
  <c r="E41" i="2"/>
  <c r="D41" i="2"/>
  <c r="C41" i="2"/>
  <c r="B41" i="2"/>
  <c r="A41" i="2"/>
  <c r="G1382" i="2"/>
  <c r="D1382" i="2"/>
  <c r="C1382" i="2"/>
  <c r="B1382" i="2"/>
  <c r="A1382" i="2"/>
  <c r="G1196" i="2"/>
  <c r="F1196" i="2"/>
  <c r="E1196" i="2"/>
  <c r="D1196" i="2"/>
  <c r="C1196" i="2"/>
  <c r="B1196" i="2"/>
  <c r="A1196" i="2"/>
  <c r="G787" i="2"/>
  <c r="F787" i="2"/>
  <c r="E787" i="2"/>
  <c r="D787" i="2"/>
  <c r="C787" i="2"/>
  <c r="B787" i="2"/>
  <c r="A787" i="2"/>
  <c r="G257" i="2"/>
  <c r="F257" i="2"/>
  <c r="E257" i="2"/>
  <c r="D257" i="2"/>
  <c r="C257" i="2"/>
  <c r="B257" i="2"/>
  <c r="A257" i="2"/>
  <c r="G146" i="2"/>
  <c r="F146" i="2"/>
  <c r="E146" i="2"/>
  <c r="D146" i="2"/>
  <c r="C146" i="2"/>
  <c r="B146" i="2"/>
  <c r="A146" i="2"/>
  <c r="G1381" i="2"/>
  <c r="D1381" i="2"/>
  <c r="C1381" i="2"/>
  <c r="B1381" i="2"/>
  <c r="A1381" i="2"/>
  <c r="G651" i="2"/>
  <c r="F651" i="2"/>
  <c r="E651" i="2"/>
  <c r="D651" i="2"/>
  <c r="C651" i="2"/>
  <c r="B651" i="2"/>
  <c r="A651" i="2"/>
  <c r="G650" i="2"/>
  <c r="F650" i="2"/>
  <c r="E650" i="2"/>
  <c r="D650" i="2"/>
  <c r="C650" i="2"/>
  <c r="B650" i="2"/>
  <c r="A650" i="2"/>
  <c r="G405" i="2"/>
  <c r="F405" i="2"/>
  <c r="E405" i="2"/>
  <c r="D405" i="2"/>
  <c r="C405" i="2"/>
  <c r="B405" i="2"/>
  <c r="A405" i="2"/>
  <c r="G729" i="2"/>
  <c r="F729" i="2"/>
  <c r="E729" i="2"/>
  <c r="D729" i="2"/>
  <c r="C729" i="2"/>
  <c r="B729" i="2"/>
  <c r="A729" i="2"/>
  <c r="G797" i="2"/>
  <c r="F797" i="2"/>
  <c r="E797" i="2"/>
  <c r="D797" i="2"/>
  <c r="C797" i="2"/>
  <c r="B797" i="2"/>
  <c r="A797" i="2"/>
  <c r="G1380" i="2"/>
  <c r="D1380" i="2"/>
  <c r="C1380" i="2"/>
  <c r="B1380" i="2"/>
  <c r="A1380" i="2"/>
  <c r="G884" i="2"/>
  <c r="F884" i="2"/>
  <c r="E884" i="2"/>
  <c r="D884" i="2"/>
  <c r="C884" i="2"/>
  <c r="B884" i="2"/>
  <c r="A884" i="2"/>
  <c r="G528" i="2"/>
  <c r="F528" i="2"/>
  <c r="E528" i="2"/>
  <c r="D528" i="2"/>
  <c r="C528" i="2"/>
  <c r="B528" i="2"/>
  <c r="A528" i="2"/>
  <c r="G743" i="2"/>
  <c r="F743" i="2"/>
  <c r="E743" i="2"/>
  <c r="D743" i="2"/>
  <c r="C743" i="2"/>
  <c r="B743" i="2"/>
  <c r="A743" i="2"/>
  <c r="G583" i="2"/>
  <c r="F583" i="2"/>
  <c r="E583" i="2"/>
  <c r="D583" i="2"/>
  <c r="C583" i="2"/>
  <c r="B583" i="2"/>
  <c r="A583" i="2"/>
  <c r="G256" i="2"/>
  <c r="F256" i="2"/>
  <c r="E256" i="2"/>
  <c r="D256" i="2"/>
  <c r="C256" i="2"/>
  <c r="B256" i="2"/>
  <c r="A256" i="2"/>
  <c r="G873" i="2"/>
  <c r="F873" i="2"/>
  <c r="E873" i="2"/>
  <c r="D873" i="2"/>
  <c r="C873" i="2"/>
  <c r="B873" i="2"/>
  <c r="A873" i="2"/>
  <c r="G476" i="2"/>
  <c r="F476" i="2"/>
  <c r="E476" i="2"/>
  <c r="D476" i="2"/>
  <c r="C476" i="2"/>
  <c r="B476" i="2"/>
  <c r="A476" i="2"/>
  <c r="G408" i="2"/>
  <c r="F408" i="2"/>
  <c r="E408" i="2"/>
  <c r="D408" i="2"/>
  <c r="C408" i="2"/>
  <c r="B408" i="2"/>
  <c r="A408" i="2"/>
  <c r="G883" i="2"/>
  <c r="F883" i="2"/>
  <c r="E883" i="2"/>
  <c r="D883" i="2"/>
  <c r="C883" i="2"/>
  <c r="B883" i="2"/>
  <c r="A883" i="2"/>
  <c r="G952" i="2"/>
  <c r="F952" i="2"/>
  <c r="E952" i="2"/>
  <c r="D952" i="2"/>
  <c r="C952" i="2"/>
  <c r="B952" i="2"/>
  <c r="A952" i="2"/>
  <c r="G122" i="2"/>
  <c r="F122" i="2"/>
  <c r="E122" i="2"/>
  <c r="D122" i="2"/>
  <c r="C122" i="2"/>
  <c r="B122" i="2"/>
  <c r="A122" i="2"/>
  <c r="G613" i="2"/>
  <c r="F613" i="2"/>
  <c r="E613" i="2"/>
  <c r="D613" i="2"/>
  <c r="C613" i="2"/>
  <c r="B613" i="2"/>
  <c r="A613" i="2"/>
  <c r="G893" i="2"/>
  <c r="F893" i="2"/>
  <c r="E893" i="2"/>
  <c r="D893" i="2"/>
  <c r="C893" i="2"/>
  <c r="B893" i="2"/>
  <c r="A893" i="2"/>
  <c r="G252" i="2"/>
  <c r="F252" i="2"/>
  <c r="E252" i="2"/>
  <c r="D252" i="2"/>
  <c r="C252" i="2"/>
  <c r="B252" i="2"/>
  <c r="A252" i="2"/>
  <c r="G767" i="2"/>
  <c r="F767" i="2"/>
  <c r="E767" i="2"/>
  <c r="D767" i="2"/>
  <c r="C767" i="2"/>
  <c r="B767" i="2"/>
  <c r="A767" i="2"/>
  <c r="G1379" i="2"/>
  <c r="D1379" i="2"/>
  <c r="C1379" i="2"/>
  <c r="B1379" i="2"/>
  <c r="A1379" i="2"/>
  <c r="G910" i="2"/>
  <c r="F910" i="2"/>
  <c r="E910" i="2"/>
  <c r="D910" i="2"/>
  <c r="C910" i="2"/>
  <c r="B910" i="2"/>
  <c r="A910" i="2"/>
  <c r="G1157" i="2"/>
  <c r="F1157" i="2"/>
  <c r="E1157" i="2"/>
  <c r="D1157" i="2"/>
  <c r="C1157" i="2"/>
  <c r="B1157" i="2"/>
  <c r="A1157" i="2"/>
  <c r="G1378" i="2"/>
  <c r="D1378" i="2"/>
  <c r="C1378" i="2"/>
  <c r="B1378" i="2"/>
  <c r="A1378" i="2"/>
  <c r="G109" i="2"/>
  <c r="F109" i="2"/>
  <c r="E109" i="2"/>
  <c r="D109" i="2"/>
  <c r="C109" i="2"/>
  <c r="B109" i="2"/>
  <c r="A109" i="2"/>
  <c r="G261" i="2"/>
  <c r="F261" i="2"/>
  <c r="E261" i="2"/>
  <c r="D261" i="2"/>
  <c r="C261" i="2"/>
  <c r="B261" i="2"/>
  <c r="A261" i="2"/>
  <c r="G1377" i="2"/>
  <c r="D1377" i="2"/>
  <c r="C1377" i="2"/>
  <c r="B1377" i="2"/>
  <c r="A1377" i="2"/>
  <c r="G304" i="2"/>
  <c r="F304" i="2"/>
  <c r="E304" i="2"/>
  <c r="D304" i="2"/>
  <c r="C304" i="2"/>
  <c r="B304" i="2"/>
  <c r="A304" i="2"/>
  <c r="G829" i="2"/>
  <c r="F829" i="2"/>
  <c r="E829" i="2"/>
  <c r="D829" i="2"/>
  <c r="C829" i="2"/>
  <c r="B829" i="2"/>
  <c r="A829" i="2"/>
  <c r="G1376" i="2"/>
  <c r="D1376" i="2"/>
  <c r="C1376" i="2"/>
  <c r="B1376" i="2"/>
  <c r="A1376" i="2"/>
  <c r="G545" i="2"/>
  <c r="F545" i="2"/>
  <c r="E545" i="2"/>
  <c r="D545" i="2"/>
  <c r="C545" i="2"/>
  <c r="B545" i="2"/>
  <c r="A545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100" i="2"/>
  <c r="F1100" i="2"/>
  <c r="E1100" i="2"/>
  <c r="D1100" i="2"/>
  <c r="C1100" i="2"/>
  <c r="B1100" i="2"/>
  <c r="A1100" i="2"/>
  <c r="G1375" i="2"/>
  <c r="D1375" i="2"/>
  <c r="C1375" i="2"/>
  <c r="B1375" i="2"/>
  <c r="A1375" i="2"/>
  <c r="G1374" i="2"/>
  <c r="D1374" i="2"/>
  <c r="C1374" i="2"/>
  <c r="B1374" i="2"/>
  <c r="A1374" i="2"/>
  <c r="G1373" i="2"/>
  <c r="D1373" i="2"/>
  <c r="C1373" i="2"/>
  <c r="B1373" i="2"/>
  <c r="A1373" i="2"/>
  <c r="G229" i="2"/>
  <c r="F229" i="2"/>
  <c r="E229" i="2"/>
  <c r="D229" i="2"/>
  <c r="C229" i="2"/>
  <c r="B229" i="2"/>
  <c r="A229" i="2"/>
  <c r="G909" i="2"/>
  <c r="F909" i="2"/>
  <c r="E909" i="2"/>
  <c r="D909" i="2"/>
  <c r="C909" i="2"/>
  <c r="B909" i="2"/>
  <c r="A909" i="2"/>
  <c r="G951" i="2"/>
  <c r="F951" i="2"/>
  <c r="E951" i="2"/>
  <c r="D951" i="2"/>
  <c r="C951" i="2"/>
  <c r="B951" i="2"/>
  <c r="A951" i="2"/>
  <c r="G544" i="2"/>
  <c r="F544" i="2"/>
  <c r="E544" i="2"/>
  <c r="D544" i="2"/>
  <c r="C544" i="2"/>
  <c r="B544" i="2"/>
  <c r="A544" i="2"/>
  <c r="G1065" i="2"/>
  <c r="F1065" i="2"/>
  <c r="E1065" i="2"/>
  <c r="D1065" i="2"/>
  <c r="C1065" i="2"/>
  <c r="B1065" i="2"/>
  <c r="A1065" i="2"/>
  <c r="G192" i="2"/>
  <c r="F192" i="2"/>
  <c r="E192" i="2"/>
  <c r="D192" i="2"/>
  <c r="C192" i="2"/>
  <c r="B192" i="2"/>
  <c r="A192" i="2"/>
  <c r="G802" i="2"/>
  <c r="F802" i="2"/>
  <c r="E802" i="2"/>
  <c r="D802" i="2"/>
  <c r="C802" i="2"/>
  <c r="B802" i="2"/>
  <c r="A802" i="2"/>
  <c r="G517" i="2"/>
  <c r="F517" i="2"/>
  <c r="E517" i="2"/>
  <c r="D517" i="2"/>
  <c r="C517" i="2"/>
  <c r="B517" i="2"/>
  <c r="A517" i="2"/>
  <c r="G597" i="2"/>
  <c r="F597" i="2"/>
  <c r="E597" i="2"/>
  <c r="D597" i="2"/>
  <c r="C597" i="2"/>
  <c r="B597" i="2"/>
  <c r="A597" i="2"/>
  <c r="G288" i="2"/>
  <c r="F288" i="2"/>
  <c r="E288" i="2"/>
  <c r="D288" i="2"/>
  <c r="C288" i="2"/>
  <c r="B288" i="2"/>
  <c r="A288" i="2"/>
  <c r="G1205" i="2"/>
  <c r="F1205" i="2"/>
  <c r="E1205" i="2"/>
  <c r="D1205" i="2"/>
  <c r="C1205" i="2"/>
  <c r="B1205" i="2"/>
  <c r="A1205" i="2"/>
  <c r="G156" i="2"/>
  <c r="F156" i="2"/>
  <c r="E156" i="2"/>
  <c r="D156" i="2"/>
  <c r="C156" i="2"/>
  <c r="B156" i="2"/>
  <c r="A156" i="2"/>
  <c r="G992" i="2"/>
  <c r="F992" i="2"/>
  <c r="E992" i="2"/>
  <c r="D992" i="2"/>
  <c r="C992" i="2"/>
  <c r="B992" i="2"/>
  <c r="A992" i="2"/>
  <c r="G1089" i="2"/>
  <c r="F1089" i="2"/>
  <c r="E1089" i="2"/>
  <c r="D1089" i="2"/>
  <c r="C1089" i="2"/>
  <c r="B1089" i="2"/>
  <c r="A1089" i="2"/>
  <c r="G135" i="2"/>
  <c r="F135" i="2"/>
  <c r="E135" i="2"/>
  <c r="D135" i="2"/>
  <c r="C135" i="2"/>
  <c r="B135" i="2"/>
  <c r="A135" i="2"/>
  <c r="G291" i="2"/>
  <c r="F291" i="2"/>
  <c r="E291" i="2"/>
  <c r="D291" i="2"/>
  <c r="C291" i="2"/>
  <c r="B291" i="2"/>
  <c r="A291" i="2"/>
  <c r="G96" i="2"/>
  <c r="F96" i="2"/>
  <c r="E96" i="2"/>
  <c r="D96" i="2"/>
  <c r="C96" i="2"/>
  <c r="B96" i="2"/>
  <c r="A96" i="2"/>
  <c r="G1027" i="2"/>
  <c r="F1027" i="2"/>
  <c r="E1027" i="2"/>
  <c r="D1027" i="2"/>
  <c r="C1027" i="2"/>
  <c r="B1027" i="2"/>
  <c r="A1027" i="2"/>
  <c r="G40" i="2"/>
  <c r="F40" i="2"/>
  <c r="E40" i="2"/>
  <c r="D40" i="2"/>
  <c r="C40" i="2"/>
  <c r="B40" i="2"/>
  <c r="A40" i="2"/>
  <c r="G853" i="2"/>
  <c r="F853" i="2"/>
  <c r="E853" i="2"/>
  <c r="D853" i="2"/>
  <c r="C853" i="2"/>
  <c r="B853" i="2"/>
  <c r="A853" i="2"/>
  <c r="G161" i="2"/>
  <c r="F161" i="2"/>
  <c r="E161" i="2"/>
  <c r="D161" i="2"/>
  <c r="C161" i="2"/>
  <c r="B161" i="2"/>
  <c r="A161" i="2"/>
  <c r="G1002" i="2"/>
  <c r="F1002" i="2"/>
  <c r="E1002" i="2"/>
  <c r="D1002" i="2"/>
  <c r="C1002" i="2"/>
  <c r="B1002" i="2"/>
  <c r="A1002" i="2"/>
  <c r="G445" i="2"/>
  <c r="F445" i="2"/>
  <c r="E445" i="2"/>
  <c r="D445" i="2"/>
  <c r="C445" i="2"/>
  <c r="B445" i="2"/>
  <c r="A445" i="2"/>
  <c r="G892" i="2"/>
  <c r="F892" i="2"/>
  <c r="E892" i="2"/>
  <c r="D892" i="2"/>
  <c r="C892" i="2"/>
  <c r="B892" i="2"/>
  <c r="A892" i="2"/>
  <c r="G141" i="2"/>
  <c r="F141" i="2"/>
  <c r="E141" i="2"/>
  <c r="D141" i="2"/>
  <c r="C141" i="2"/>
  <c r="B141" i="2"/>
  <c r="A141" i="2"/>
  <c r="G1372" i="2"/>
  <c r="D1372" i="2"/>
  <c r="C1372" i="2"/>
  <c r="B1372" i="2"/>
  <c r="A1372" i="2"/>
  <c r="G31" i="2"/>
  <c r="F31" i="2"/>
  <c r="E31" i="2"/>
  <c r="D31" i="2"/>
  <c r="C31" i="2"/>
  <c r="B31" i="2"/>
  <c r="A31" i="2"/>
  <c r="G433" i="2"/>
  <c r="F433" i="2"/>
  <c r="E433" i="2"/>
  <c r="D433" i="2"/>
  <c r="C433" i="2"/>
  <c r="B433" i="2"/>
  <c r="A433" i="2"/>
  <c r="G395" i="2"/>
  <c r="F395" i="2"/>
  <c r="E395" i="2"/>
  <c r="D395" i="2"/>
  <c r="C395" i="2"/>
  <c r="B395" i="2"/>
  <c r="A395" i="2"/>
  <c r="G416" i="2"/>
  <c r="F416" i="2"/>
  <c r="E416" i="2"/>
  <c r="D416" i="2"/>
  <c r="C416" i="2"/>
  <c r="B416" i="2"/>
  <c r="A416" i="2"/>
  <c r="G149" i="2"/>
  <c r="F149" i="2"/>
  <c r="E149" i="2"/>
  <c r="D149" i="2"/>
  <c r="C149" i="2"/>
  <c r="B149" i="2"/>
  <c r="A149" i="2"/>
  <c r="G366" i="2"/>
  <c r="F366" i="2"/>
  <c r="E366" i="2"/>
  <c r="D366" i="2"/>
  <c r="C366" i="2"/>
  <c r="B366" i="2"/>
  <c r="A366" i="2"/>
  <c r="G919" i="2"/>
  <c r="F919" i="2"/>
  <c r="E919" i="2"/>
  <c r="D919" i="2"/>
  <c r="C919" i="2"/>
  <c r="B919" i="2"/>
  <c r="A919" i="2"/>
  <c r="G83" i="2"/>
  <c r="F83" i="2"/>
  <c r="E83" i="2"/>
  <c r="D83" i="2"/>
  <c r="C83" i="2"/>
  <c r="B83" i="2"/>
  <c r="A83" i="2"/>
  <c r="G281" i="2"/>
  <c r="F281" i="2"/>
  <c r="E281" i="2"/>
  <c r="D281" i="2"/>
  <c r="C281" i="2"/>
  <c r="B281" i="2"/>
  <c r="A281" i="2"/>
  <c r="G355" i="2"/>
  <c r="F355" i="2"/>
  <c r="E355" i="2"/>
  <c r="D355" i="2"/>
  <c r="C355" i="2"/>
  <c r="B355" i="2"/>
  <c r="A355" i="2"/>
  <c r="G1371" i="2"/>
  <c r="D1371" i="2"/>
  <c r="C1371" i="2"/>
  <c r="B1371" i="2"/>
  <c r="A1371" i="2"/>
  <c r="G50" i="2"/>
  <c r="F50" i="2"/>
  <c r="E50" i="2"/>
  <c r="D50" i="2"/>
  <c r="C50" i="2"/>
  <c r="B50" i="2"/>
  <c r="A50" i="2"/>
  <c r="G113" i="2"/>
  <c r="F113" i="2"/>
  <c r="E113" i="2"/>
  <c r="D113" i="2"/>
  <c r="C113" i="2"/>
  <c r="B113" i="2"/>
  <c r="A113" i="2"/>
  <c r="G897" i="2"/>
  <c r="F897" i="2"/>
  <c r="E897" i="2"/>
  <c r="D897" i="2"/>
  <c r="C897" i="2"/>
  <c r="B897" i="2"/>
  <c r="A897" i="2"/>
  <c r="G828" i="2"/>
  <c r="F828" i="2"/>
  <c r="E828" i="2"/>
  <c r="D828" i="2"/>
  <c r="C828" i="2"/>
  <c r="B828" i="2"/>
  <c r="A828" i="2"/>
  <c r="G1370" i="2"/>
  <c r="D1370" i="2"/>
  <c r="C1370" i="2"/>
  <c r="B1370" i="2"/>
  <c r="A1370" i="2"/>
  <c r="G1076" i="2"/>
  <c r="F1076" i="2"/>
  <c r="E1076" i="2"/>
  <c r="D1076" i="2"/>
  <c r="C1076" i="2"/>
  <c r="B1076" i="2"/>
  <c r="A1076" i="2"/>
  <c r="G295" i="2"/>
  <c r="F295" i="2"/>
  <c r="E295" i="2"/>
  <c r="D295" i="2"/>
  <c r="C295" i="2"/>
  <c r="B295" i="2"/>
  <c r="A295" i="2"/>
  <c r="G857" i="2"/>
  <c r="F857" i="2"/>
  <c r="E857" i="2"/>
  <c r="D857" i="2"/>
  <c r="C857" i="2"/>
  <c r="B857" i="2"/>
  <c r="A857" i="2"/>
  <c r="G1056" i="2"/>
  <c r="F1056" i="2"/>
  <c r="E1056" i="2"/>
  <c r="D1056" i="2"/>
  <c r="C1056" i="2"/>
  <c r="B1056" i="2"/>
  <c r="A1056" i="2"/>
  <c r="G602" i="2"/>
  <c r="F602" i="2"/>
  <c r="E602" i="2"/>
  <c r="D602" i="2"/>
  <c r="C602" i="2"/>
  <c r="B602" i="2"/>
  <c r="A602" i="2"/>
  <c r="G1191" i="2"/>
  <c r="F1191" i="2"/>
  <c r="E1191" i="2"/>
  <c r="D1191" i="2"/>
  <c r="C1191" i="2"/>
  <c r="B1191" i="2"/>
  <c r="A1191" i="2"/>
  <c r="G1369" i="2"/>
  <c r="D1369" i="2"/>
  <c r="C1369" i="2"/>
  <c r="B1369" i="2"/>
  <c r="A1369" i="2"/>
  <c r="G268" i="2"/>
  <c r="F268" i="2"/>
  <c r="E268" i="2"/>
  <c r="D268" i="2"/>
  <c r="C268" i="2"/>
  <c r="B268" i="2"/>
  <c r="A268" i="2"/>
  <c r="G1368" i="2"/>
  <c r="D1368" i="2"/>
  <c r="C1368" i="2"/>
  <c r="B1368" i="2"/>
  <c r="A1368" i="2"/>
  <c r="G172" i="2"/>
  <c r="F172" i="2"/>
  <c r="E172" i="2"/>
  <c r="D172" i="2"/>
  <c r="C172" i="2"/>
  <c r="B172" i="2"/>
  <c r="A172" i="2"/>
  <c r="G1182" i="2"/>
  <c r="F1182" i="2"/>
  <c r="E1182" i="2"/>
  <c r="D1182" i="2"/>
  <c r="C1182" i="2"/>
  <c r="B1182" i="2"/>
  <c r="A1182" i="2"/>
  <c r="G568" i="2"/>
  <c r="F568" i="2"/>
  <c r="E568" i="2"/>
  <c r="D568" i="2"/>
  <c r="C568" i="2"/>
  <c r="B568" i="2"/>
  <c r="A568" i="2"/>
  <c r="G310" i="2"/>
  <c r="F310" i="2"/>
  <c r="E310" i="2"/>
  <c r="D310" i="2"/>
  <c r="C310" i="2"/>
  <c r="B310" i="2"/>
  <c r="A310" i="2"/>
  <c r="G704" i="2"/>
  <c r="F704" i="2"/>
  <c r="E704" i="2"/>
  <c r="D704" i="2"/>
  <c r="C704" i="2"/>
  <c r="B704" i="2"/>
  <c r="A704" i="2"/>
  <c r="G766" i="2"/>
  <c r="F766" i="2"/>
  <c r="E766" i="2"/>
  <c r="D766" i="2"/>
  <c r="C766" i="2"/>
  <c r="B766" i="2"/>
  <c r="A766" i="2"/>
  <c r="G975" i="2"/>
  <c r="F975" i="2"/>
  <c r="E975" i="2"/>
  <c r="D975" i="2"/>
  <c r="C975" i="2"/>
  <c r="B975" i="2"/>
  <c r="A975" i="2"/>
  <c r="G852" i="2"/>
  <c r="F852" i="2"/>
  <c r="E852" i="2"/>
  <c r="D852" i="2"/>
  <c r="C852" i="2"/>
  <c r="B852" i="2"/>
  <c r="A852" i="2"/>
  <c r="G35" i="2"/>
  <c r="F35" i="2"/>
  <c r="E35" i="2"/>
  <c r="D35" i="2"/>
  <c r="C35" i="2"/>
  <c r="B35" i="2"/>
  <c r="A35" i="2"/>
  <c r="G582" i="2"/>
  <c r="F582" i="2"/>
  <c r="E582" i="2"/>
  <c r="D582" i="2"/>
  <c r="C582" i="2"/>
  <c r="B582" i="2"/>
  <c r="A582" i="2"/>
  <c r="G762" i="2"/>
  <c r="F762" i="2"/>
  <c r="E762" i="2"/>
  <c r="D762" i="2"/>
  <c r="C762" i="2"/>
  <c r="B762" i="2"/>
  <c r="A762" i="2"/>
  <c r="G191" i="2"/>
  <c r="F191" i="2"/>
  <c r="E191" i="2"/>
  <c r="D191" i="2"/>
  <c r="C191" i="2"/>
  <c r="B191" i="2"/>
  <c r="A191" i="2"/>
  <c r="G791" i="2"/>
  <c r="F791" i="2"/>
  <c r="E791" i="2"/>
  <c r="D791" i="2"/>
  <c r="C791" i="2"/>
  <c r="B791" i="2"/>
  <c r="A791" i="2"/>
  <c r="G1032" i="2"/>
  <c r="F1032" i="2"/>
  <c r="E1032" i="2"/>
  <c r="D1032" i="2"/>
  <c r="C1032" i="2"/>
  <c r="B1032" i="2"/>
  <c r="A1032" i="2"/>
  <c r="G1367" i="2"/>
  <c r="D1367" i="2"/>
  <c r="C1367" i="2"/>
  <c r="B1367" i="2"/>
  <c r="A1367" i="2"/>
  <c r="G761" i="2"/>
  <c r="F761" i="2"/>
  <c r="E761" i="2"/>
  <c r="D761" i="2"/>
  <c r="C761" i="2"/>
  <c r="B761" i="2"/>
  <c r="A761" i="2"/>
  <c r="G656" i="2"/>
  <c r="F656" i="2"/>
  <c r="E656" i="2"/>
  <c r="D656" i="2"/>
  <c r="C656" i="2"/>
  <c r="B656" i="2"/>
  <c r="A656" i="2"/>
  <c r="G933" i="2"/>
  <c r="F933" i="2"/>
  <c r="E933" i="2"/>
  <c r="D933" i="2"/>
  <c r="C933" i="2"/>
  <c r="B933" i="2"/>
  <c r="A933" i="2"/>
  <c r="G838" i="2"/>
  <c r="F838" i="2"/>
  <c r="E838" i="2"/>
  <c r="D838" i="2"/>
  <c r="C838" i="2"/>
  <c r="B838" i="2"/>
  <c r="A838" i="2"/>
  <c r="G444" i="2"/>
  <c r="F444" i="2"/>
  <c r="E444" i="2"/>
  <c r="D444" i="2"/>
  <c r="C444" i="2"/>
  <c r="B444" i="2"/>
  <c r="A444" i="2"/>
  <c r="G516" i="2"/>
  <c r="F516" i="2"/>
  <c r="E516" i="2"/>
  <c r="D516" i="2"/>
  <c r="C516" i="2"/>
  <c r="B516" i="2"/>
  <c r="A516" i="2"/>
  <c r="G329" i="2"/>
  <c r="F329" i="2"/>
  <c r="E329" i="2"/>
  <c r="D329" i="2"/>
  <c r="C329" i="2"/>
  <c r="B329" i="2"/>
  <c r="A329" i="2"/>
  <c r="G1163" i="2"/>
  <c r="F1163" i="2"/>
  <c r="E1163" i="2"/>
  <c r="D1163" i="2"/>
  <c r="C1163" i="2"/>
  <c r="B1163" i="2"/>
  <c r="A1163" i="2"/>
  <c r="G956" i="2"/>
  <c r="F956" i="2"/>
  <c r="E956" i="2"/>
  <c r="D956" i="2"/>
  <c r="C956" i="2"/>
  <c r="B956" i="2"/>
  <c r="A956" i="2"/>
  <c r="G851" i="2"/>
  <c r="F851" i="2"/>
  <c r="E851" i="2"/>
  <c r="D851" i="2"/>
  <c r="C851" i="2"/>
  <c r="B851" i="2"/>
  <c r="A851" i="2"/>
  <c r="G1366" i="2"/>
  <c r="D1366" i="2"/>
  <c r="C1366" i="2"/>
  <c r="B1366" i="2"/>
  <c r="A1366" i="2"/>
  <c r="G1365" i="2"/>
  <c r="D1365" i="2"/>
  <c r="C1365" i="2"/>
  <c r="B1365" i="2"/>
  <c r="A1365" i="2"/>
  <c r="G724" i="2"/>
  <c r="F724" i="2"/>
  <c r="E724" i="2"/>
  <c r="D724" i="2"/>
  <c r="C724" i="2"/>
  <c r="B724" i="2"/>
  <c r="A724" i="2"/>
  <c r="G214" i="2"/>
  <c r="F214" i="2"/>
  <c r="E214" i="2"/>
  <c r="D214" i="2"/>
  <c r="C214" i="2"/>
  <c r="B214" i="2"/>
  <c r="A214" i="2"/>
  <c r="G515" i="2"/>
  <c r="F515" i="2"/>
  <c r="E515" i="2"/>
  <c r="D515" i="2"/>
  <c r="C515" i="2"/>
  <c r="B515" i="2"/>
  <c r="A515" i="2"/>
  <c r="G1064" i="2"/>
  <c r="F1064" i="2"/>
  <c r="E1064" i="2"/>
  <c r="D1064" i="2"/>
  <c r="C1064" i="2"/>
  <c r="B1064" i="2"/>
  <c r="A1064" i="2"/>
  <c r="G1099" i="2"/>
  <c r="F1099" i="2"/>
  <c r="E1099" i="2"/>
  <c r="D1099" i="2"/>
  <c r="C1099" i="2"/>
  <c r="B1099" i="2"/>
  <c r="A1099" i="2"/>
  <c r="G472" i="2"/>
  <c r="F472" i="2"/>
  <c r="E472" i="2"/>
  <c r="D472" i="2"/>
  <c r="C472" i="2"/>
  <c r="B472" i="2"/>
  <c r="A472" i="2"/>
  <c r="G891" i="2"/>
  <c r="F891" i="2"/>
  <c r="E891" i="2"/>
  <c r="D891" i="2"/>
  <c r="C891" i="2"/>
  <c r="B891" i="2"/>
  <c r="A891" i="2"/>
  <c r="G1364" i="2"/>
  <c r="D1364" i="2"/>
  <c r="C1364" i="2"/>
  <c r="B1364" i="2"/>
  <c r="A1364" i="2"/>
  <c r="G987" i="2"/>
  <c r="F987" i="2"/>
  <c r="E987" i="2"/>
  <c r="D987" i="2"/>
  <c r="C987" i="2"/>
  <c r="B987" i="2"/>
  <c r="A987" i="2"/>
  <c r="G70" i="2"/>
  <c r="F70" i="2"/>
  <c r="E70" i="2"/>
  <c r="D70" i="2"/>
  <c r="C70" i="2"/>
  <c r="B70" i="2"/>
  <c r="A70" i="2"/>
  <c r="G46" i="2"/>
  <c r="F46" i="2"/>
  <c r="E46" i="2"/>
  <c r="D46" i="2"/>
  <c r="C46" i="2"/>
  <c r="B46" i="2"/>
  <c r="A46" i="2"/>
  <c r="G694" i="2"/>
  <c r="F694" i="2"/>
  <c r="E694" i="2"/>
  <c r="D694" i="2"/>
  <c r="C694" i="2"/>
  <c r="B694" i="2"/>
  <c r="A694" i="2"/>
  <c r="G913" i="2"/>
  <c r="F913" i="2"/>
  <c r="E913" i="2"/>
  <c r="D913" i="2"/>
  <c r="C913" i="2"/>
  <c r="B913" i="2"/>
  <c r="A913" i="2"/>
  <c r="G896" i="2"/>
  <c r="F896" i="2"/>
  <c r="E896" i="2"/>
  <c r="D896" i="2"/>
  <c r="C896" i="2"/>
  <c r="B896" i="2"/>
  <c r="A896" i="2"/>
  <c r="G912" i="2"/>
  <c r="F912" i="2"/>
  <c r="E912" i="2"/>
  <c r="D912" i="2"/>
  <c r="C912" i="2"/>
  <c r="B912" i="2"/>
  <c r="A912" i="2"/>
  <c r="G390" i="2"/>
  <c r="F390" i="2"/>
  <c r="E390" i="2"/>
  <c r="D390" i="2"/>
  <c r="C390" i="2"/>
  <c r="B390" i="2"/>
  <c r="A390" i="2"/>
  <c r="G65" i="2"/>
  <c r="F65" i="2"/>
  <c r="E65" i="2"/>
  <c r="D65" i="2"/>
  <c r="C65" i="2"/>
  <c r="B65" i="2"/>
  <c r="A65" i="2"/>
  <c r="G382" i="2"/>
  <c r="F382" i="2"/>
  <c r="E382" i="2"/>
  <c r="D382" i="2"/>
  <c r="C382" i="2"/>
  <c r="B382" i="2"/>
  <c r="A382" i="2"/>
  <c r="G260" i="2"/>
  <c r="F260" i="2"/>
  <c r="E260" i="2"/>
  <c r="D260" i="2"/>
  <c r="C260" i="2"/>
  <c r="B260" i="2"/>
  <c r="A260" i="2"/>
  <c r="G309" i="2"/>
  <c r="F309" i="2"/>
  <c r="E309" i="2"/>
  <c r="D309" i="2"/>
  <c r="C309" i="2"/>
  <c r="B309" i="2"/>
  <c r="A309" i="2"/>
  <c r="G337" i="2"/>
  <c r="F337" i="2"/>
  <c r="E337" i="2"/>
  <c r="D337" i="2"/>
  <c r="C337" i="2"/>
  <c r="B337" i="2"/>
  <c r="A337" i="2"/>
  <c r="G1096" i="2"/>
  <c r="F1096" i="2"/>
  <c r="E1096" i="2"/>
  <c r="D1096" i="2"/>
  <c r="C1096" i="2"/>
  <c r="B1096" i="2"/>
  <c r="A1096" i="2"/>
  <c r="G661" i="2"/>
  <c r="F661" i="2"/>
  <c r="E661" i="2"/>
  <c r="D661" i="2"/>
  <c r="C661" i="2"/>
  <c r="B661" i="2"/>
  <c r="A661" i="2"/>
  <c r="G760" i="2"/>
  <c r="F760" i="2"/>
  <c r="E760" i="2"/>
  <c r="D760" i="2"/>
  <c r="C760" i="2"/>
  <c r="B760" i="2"/>
  <c r="A760" i="2"/>
  <c r="G1047" i="2"/>
  <c r="F1047" i="2"/>
  <c r="E1047" i="2"/>
  <c r="D1047" i="2"/>
  <c r="C1047" i="2"/>
  <c r="B1047" i="2"/>
  <c r="A1047" i="2"/>
  <c r="G5" i="2"/>
  <c r="F5" i="2"/>
  <c r="E5" i="2"/>
  <c r="D5" i="2"/>
  <c r="C5" i="2"/>
  <c r="B5" i="2"/>
  <c r="A5" i="2"/>
  <c r="G374" i="2"/>
  <c r="F374" i="2"/>
  <c r="E374" i="2"/>
  <c r="D374" i="2"/>
  <c r="C374" i="2"/>
  <c r="B374" i="2"/>
  <c r="A374" i="2"/>
  <c r="G777" i="2"/>
  <c r="F777" i="2"/>
  <c r="E777" i="2"/>
  <c r="D777" i="2"/>
  <c r="C777" i="2"/>
  <c r="B777" i="2"/>
  <c r="A777" i="2"/>
  <c r="G967" i="2"/>
  <c r="F967" i="2"/>
  <c r="E967" i="2"/>
  <c r="D967" i="2"/>
  <c r="C967" i="2"/>
  <c r="B967" i="2"/>
  <c r="A967" i="2"/>
  <c r="G1363" i="2"/>
  <c r="D1363" i="2"/>
  <c r="C1363" i="2"/>
  <c r="B1363" i="2"/>
  <c r="A1363" i="2"/>
  <c r="G324" i="2"/>
  <c r="F324" i="2"/>
  <c r="E324" i="2"/>
  <c r="D324" i="2"/>
  <c r="C324" i="2"/>
  <c r="B324" i="2"/>
  <c r="A324" i="2"/>
  <c r="G1362" i="2"/>
  <c r="D1362" i="2"/>
  <c r="C1362" i="2"/>
  <c r="B1362" i="2"/>
  <c r="A1362" i="2"/>
  <c r="G665" i="2"/>
  <c r="F665" i="2"/>
  <c r="E665" i="2"/>
  <c r="D665" i="2"/>
  <c r="C665" i="2"/>
  <c r="B665" i="2"/>
  <c r="A665" i="2"/>
  <c r="G499" i="2"/>
  <c r="F499" i="2"/>
  <c r="E499" i="2"/>
  <c r="D499" i="2"/>
  <c r="C499" i="2"/>
  <c r="B499" i="2"/>
  <c r="A499" i="2"/>
  <c r="G467" i="2"/>
  <c r="F467" i="2"/>
  <c r="E467" i="2"/>
  <c r="D467" i="2"/>
  <c r="C467" i="2"/>
  <c r="B467" i="2"/>
  <c r="A467" i="2"/>
  <c r="G182" i="2"/>
  <c r="F182" i="2"/>
  <c r="E182" i="2"/>
  <c r="D182" i="2"/>
  <c r="C182" i="2"/>
  <c r="B182" i="2"/>
  <c r="A182" i="2"/>
  <c r="G1160" i="2"/>
  <c r="F1160" i="2"/>
  <c r="E1160" i="2"/>
  <c r="D1160" i="2"/>
  <c r="C1160" i="2"/>
  <c r="B1160" i="2"/>
  <c r="A1160" i="2"/>
  <c r="G1361" i="2"/>
  <c r="D1361" i="2"/>
  <c r="C1361" i="2"/>
  <c r="B1361" i="2"/>
  <c r="A1361" i="2"/>
  <c r="G986" i="2"/>
  <c r="F986" i="2"/>
  <c r="E986" i="2"/>
  <c r="D986" i="2"/>
  <c r="C986" i="2"/>
  <c r="B986" i="2"/>
  <c r="A986" i="2"/>
  <c r="G400" i="2"/>
  <c r="F400" i="2"/>
  <c r="E400" i="2"/>
  <c r="D400" i="2"/>
  <c r="C400" i="2"/>
  <c r="B400" i="2"/>
  <c r="A400" i="2"/>
  <c r="G1081" i="2"/>
  <c r="F1081" i="2"/>
  <c r="E1081" i="2"/>
  <c r="D1081" i="2"/>
  <c r="C1081" i="2"/>
  <c r="B1081" i="2"/>
  <c r="A1081" i="2"/>
  <c r="G1046" i="2"/>
  <c r="F1046" i="2"/>
  <c r="E1046" i="2"/>
  <c r="D1046" i="2"/>
  <c r="C1046" i="2"/>
  <c r="B1046" i="2"/>
  <c r="A1046" i="2"/>
  <c r="G908" i="2"/>
  <c r="F908" i="2"/>
  <c r="E908" i="2"/>
  <c r="D908" i="2"/>
  <c r="C908" i="2"/>
  <c r="B908" i="2"/>
  <c r="A908" i="2"/>
  <c r="G920" i="2"/>
  <c r="F920" i="2"/>
  <c r="E920" i="2"/>
  <c r="D920" i="2"/>
  <c r="C920" i="2"/>
  <c r="B920" i="2"/>
  <c r="A920" i="2"/>
  <c r="G1360" i="2"/>
  <c r="D1360" i="2"/>
  <c r="C1360" i="2"/>
  <c r="B1360" i="2"/>
  <c r="A1360" i="2"/>
  <c r="G108" i="2"/>
  <c r="F108" i="2"/>
  <c r="E108" i="2"/>
  <c r="D108" i="2"/>
  <c r="C108" i="2"/>
  <c r="B108" i="2"/>
  <c r="A108" i="2"/>
  <c r="G559" i="2"/>
  <c r="F559" i="2"/>
  <c r="E559" i="2"/>
  <c r="D559" i="2"/>
  <c r="C559" i="2"/>
  <c r="B559" i="2"/>
  <c r="A559" i="2"/>
  <c r="G1359" i="2"/>
  <c r="D1359" i="2"/>
  <c r="C1359" i="2"/>
  <c r="B1359" i="2"/>
  <c r="A1359" i="2"/>
  <c r="G757" i="2"/>
  <c r="F757" i="2"/>
  <c r="E757" i="2"/>
  <c r="D757" i="2"/>
  <c r="C757" i="2"/>
  <c r="B757" i="2"/>
  <c r="A757" i="2"/>
  <c r="G373" i="2"/>
  <c r="F373" i="2"/>
  <c r="E373" i="2"/>
  <c r="D373" i="2"/>
  <c r="C373" i="2"/>
  <c r="B373" i="2"/>
  <c r="A373" i="2"/>
  <c r="G1181" i="2"/>
  <c r="F1181" i="2"/>
  <c r="E1181" i="2"/>
  <c r="D1181" i="2"/>
  <c r="C1181" i="2"/>
  <c r="B1181" i="2"/>
  <c r="A1181" i="2"/>
  <c r="G443" i="2"/>
  <c r="F443" i="2"/>
  <c r="E443" i="2"/>
  <c r="D443" i="2"/>
  <c r="C443" i="2"/>
  <c r="B443" i="2"/>
  <c r="A443" i="2"/>
  <c r="G20" i="2"/>
  <c r="F20" i="2"/>
  <c r="E20" i="2"/>
  <c r="D20" i="2"/>
  <c r="C20" i="2"/>
  <c r="B20" i="2"/>
  <c r="A20" i="2"/>
  <c r="G543" i="2"/>
  <c r="F543" i="2"/>
  <c r="E543" i="2"/>
  <c r="D543" i="2"/>
  <c r="C543" i="2"/>
  <c r="B543" i="2"/>
  <c r="A543" i="2"/>
  <c r="G1358" i="2"/>
  <c r="D1358" i="2"/>
  <c r="C1358" i="2"/>
  <c r="B1358" i="2"/>
  <c r="A1358" i="2"/>
  <c r="G323" i="2"/>
  <c r="F323" i="2"/>
  <c r="E323" i="2"/>
  <c r="D323" i="2"/>
  <c r="C323" i="2"/>
  <c r="B323" i="2"/>
  <c r="A323" i="2"/>
  <c r="G646" i="2"/>
  <c r="F646" i="2"/>
  <c r="E646" i="2"/>
  <c r="D646" i="2"/>
  <c r="C646" i="2"/>
  <c r="B646" i="2"/>
  <c r="A646" i="2"/>
  <c r="G513" i="2"/>
  <c r="F513" i="2"/>
  <c r="E513" i="2"/>
  <c r="D513" i="2"/>
  <c r="C513" i="2"/>
  <c r="B513" i="2"/>
  <c r="A513" i="2"/>
  <c r="G1119" i="2"/>
  <c r="F1119" i="2"/>
  <c r="E1119" i="2"/>
  <c r="D1119" i="2"/>
  <c r="C1119" i="2"/>
  <c r="B1119" i="2"/>
  <c r="A1119" i="2"/>
  <c r="G577" i="2"/>
  <c r="F577" i="2"/>
  <c r="E577" i="2"/>
  <c r="D577" i="2"/>
  <c r="C577" i="2"/>
  <c r="B577" i="2"/>
  <c r="A577" i="2"/>
  <c r="G210" i="2"/>
  <c r="F210" i="2"/>
  <c r="E210" i="2"/>
  <c r="D210" i="2"/>
  <c r="C210" i="2"/>
  <c r="B210" i="2"/>
  <c r="A210" i="2"/>
  <c r="G928" i="2"/>
  <c r="F928" i="2"/>
  <c r="E928" i="2"/>
  <c r="D928" i="2"/>
  <c r="C928" i="2"/>
  <c r="B928" i="2"/>
  <c r="A928" i="2"/>
  <c r="G1190" i="2"/>
  <c r="F1190" i="2"/>
  <c r="E1190" i="2"/>
  <c r="D1190" i="2"/>
  <c r="C1190" i="2"/>
  <c r="B1190" i="2"/>
  <c r="A1190" i="2"/>
  <c r="G742" i="2"/>
  <c r="F742" i="2"/>
  <c r="E742" i="2"/>
  <c r="D742" i="2"/>
  <c r="C742" i="2"/>
  <c r="B742" i="2"/>
  <c r="A742" i="2"/>
  <c r="G991" i="2"/>
  <c r="F991" i="2"/>
  <c r="E991" i="2"/>
  <c r="D991" i="2"/>
  <c r="C991" i="2"/>
  <c r="B991" i="2"/>
  <c r="A991" i="2"/>
  <c r="G591" i="2"/>
  <c r="F591" i="2"/>
  <c r="E591" i="2"/>
  <c r="D591" i="2"/>
  <c r="C591" i="2"/>
  <c r="B591" i="2"/>
  <c r="A591" i="2"/>
  <c r="G638" i="2"/>
  <c r="F638" i="2"/>
  <c r="E638" i="2"/>
  <c r="D638" i="2"/>
  <c r="C638" i="2"/>
  <c r="B638" i="2"/>
  <c r="A638" i="2"/>
  <c r="G1008" i="2"/>
  <c r="F1008" i="2"/>
  <c r="E1008" i="2"/>
  <c r="D1008" i="2"/>
  <c r="C1008" i="2"/>
  <c r="B1008" i="2"/>
  <c r="A1008" i="2"/>
  <c r="G548" i="2"/>
  <c r="F548" i="2"/>
  <c r="E548" i="2"/>
  <c r="D548" i="2"/>
  <c r="C548" i="2"/>
  <c r="B548" i="2"/>
  <c r="A548" i="2"/>
  <c r="G801" i="2"/>
  <c r="F801" i="2"/>
  <c r="E801" i="2"/>
  <c r="D801" i="2"/>
  <c r="C801" i="2"/>
  <c r="B801" i="2"/>
  <c r="A801" i="2"/>
  <c r="G1122" i="2"/>
  <c r="F1122" i="2"/>
  <c r="E1122" i="2"/>
  <c r="D1122" i="2"/>
  <c r="C1122" i="2"/>
  <c r="B1122" i="2"/>
  <c r="A1122" i="2"/>
  <c r="G381" i="2"/>
  <c r="F381" i="2"/>
  <c r="E381" i="2"/>
  <c r="D381" i="2"/>
  <c r="C381" i="2"/>
  <c r="B381" i="2"/>
  <c r="A381" i="2"/>
  <c r="G979" i="2"/>
  <c r="F979" i="2"/>
  <c r="E979" i="2"/>
  <c r="D979" i="2"/>
  <c r="C979" i="2"/>
  <c r="B979" i="2"/>
  <c r="A979" i="2"/>
  <c r="G522" i="2"/>
  <c r="F522" i="2"/>
  <c r="E522" i="2"/>
  <c r="D522" i="2"/>
  <c r="C522" i="2"/>
  <c r="B522" i="2"/>
  <c r="A522" i="2"/>
  <c r="G512" i="2"/>
  <c r="F512" i="2"/>
  <c r="E512" i="2"/>
  <c r="D512" i="2"/>
  <c r="C512" i="2"/>
  <c r="B512" i="2"/>
  <c r="A512" i="2"/>
  <c r="G723" i="2"/>
  <c r="F723" i="2"/>
  <c r="E723" i="2"/>
  <c r="D723" i="2"/>
  <c r="C723" i="2"/>
  <c r="B723" i="2"/>
  <c r="A723" i="2"/>
  <c r="G1357" i="2"/>
  <c r="D1357" i="2"/>
  <c r="C1357" i="2"/>
  <c r="B1357" i="2"/>
  <c r="A1357" i="2"/>
  <c r="G1059" i="2"/>
  <c r="F1059" i="2"/>
  <c r="E1059" i="2"/>
  <c r="D1059" i="2"/>
  <c r="C1059" i="2"/>
  <c r="B1059" i="2"/>
  <c r="A1059" i="2"/>
  <c r="G1356" i="2"/>
  <c r="D1356" i="2"/>
  <c r="C1356" i="2"/>
  <c r="B1356" i="2"/>
  <c r="A1356" i="2"/>
  <c r="G187" i="2"/>
  <c r="F187" i="2"/>
  <c r="E187" i="2"/>
  <c r="D187" i="2"/>
  <c r="C187" i="2"/>
  <c r="B187" i="2"/>
  <c r="A187" i="2"/>
  <c r="G202" i="2"/>
  <c r="F202" i="2"/>
  <c r="E202" i="2"/>
  <c r="D202" i="2"/>
  <c r="C202" i="2"/>
  <c r="B202" i="2"/>
  <c r="A202" i="2"/>
  <c r="G645" i="2"/>
  <c r="F645" i="2"/>
  <c r="E645" i="2"/>
  <c r="D645" i="2"/>
  <c r="C645" i="2"/>
  <c r="B645" i="2"/>
  <c r="A645" i="2"/>
  <c r="G1187" i="2"/>
  <c r="F1187" i="2"/>
  <c r="E1187" i="2"/>
  <c r="D1187" i="2"/>
  <c r="C1187" i="2"/>
  <c r="B1187" i="2"/>
  <c r="A1187" i="2"/>
  <c r="G1110" i="2"/>
  <c r="F1110" i="2"/>
  <c r="E1110" i="2"/>
  <c r="D1110" i="2"/>
  <c r="C1110" i="2"/>
  <c r="B1110" i="2"/>
  <c r="A1110" i="2"/>
  <c r="G937" i="2"/>
  <c r="F937" i="2"/>
  <c r="E937" i="2"/>
  <c r="D937" i="2"/>
  <c r="C937" i="2"/>
  <c r="B937" i="2"/>
  <c r="A937" i="2"/>
  <c r="G1007" i="2"/>
  <c r="F1007" i="2"/>
  <c r="E1007" i="2"/>
  <c r="D1007" i="2"/>
  <c r="C1007" i="2"/>
  <c r="B1007" i="2"/>
  <c r="A1007" i="2"/>
  <c r="G1355" i="2"/>
  <c r="D1355" i="2"/>
  <c r="C1355" i="2"/>
  <c r="B1355" i="2"/>
  <c r="A1355" i="2"/>
  <c r="G1354" i="2"/>
  <c r="D1354" i="2"/>
  <c r="C1354" i="2"/>
  <c r="B1354" i="2"/>
  <c r="A1354" i="2"/>
  <c r="G380" i="2"/>
  <c r="F380" i="2"/>
  <c r="E380" i="2"/>
  <c r="D380" i="2"/>
  <c r="C380" i="2"/>
  <c r="B380" i="2"/>
  <c r="A380" i="2"/>
  <c r="G475" i="2"/>
  <c r="F475" i="2"/>
  <c r="E475" i="2"/>
  <c r="D475" i="2"/>
  <c r="C475" i="2"/>
  <c r="B475" i="2"/>
  <c r="A475" i="2"/>
  <c r="G277" i="2"/>
  <c r="F277" i="2"/>
  <c r="E277" i="2"/>
  <c r="D277" i="2"/>
  <c r="C277" i="2"/>
  <c r="B277" i="2"/>
  <c r="A277" i="2"/>
  <c r="G1353" i="2"/>
  <c r="D1353" i="2"/>
  <c r="C1353" i="2"/>
  <c r="B1353" i="2"/>
  <c r="A1353" i="2"/>
  <c r="G474" i="2"/>
  <c r="F474" i="2"/>
  <c r="E474" i="2"/>
  <c r="D474" i="2"/>
  <c r="C474" i="2"/>
  <c r="B474" i="2"/>
  <c r="A474" i="2"/>
  <c r="G924" i="2"/>
  <c r="F924" i="2"/>
  <c r="E924" i="2"/>
  <c r="D924" i="2"/>
  <c r="C924" i="2"/>
  <c r="B924" i="2"/>
  <c r="A924" i="2"/>
  <c r="G759" i="2"/>
  <c r="F759" i="2"/>
  <c r="E759" i="2"/>
  <c r="D759" i="2"/>
  <c r="C759" i="2"/>
  <c r="B759" i="2"/>
  <c r="A759" i="2"/>
  <c r="G14" i="2"/>
  <c r="F14" i="2"/>
  <c r="E14" i="2"/>
  <c r="D14" i="2"/>
  <c r="C14" i="2"/>
  <c r="B14" i="2"/>
  <c r="A14" i="2"/>
  <c r="G581" i="2"/>
  <c r="F581" i="2"/>
  <c r="E581" i="2"/>
  <c r="D581" i="2"/>
  <c r="C581" i="2"/>
  <c r="B581" i="2"/>
  <c r="A581" i="2"/>
  <c r="G342" i="2"/>
  <c r="F342" i="2"/>
  <c r="E342" i="2"/>
  <c r="D342" i="2"/>
  <c r="C342" i="2"/>
  <c r="B342" i="2"/>
  <c r="A342" i="2"/>
  <c r="G287" i="2"/>
  <c r="F287" i="2"/>
  <c r="E287" i="2"/>
  <c r="D287" i="2"/>
  <c r="C287" i="2"/>
  <c r="B287" i="2"/>
  <c r="A287" i="2"/>
  <c r="G1001" i="2"/>
  <c r="F1001" i="2"/>
  <c r="E1001" i="2"/>
  <c r="D1001" i="2"/>
  <c r="C1001" i="2"/>
  <c r="B1001" i="2"/>
  <c r="A1001" i="2"/>
  <c r="G941" i="2"/>
  <c r="F941" i="2"/>
  <c r="E941" i="2"/>
  <c r="D941" i="2"/>
  <c r="C941" i="2"/>
  <c r="B941" i="2"/>
  <c r="A941" i="2"/>
  <c r="G554" i="2"/>
  <c r="F554" i="2"/>
  <c r="E554" i="2"/>
  <c r="D554" i="2"/>
  <c r="C554" i="2"/>
  <c r="B554" i="2"/>
  <c r="A554" i="2"/>
  <c r="G1352" i="2"/>
  <c r="D1352" i="2"/>
  <c r="C1352" i="2"/>
  <c r="B1352" i="2"/>
  <c r="A1352" i="2"/>
  <c r="G132" i="2"/>
  <c r="F132" i="2"/>
  <c r="E132" i="2"/>
  <c r="D132" i="2"/>
  <c r="C132" i="2"/>
  <c r="B132" i="2"/>
  <c r="A132" i="2"/>
  <c r="G1351" i="2"/>
  <c r="D1351" i="2"/>
  <c r="C1351" i="2"/>
  <c r="B1351" i="2"/>
  <c r="A1351" i="2"/>
  <c r="G824" i="2"/>
  <c r="F824" i="2"/>
  <c r="E824" i="2"/>
  <c r="D824" i="2"/>
  <c r="C824" i="2"/>
  <c r="B824" i="2"/>
  <c r="A824" i="2"/>
  <c r="G708" i="2"/>
  <c r="F708" i="2"/>
  <c r="E708" i="2"/>
  <c r="D708" i="2"/>
  <c r="C708" i="2"/>
  <c r="B708" i="2"/>
  <c r="A708" i="2"/>
  <c r="G1173" i="2"/>
  <c r="F1173" i="2"/>
  <c r="E1173" i="2"/>
  <c r="D1173" i="2"/>
  <c r="C1173" i="2"/>
  <c r="B1173" i="2"/>
  <c r="A1173" i="2"/>
  <c r="G103" i="2"/>
  <c r="F103" i="2"/>
  <c r="E103" i="2"/>
  <c r="D103" i="2"/>
  <c r="C103" i="2"/>
  <c r="B103" i="2"/>
  <c r="A103" i="2"/>
  <c r="G1350" i="2"/>
  <c r="D1350" i="2"/>
  <c r="C1350" i="2"/>
  <c r="B1350" i="2"/>
  <c r="A1350" i="2"/>
  <c r="G1349" i="2"/>
  <c r="D1349" i="2"/>
  <c r="C1349" i="2"/>
  <c r="B1349" i="2"/>
  <c r="A1349" i="2"/>
  <c r="G612" i="2"/>
  <c r="F612" i="2"/>
  <c r="E612" i="2"/>
  <c r="D612" i="2"/>
  <c r="C612" i="2"/>
  <c r="B612" i="2"/>
  <c r="A612" i="2"/>
  <c r="G454" i="2"/>
  <c r="F454" i="2"/>
  <c r="E454" i="2"/>
  <c r="D454" i="2"/>
  <c r="C454" i="2"/>
  <c r="B454" i="2"/>
  <c r="A454" i="2"/>
  <c r="G140" i="2"/>
  <c r="F140" i="2"/>
  <c r="E140" i="2"/>
  <c r="D140" i="2"/>
  <c r="C140" i="2"/>
  <c r="B140" i="2"/>
  <c r="A140" i="2"/>
  <c r="G684" i="2"/>
  <c r="F684" i="2"/>
  <c r="E684" i="2"/>
  <c r="D684" i="2"/>
  <c r="C684" i="2"/>
  <c r="B684" i="2"/>
  <c r="A684" i="2"/>
  <c r="G1348" i="2"/>
  <c r="D1348" i="2"/>
  <c r="C1348" i="2"/>
  <c r="B1348" i="2"/>
  <c r="A1348" i="2"/>
  <c r="G1014" i="2"/>
  <c r="F1014" i="2"/>
  <c r="E1014" i="2"/>
  <c r="D1014" i="2"/>
  <c r="C1014" i="2"/>
  <c r="B1014" i="2"/>
  <c r="A1014" i="2"/>
  <c r="G82" i="2"/>
  <c r="F82" i="2"/>
  <c r="E82" i="2"/>
  <c r="D82" i="2"/>
  <c r="C82" i="2"/>
  <c r="B82" i="2"/>
  <c r="A82" i="2"/>
  <c r="G1347" i="2"/>
  <c r="D1347" i="2"/>
  <c r="C1347" i="2"/>
  <c r="B1347" i="2"/>
  <c r="A1347" i="2"/>
  <c r="G622" i="2"/>
  <c r="F622" i="2"/>
  <c r="E622" i="2"/>
  <c r="D622" i="2"/>
  <c r="C622" i="2"/>
  <c r="B622" i="2"/>
  <c r="A622" i="2"/>
  <c r="G160" i="2"/>
  <c r="F160" i="2"/>
  <c r="E160" i="2"/>
  <c r="D160" i="2"/>
  <c r="C160" i="2"/>
  <c r="B160" i="2"/>
  <c r="A160" i="2"/>
  <c r="G75" i="2"/>
  <c r="F75" i="2"/>
  <c r="E75" i="2"/>
  <c r="D75" i="2"/>
  <c r="C75" i="2"/>
  <c r="B75" i="2"/>
  <c r="A75" i="2"/>
  <c r="G145" i="2"/>
  <c r="F145" i="2"/>
  <c r="E145" i="2"/>
  <c r="D145" i="2"/>
  <c r="C145" i="2"/>
  <c r="B145" i="2"/>
  <c r="A145" i="2"/>
  <c r="G404" i="2"/>
  <c r="F404" i="2"/>
  <c r="E404" i="2"/>
  <c r="D404" i="2"/>
  <c r="C404" i="2"/>
  <c r="B404" i="2"/>
  <c r="A404" i="2"/>
  <c r="G1346" i="2"/>
  <c r="D1346" i="2"/>
  <c r="C1346" i="2"/>
  <c r="B1346" i="2"/>
  <c r="A1346" i="2"/>
  <c r="G827" i="2"/>
  <c r="F827" i="2"/>
  <c r="E827" i="2"/>
  <c r="D827" i="2"/>
  <c r="C827" i="2"/>
  <c r="B827" i="2"/>
  <c r="A827" i="2"/>
  <c r="G927" i="2"/>
  <c r="F927" i="2"/>
  <c r="E927" i="2"/>
  <c r="D927" i="2"/>
  <c r="C927" i="2"/>
  <c r="B927" i="2"/>
  <c r="A927" i="2"/>
  <c r="G772" i="2"/>
  <c r="F772" i="2"/>
  <c r="E772" i="2"/>
  <c r="D772" i="2"/>
  <c r="C772" i="2"/>
  <c r="B772" i="2"/>
  <c r="A772" i="2"/>
  <c r="G1149" i="2"/>
  <c r="F1149" i="2"/>
  <c r="E1149" i="2"/>
  <c r="D1149" i="2"/>
  <c r="C1149" i="2"/>
  <c r="B1149" i="2"/>
  <c r="A1149" i="2"/>
  <c r="G1345" i="2"/>
  <c r="D1345" i="2"/>
  <c r="C1345" i="2"/>
  <c r="B1345" i="2"/>
  <c r="A1345" i="2"/>
  <c r="G812" i="2"/>
  <c r="F812" i="2"/>
  <c r="E812" i="2"/>
  <c r="D812" i="2"/>
  <c r="C812" i="2"/>
  <c r="B812" i="2"/>
  <c r="A812" i="2"/>
  <c r="G45" i="2"/>
  <c r="F45" i="2"/>
  <c r="E45" i="2"/>
  <c r="D45" i="2"/>
  <c r="C45" i="2"/>
  <c r="B45" i="2"/>
  <c r="A45" i="2"/>
  <c r="G26" i="2"/>
  <c r="F26" i="2"/>
  <c r="E26" i="2"/>
  <c r="D26" i="2"/>
  <c r="C26" i="2"/>
  <c r="B26" i="2"/>
  <c r="A26" i="2"/>
  <c r="G19" i="2"/>
  <c r="F19" i="2"/>
  <c r="E19" i="2"/>
  <c r="D19" i="2"/>
  <c r="C19" i="2"/>
  <c r="B19" i="2"/>
  <c r="A19" i="2"/>
  <c r="G354" i="2"/>
  <c r="F354" i="2"/>
  <c r="E354" i="2"/>
  <c r="D354" i="2"/>
  <c r="C354" i="2"/>
  <c r="B354" i="2"/>
  <c r="A354" i="2"/>
  <c r="G832" i="2"/>
  <c r="F832" i="2"/>
  <c r="E832" i="2"/>
  <c r="D832" i="2"/>
  <c r="C832" i="2"/>
  <c r="B832" i="2"/>
  <c r="A832" i="2"/>
  <c r="G190" i="2"/>
  <c r="F190" i="2"/>
  <c r="E190" i="2"/>
  <c r="D190" i="2"/>
  <c r="C190" i="2"/>
  <c r="B190" i="2"/>
  <c r="A190" i="2"/>
  <c r="G1344" i="2"/>
  <c r="D1344" i="2"/>
  <c r="C1344" i="2"/>
  <c r="B1344" i="2"/>
  <c r="A1344" i="2"/>
  <c r="G553" i="2"/>
  <c r="F553" i="2"/>
  <c r="E553" i="2"/>
  <c r="D553" i="2"/>
  <c r="C553" i="2"/>
  <c r="B553" i="2"/>
  <c r="A553" i="2"/>
  <c r="G950" i="2"/>
  <c r="F950" i="2"/>
  <c r="E950" i="2"/>
  <c r="D950" i="2"/>
  <c r="C950" i="2"/>
  <c r="B950" i="2"/>
  <c r="A950" i="2"/>
  <c r="G482" i="2"/>
  <c r="F482" i="2"/>
  <c r="E482" i="2"/>
  <c r="D482" i="2"/>
  <c r="C482" i="2"/>
  <c r="B482" i="2"/>
  <c r="A482" i="2"/>
  <c r="G228" i="2"/>
  <c r="F228" i="2"/>
  <c r="E228" i="2"/>
  <c r="D228" i="2"/>
  <c r="C228" i="2"/>
  <c r="B228" i="2"/>
  <c r="A228" i="2"/>
  <c r="G1019" i="2"/>
  <c r="F1019" i="2"/>
  <c r="E1019" i="2"/>
  <c r="D1019" i="2"/>
  <c r="C1019" i="2"/>
  <c r="B1019" i="2"/>
  <c r="A1019" i="2"/>
  <c r="G944" i="2"/>
  <c r="F944" i="2"/>
  <c r="E944" i="2"/>
  <c r="D944" i="2"/>
  <c r="C944" i="2"/>
  <c r="B944" i="2"/>
  <c r="A944" i="2"/>
  <c r="G255" i="2"/>
  <c r="F255" i="2"/>
  <c r="E255" i="2"/>
  <c r="D255" i="2"/>
  <c r="C255" i="2"/>
  <c r="B255" i="2"/>
  <c r="A255" i="2"/>
  <c r="G1172" i="2"/>
  <c r="F1172" i="2"/>
  <c r="E1172" i="2"/>
  <c r="D1172" i="2"/>
  <c r="C1172" i="2"/>
  <c r="B1172" i="2"/>
  <c r="A1172" i="2"/>
  <c r="G562" i="2"/>
  <c r="F562" i="2"/>
  <c r="E562" i="2"/>
  <c r="D562" i="2"/>
  <c r="C562" i="2"/>
  <c r="B562" i="2"/>
  <c r="A562" i="2"/>
  <c r="G39" i="2"/>
  <c r="F39" i="2"/>
  <c r="E39" i="2"/>
  <c r="D39" i="2"/>
  <c r="C39" i="2"/>
  <c r="B39" i="2"/>
  <c r="A39" i="2"/>
  <c r="G978" i="2"/>
  <c r="F978" i="2"/>
  <c r="E978" i="2"/>
  <c r="D978" i="2"/>
  <c r="C978" i="2"/>
  <c r="B978" i="2"/>
  <c r="A978" i="2"/>
  <c r="G782" i="2"/>
  <c r="F782" i="2"/>
  <c r="E782" i="2"/>
  <c r="D782" i="2"/>
  <c r="C782" i="2"/>
  <c r="B782" i="2"/>
  <c r="A782" i="2"/>
  <c r="G372" i="2"/>
  <c r="F372" i="2"/>
  <c r="E372" i="2"/>
  <c r="D372" i="2"/>
  <c r="C372" i="2"/>
  <c r="B372" i="2"/>
  <c r="A372" i="2"/>
  <c r="G671" i="2"/>
  <c r="F671" i="2"/>
  <c r="E671" i="2"/>
  <c r="D671" i="2"/>
  <c r="C671" i="2"/>
  <c r="B671" i="2"/>
  <c r="A671" i="2"/>
  <c r="G887" i="2"/>
  <c r="F887" i="2"/>
  <c r="E887" i="2"/>
  <c r="D887" i="2"/>
  <c r="C887" i="2"/>
  <c r="B887" i="2"/>
  <c r="A887" i="2"/>
  <c r="G1134" i="2"/>
  <c r="F1134" i="2"/>
  <c r="E1134" i="2"/>
  <c r="D1134" i="2"/>
  <c r="C1134" i="2"/>
  <c r="B1134" i="2"/>
  <c r="A1134" i="2"/>
  <c r="G1343" i="2"/>
  <c r="D1343" i="2"/>
  <c r="C1343" i="2"/>
  <c r="B1343" i="2"/>
  <c r="A1343" i="2"/>
  <c r="G1342" i="2"/>
  <c r="D1342" i="2"/>
  <c r="C1342" i="2"/>
  <c r="B1342" i="2"/>
  <c r="A1342" i="2"/>
  <c r="G573" i="2"/>
  <c r="F573" i="2"/>
  <c r="E573" i="2"/>
  <c r="D573" i="2"/>
  <c r="C573" i="2"/>
  <c r="B573" i="2"/>
  <c r="A573" i="2"/>
  <c r="G505" i="2"/>
  <c r="F505" i="2"/>
  <c r="E505" i="2"/>
  <c r="D505" i="2"/>
  <c r="C505" i="2"/>
  <c r="B505" i="2"/>
  <c r="A505" i="2"/>
  <c r="G422" i="2"/>
  <c r="F422" i="2"/>
  <c r="E422" i="2"/>
  <c r="D422" i="2"/>
  <c r="C422" i="2"/>
  <c r="B422" i="2"/>
  <c r="A422" i="2"/>
  <c r="G1341" i="2"/>
  <c r="D1341" i="2"/>
  <c r="C1341" i="2"/>
  <c r="B1341" i="2"/>
  <c r="A1341" i="2"/>
  <c r="G1340" i="2"/>
  <c r="D1340" i="2"/>
  <c r="C1340" i="2"/>
  <c r="B1340" i="2"/>
  <c r="A1340" i="2"/>
  <c r="G440" i="2"/>
  <c r="F440" i="2"/>
  <c r="E440" i="2"/>
  <c r="D440" i="2"/>
  <c r="C440" i="2"/>
  <c r="B440" i="2"/>
  <c r="A440" i="2"/>
  <c r="G1339" i="2"/>
  <c r="D1339" i="2"/>
  <c r="C1339" i="2"/>
  <c r="B1339" i="2"/>
  <c r="A1339" i="2"/>
  <c r="G78" i="2"/>
  <c r="F78" i="2"/>
  <c r="E78" i="2"/>
  <c r="D78" i="2"/>
  <c r="C78" i="2"/>
  <c r="B78" i="2"/>
  <c r="A78" i="2"/>
  <c r="G471" i="2"/>
  <c r="F471" i="2"/>
  <c r="E471" i="2"/>
  <c r="D471" i="2"/>
  <c r="C471" i="2"/>
  <c r="B471" i="2"/>
  <c r="A471" i="2"/>
  <c r="G738" i="2"/>
  <c r="F738" i="2"/>
  <c r="E738" i="2"/>
  <c r="D738" i="2"/>
  <c r="C738" i="2"/>
  <c r="B738" i="2"/>
  <c r="A738" i="2"/>
  <c r="G1098" i="2"/>
  <c r="F1098" i="2"/>
  <c r="E1098" i="2"/>
  <c r="D1098" i="2"/>
  <c r="C1098" i="2"/>
  <c r="B1098" i="2"/>
  <c r="A1098" i="2"/>
  <c r="G227" i="2"/>
  <c r="F227" i="2"/>
  <c r="E227" i="2"/>
  <c r="D227" i="2"/>
  <c r="C227" i="2"/>
  <c r="B227" i="2"/>
  <c r="A227" i="2"/>
  <c r="G1097" i="2"/>
  <c r="F1097" i="2"/>
  <c r="E1097" i="2"/>
  <c r="D1097" i="2"/>
  <c r="C1097" i="2"/>
  <c r="B1097" i="2"/>
  <c r="A1097" i="2"/>
  <c r="G413" i="2"/>
  <c r="F413" i="2"/>
  <c r="E413" i="2"/>
  <c r="D413" i="2"/>
  <c r="C413" i="2"/>
  <c r="B413" i="2"/>
  <c r="A413" i="2"/>
  <c r="G963" i="2"/>
  <c r="F963" i="2"/>
  <c r="E963" i="2"/>
  <c r="D963" i="2"/>
  <c r="C963" i="2"/>
  <c r="B963" i="2"/>
  <c r="A963" i="2"/>
  <c r="G649" i="2"/>
  <c r="F649" i="2"/>
  <c r="E649" i="2"/>
  <c r="D649" i="2"/>
  <c r="C649" i="2"/>
  <c r="B649" i="2"/>
  <c r="A649" i="2"/>
  <c r="G134" i="2"/>
  <c r="F134" i="2"/>
  <c r="E134" i="2"/>
  <c r="D134" i="2"/>
  <c r="C134" i="2"/>
  <c r="B134" i="2"/>
  <c r="A134" i="2"/>
  <c r="G1338" i="2"/>
  <c r="D1338" i="2"/>
  <c r="C1338" i="2"/>
  <c r="B1338" i="2"/>
  <c r="A1338" i="2"/>
  <c r="G509" i="2"/>
  <c r="F509" i="2"/>
  <c r="E509" i="2"/>
  <c r="D509" i="2"/>
  <c r="C509" i="2"/>
  <c r="B509" i="2"/>
  <c r="A509" i="2"/>
  <c r="G462" i="2"/>
  <c r="F462" i="2"/>
  <c r="E462" i="2"/>
  <c r="D462" i="2"/>
  <c r="C462" i="2"/>
  <c r="B462" i="2"/>
  <c r="A462" i="2"/>
  <c r="G336" i="2"/>
  <c r="F336" i="2"/>
  <c r="E336" i="2"/>
  <c r="D336" i="2"/>
  <c r="C336" i="2"/>
  <c r="B336" i="2"/>
  <c r="A336" i="2"/>
  <c r="G1041" i="2"/>
  <c r="F1041" i="2"/>
  <c r="E1041" i="2"/>
  <c r="D1041" i="2"/>
  <c r="C1041" i="2"/>
  <c r="B1041" i="2"/>
  <c r="A1041" i="2"/>
  <c r="G1152" i="2"/>
  <c r="F1152" i="2"/>
  <c r="E1152" i="2"/>
  <c r="D1152" i="2"/>
  <c r="C1152" i="2"/>
  <c r="B1152" i="2"/>
  <c r="A1152" i="2"/>
  <c r="G819" i="2"/>
  <c r="F819" i="2"/>
  <c r="E819" i="2"/>
  <c r="D819" i="2"/>
  <c r="C819" i="2"/>
  <c r="B819" i="2"/>
  <c r="A819" i="2"/>
  <c r="G4" i="2"/>
  <c r="F4" i="2"/>
  <c r="E4" i="2"/>
  <c r="D4" i="2"/>
  <c r="C4" i="2"/>
  <c r="B4" i="2"/>
  <c r="A4" i="2"/>
  <c r="G1072" i="2"/>
  <c r="F1072" i="2"/>
  <c r="E1072" i="2"/>
  <c r="D1072" i="2"/>
  <c r="C1072" i="2"/>
  <c r="B1072" i="2"/>
  <c r="A1072" i="2"/>
  <c r="G243" i="2"/>
  <c r="F243" i="2"/>
  <c r="E243" i="2"/>
  <c r="D243" i="2"/>
  <c r="C243" i="2"/>
  <c r="B243" i="2"/>
  <c r="A243" i="2"/>
  <c r="G608" i="2"/>
  <c r="F608" i="2"/>
  <c r="E608" i="2"/>
  <c r="D608" i="2"/>
  <c r="C608" i="2"/>
  <c r="B608" i="2"/>
  <c r="A608" i="2"/>
  <c r="G1337" i="2"/>
  <c r="D1337" i="2"/>
  <c r="C1337" i="2"/>
  <c r="B1337" i="2"/>
  <c r="A1337" i="2"/>
  <c r="G595" i="2"/>
  <c r="F595" i="2"/>
  <c r="E595" i="2"/>
  <c r="D595" i="2"/>
  <c r="C595" i="2"/>
  <c r="B595" i="2"/>
  <c r="A595" i="2"/>
  <c r="G1201" i="2"/>
  <c r="F1201" i="2"/>
  <c r="E1201" i="2"/>
  <c r="D1201" i="2"/>
  <c r="C1201" i="2"/>
  <c r="B1201" i="2"/>
  <c r="A1201" i="2"/>
  <c r="G1168" i="2"/>
  <c r="F1168" i="2"/>
  <c r="E1168" i="2"/>
  <c r="D1168" i="2"/>
  <c r="C1168" i="2"/>
  <c r="B1168" i="2"/>
  <c r="A1168" i="2"/>
  <c r="G504" i="2"/>
  <c r="F504" i="2"/>
  <c r="E504" i="2"/>
  <c r="D504" i="2"/>
  <c r="C504" i="2"/>
  <c r="B504" i="2"/>
  <c r="A504" i="2"/>
  <c r="G371" i="2"/>
  <c r="F371" i="2"/>
  <c r="E371" i="2"/>
  <c r="D371" i="2"/>
  <c r="C371" i="2"/>
  <c r="B371" i="2"/>
  <c r="A371" i="2"/>
  <c r="G536" i="2"/>
  <c r="F536" i="2"/>
  <c r="E536" i="2"/>
  <c r="D536" i="2"/>
  <c r="C536" i="2"/>
  <c r="B536" i="2"/>
  <c r="A536" i="2"/>
  <c r="G899" i="2"/>
  <c r="F899" i="2"/>
  <c r="E899" i="2"/>
  <c r="D899" i="2"/>
  <c r="C899" i="2"/>
  <c r="B899" i="2"/>
  <c r="A899" i="2"/>
  <c r="G316" i="2"/>
  <c r="F316" i="2"/>
  <c r="E316" i="2"/>
  <c r="D316" i="2"/>
  <c r="C316" i="2"/>
  <c r="B316" i="2"/>
  <c r="A316" i="2"/>
  <c r="G1024" i="2"/>
  <c r="F1024" i="2"/>
  <c r="E1024" i="2"/>
  <c r="D1024" i="2"/>
  <c r="C1024" i="2"/>
  <c r="B1024" i="2"/>
  <c r="A1024" i="2"/>
  <c r="G587" i="2"/>
  <c r="F587" i="2"/>
  <c r="E587" i="2"/>
  <c r="D587" i="2"/>
  <c r="C587" i="2"/>
  <c r="B587" i="2"/>
  <c r="A587" i="2"/>
  <c r="G846" i="2"/>
  <c r="F846" i="2"/>
  <c r="E846" i="2"/>
  <c r="D846" i="2"/>
  <c r="C846" i="2"/>
  <c r="B846" i="2"/>
  <c r="A846" i="2"/>
  <c r="G205" i="2"/>
  <c r="F205" i="2"/>
  <c r="E205" i="2"/>
  <c r="D205" i="2"/>
  <c r="C205" i="2"/>
  <c r="B205" i="2"/>
  <c r="A205" i="2"/>
  <c r="G790" i="2"/>
  <c r="F790" i="2"/>
  <c r="E790" i="2"/>
  <c r="D790" i="2"/>
  <c r="C790" i="2"/>
  <c r="B790" i="2"/>
  <c r="A790" i="2"/>
  <c r="G503" i="2"/>
  <c r="F503" i="2"/>
  <c r="E503" i="2"/>
  <c r="D503" i="2"/>
  <c r="C503" i="2"/>
  <c r="B503" i="2"/>
  <c r="A503" i="2"/>
  <c r="G201" i="2"/>
  <c r="F201" i="2"/>
  <c r="E201" i="2"/>
  <c r="D201" i="2"/>
  <c r="C201" i="2"/>
  <c r="B201" i="2"/>
  <c r="A201" i="2"/>
  <c r="G741" i="2"/>
  <c r="F741" i="2"/>
  <c r="E741" i="2"/>
  <c r="C741" i="2"/>
  <c r="B741" i="2"/>
  <c r="A741" i="2"/>
  <c r="G1018" i="2"/>
  <c r="F1018" i="2"/>
  <c r="E1018" i="2"/>
  <c r="D1018" i="2"/>
  <c r="C1018" i="2"/>
  <c r="B1018" i="2"/>
  <c r="A1018" i="2"/>
  <c r="G1336" i="2"/>
  <c r="D1336" i="2"/>
  <c r="C1336" i="2"/>
  <c r="B1336" i="2"/>
  <c r="A1336" i="2"/>
  <c r="G508" i="2"/>
  <c r="F508" i="2"/>
  <c r="E508" i="2"/>
  <c r="D508" i="2"/>
  <c r="C508" i="2"/>
  <c r="B508" i="2"/>
  <c r="A508" i="2"/>
  <c r="G197" i="2"/>
  <c r="F197" i="2"/>
  <c r="E197" i="2"/>
  <c r="D197" i="2"/>
  <c r="C197" i="2"/>
  <c r="B197" i="2"/>
  <c r="A197" i="2"/>
  <c r="G308" i="2"/>
  <c r="F308" i="2"/>
  <c r="E308" i="2"/>
  <c r="D308" i="2"/>
  <c r="C308" i="2"/>
  <c r="B308" i="2"/>
  <c r="A308" i="2"/>
  <c r="G918" i="2"/>
  <c r="F918" i="2"/>
  <c r="E918" i="2"/>
  <c r="D918" i="2"/>
  <c r="C918" i="2"/>
  <c r="B918" i="2"/>
  <c r="A918" i="2"/>
  <c r="G771" i="2"/>
  <c r="F771" i="2"/>
  <c r="E771" i="2"/>
  <c r="D771" i="2"/>
  <c r="C771" i="2"/>
  <c r="B771" i="2"/>
  <c r="A771" i="2"/>
  <c r="G493" i="2"/>
  <c r="F493" i="2"/>
  <c r="E493" i="2"/>
  <c r="D493" i="2"/>
  <c r="C493" i="2"/>
  <c r="B493" i="2"/>
  <c r="A493" i="2"/>
  <c r="G61" i="2"/>
  <c r="F61" i="2"/>
  <c r="E61" i="2"/>
  <c r="D61" i="2"/>
  <c r="C61" i="2"/>
  <c r="B61" i="2"/>
  <c r="A61" i="2"/>
  <c r="G394" i="2"/>
  <c r="F394" i="2"/>
  <c r="E394" i="2"/>
  <c r="D394" i="2"/>
  <c r="C394" i="2"/>
  <c r="B394" i="2"/>
  <c r="A394" i="2"/>
  <c r="G1335" i="2"/>
  <c r="D1335" i="2"/>
  <c r="C1335" i="2"/>
  <c r="B1335" i="2"/>
  <c r="A1335" i="2"/>
  <c r="G625" i="2"/>
  <c r="F625" i="2"/>
  <c r="E625" i="2"/>
  <c r="D625" i="2"/>
  <c r="C625" i="2"/>
  <c r="B625" i="2"/>
  <c r="A625" i="2"/>
  <c r="G1035" i="2"/>
  <c r="F1035" i="2"/>
  <c r="E1035" i="2"/>
  <c r="D1035" i="2"/>
  <c r="C1035" i="2"/>
  <c r="B1035" i="2"/>
  <c r="A1035" i="2"/>
  <c r="G236" i="2"/>
  <c r="F236" i="2"/>
  <c r="E236" i="2"/>
  <c r="D236" i="2"/>
  <c r="C236" i="2"/>
  <c r="B236" i="2"/>
  <c r="A236" i="2"/>
  <c r="G1189" i="2"/>
  <c r="F1189" i="2"/>
  <c r="E1189" i="2"/>
  <c r="D1189" i="2"/>
  <c r="C1189" i="2"/>
  <c r="B1189" i="2"/>
  <c r="A1189" i="2"/>
  <c r="G1334" i="2"/>
  <c r="D1334" i="2"/>
  <c r="C1334" i="2"/>
  <c r="B1334" i="2"/>
  <c r="A1334" i="2"/>
  <c r="G200" i="2"/>
  <c r="F200" i="2"/>
  <c r="E200" i="2"/>
  <c r="D200" i="2"/>
  <c r="C200" i="2"/>
  <c r="B200" i="2"/>
  <c r="A200" i="2"/>
  <c r="G983" i="2"/>
  <c r="F983" i="2"/>
  <c r="E983" i="2"/>
  <c r="D983" i="2"/>
  <c r="C983" i="2"/>
  <c r="B983" i="2"/>
  <c r="A983" i="2"/>
  <c r="G1186" i="2"/>
  <c r="F1186" i="2"/>
  <c r="E1186" i="2"/>
  <c r="D1186" i="2"/>
  <c r="C1186" i="2"/>
  <c r="B1186" i="2"/>
  <c r="A1186" i="2"/>
  <c r="G1167" i="2"/>
  <c r="F1167" i="2"/>
  <c r="E1167" i="2"/>
  <c r="D1167" i="2"/>
  <c r="C1167" i="2"/>
  <c r="B1167" i="2"/>
  <c r="A1167" i="2"/>
  <c r="G990" i="2"/>
  <c r="F990" i="2"/>
  <c r="E990" i="2"/>
  <c r="D990" i="2"/>
  <c r="C990" i="2"/>
  <c r="B990" i="2"/>
  <c r="A990" i="2"/>
  <c r="G60" i="2"/>
  <c r="F60" i="2"/>
  <c r="E60" i="2"/>
  <c r="D60" i="2"/>
  <c r="C60" i="2"/>
  <c r="B60" i="2"/>
  <c r="A60" i="2"/>
  <c r="G1333" i="2"/>
  <c r="D1333" i="2"/>
  <c r="C1333" i="2"/>
  <c r="B1333" i="2"/>
  <c r="A1333" i="2"/>
  <c r="G386" i="2"/>
  <c r="F386" i="2"/>
  <c r="E386" i="2"/>
  <c r="D386" i="2"/>
  <c r="C386" i="2"/>
  <c r="B386" i="2"/>
  <c r="A386" i="2"/>
  <c r="G3" i="2"/>
  <c r="F3" i="2"/>
  <c r="E3" i="2"/>
  <c r="D3" i="2"/>
  <c r="C3" i="2"/>
  <c r="B3" i="2"/>
  <c r="A3" i="2"/>
  <c r="G644" i="2"/>
  <c r="F644" i="2"/>
  <c r="E644" i="2"/>
  <c r="D644" i="2"/>
  <c r="C644" i="2"/>
  <c r="B644" i="2"/>
  <c r="A644" i="2"/>
  <c r="G707" i="2"/>
  <c r="F707" i="2"/>
  <c r="E707" i="2"/>
  <c r="D707" i="2"/>
  <c r="C707" i="2"/>
  <c r="B707" i="2"/>
  <c r="A707" i="2"/>
  <c r="G1133" i="2"/>
  <c r="F1133" i="2"/>
  <c r="E1133" i="2"/>
  <c r="D1133" i="2"/>
  <c r="C1133" i="2"/>
  <c r="B1133" i="2"/>
  <c r="A1133" i="2"/>
  <c r="G1195" i="2"/>
  <c r="F1195" i="2"/>
  <c r="E1195" i="2"/>
  <c r="D1195" i="2"/>
  <c r="C1195" i="2"/>
  <c r="B1195" i="2"/>
  <c r="A1195" i="2"/>
  <c r="G44" i="2"/>
  <c r="F44" i="2"/>
  <c r="E44" i="2"/>
  <c r="D44" i="2"/>
  <c r="C44" i="2"/>
  <c r="B44" i="2"/>
  <c r="A44" i="2"/>
  <c r="G955" i="2"/>
  <c r="F955" i="2"/>
  <c r="E955" i="2"/>
  <c r="D955" i="2"/>
  <c r="C955" i="2"/>
  <c r="B955" i="2"/>
  <c r="A955" i="2"/>
  <c r="G69" i="2"/>
  <c r="F69" i="2"/>
  <c r="E69" i="2"/>
  <c r="D69" i="2"/>
  <c r="C69" i="2"/>
  <c r="B69" i="2"/>
  <c r="A69" i="2"/>
  <c r="G728" i="2"/>
  <c r="F728" i="2"/>
  <c r="E728" i="2"/>
  <c r="D728" i="2"/>
  <c r="C728" i="2"/>
  <c r="B728" i="2"/>
  <c r="A728" i="2"/>
  <c r="G199" i="2"/>
  <c r="F199" i="2"/>
  <c r="E199" i="2"/>
  <c r="D199" i="2"/>
  <c r="C199" i="2"/>
  <c r="B199" i="2"/>
  <c r="A199" i="2"/>
  <c r="G1075" i="2"/>
  <c r="F1075" i="2"/>
  <c r="E1075" i="2"/>
  <c r="D1075" i="2"/>
  <c r="C1075" i="2"/>
  <c r="B1075" i="2"/>
  <c r="A1075" i="2"/>
  <c r="G514" i="2"/>
  <c r="F514" i="2"/>
  <c r="E514" i="2"/>
  <c r="D514" i="2"/>
  <c r="C514" i="2"/>
  <c r="B514" i="2"/>
  <c r="A514" i="2"/>
  <c r="G823" i="2"/>
  <c r="F823" i="2"/>
  <c r="E823" i="2"/>
  <c r="D823" i="2"/>
  <c r="C823" i="2"/>
  <c r="B823" i="2"/>
  <c r="A823" i="2"/>
  <c r="G222" i="2"/>
  <c r="F222" i="2"/>
  <c r="E222" i="2"/>
  <c r="D222" i="2"/>
  <c r="C222" i="2"/>
  <c r="B222" i="2"/>
  <c r="A222" i="2"/>
  <c r="G55" i="2"/>
  <c r="F55" i="2"/>
  <c r="E55" i="2"/>
  <c r="D55" i="2"/>
  <c r="C55" i="2"/>
  <c r="B55" i="2"/>
  <c r="A55" i="2"/>
  <c r="G633" i="2"/>
  <c r="F633" i="2"/>
  <c r="E633" i="2"/>
  <c r="D633" i="2"/>
  <c r="C633" i="2"/>
  <c r="B633" i="2"/>
  <c r="A633" i="2"/>
  <c r="G1052" i="2"/>
  <c r="F1052" i="2"/>
  <c r="E1052" i="2"/>
  <c r="D1052" i="2"/>
  <c r="C1052" i="2"/>
  <c r="B1052" i="2"/>
  <c r="A1052" i="2"/>
  <c r="G507" i="2"/>
  <c r="F507" i="2"/>
  <c r="E507" i="2"/>
  <c r="D507" i="2"/>
  <c r="C507" i="2"/>
  <c r="B507" i="2"/>
  <c r="A507" i="2"/>
  <c r="G1071" i="2"/>
  <c r="F1071" i="2"/>
  <c r="E1071" i="2"/>
  <c r="D1071" i="2"/>
  <c r="C1071" i="2"/>
  <c r="B1071" i="2"/>
  <c r="A1071" i="2"/>
  <c r="G1332" i="2"/>
  <c r="D1332" i="2"/>
  <c r="C1332" i="2"/>
  <c r="B1332" i="2"/>
  <c r="A1332" i="2"/>
  <c r="G221" i="2"/>
  <c r="F221" i="2"/>
  <c r="E221" i="2"/>
  <c r="D221" i="2"/>
  <c r="C221" i="2"/>
  <c r="B221" i="2"/>
  <c r="A221" i="2"/>
  <c r="G442" i="2"/>
  <c r="F442" i="2"/>
  <c r="E442" i="2"/>
  <c r="D442" i="2"/>
  <c r="C442" i="2"/>
  <c r="B442" i="2"/>
  <c r="A442" i="2"/>
  <c r="G294" i="2"/>
  <c r="F294" i="2"/>
  <c r="E294" i="2"/>
  <c r="D294" i="2"/>
  <c r="C294" i="2"/>
  <c r="B294" i="2"/>
  <c r="A294" i="2"/>
  <c r="G567" i="2"/>
  <c r="F567" i="2"/>
  <c r="E567" i="2"/>
  <c r="D567" i="2"/>
  <c r="C567" i="2"/>
  <c r="B567" i="2"/>
  <c r="A567" i="2"/>
  <c r="G664" i="2"/>
  <c r="F664" i="2"/>
  <c r="E664" i="2"/>
  <c r="D664" i="2"/>
  <c r="C664" i="2"/>
  <c r="B664" i="2"/>
  <c r="A664" i="2"/>
  <c r="G213" i="2"/>
  <c r="F213" i="2"/>
  <c r="E213" i="2"/>
  <c r="D213" i="2"/>
  <c r="C213" i="2"/>
  <c r="B213" i="2"/>
  <c r="A213" i="2"/>
  <c r="G322" i="2"/>
  <c r="F322" i="2"/>
  <c r="E322" i="2"/>
  <c r="D322" i="2"/>
  <c r="C322" i="2"/>
  <c r="B322" i="2"/>
  <c r="A322" i="2"/>
  <c r="G1088" i="2"/>
  <c r="F1088" i="2"/>
  <c r="E1088" i="2"/>
  <c r="D1088" i="2"/>
  <c r="C1088" i="2"/>
  <c r="B1088" i="2"/>
  <c r="A1088" i="2"/>
  <c r="G901" i="2"/>
  <c r="F901" i="2"/>
  <c r="E901" i="2"/>
  <c r="D901" i="2"/>
  <c r="C901" i="2"/>
  <c r="B901" i="2"/>
  <c r="A901" i="2"/>
  <c r="G220" i="2"/>
  <c r="F220" i="2"/>
  <c r="E220" i="2"/>
  <c r="D220" i="2"/>
  <c r="C220" i="2"/>
  <c r="B220" i="2"/>
  <c r="A220" i="2"/>
  <c r="G1331" i="2"/>
  <c r="D1331" i="2"/>
  <c r="C1331" i="2"/>
  <c r="B1331" i="2"/>
  <c r="A1331" i="2"/>
  <c r="G181" i="2"/>
  <c r="F181" i="2"/>
  <c r="E181" i="2"/>
  <c r="D181" i="2"/>
  <c r="C181" i="2"/>
  <c r="B181" i="2"/>
  <c r="A181" i="2"/>
  <c r="G171" i="2"/>
  <c r="F171" i="2"/>
  <c r="E171" i="2"/>
  <c r="D171" i="2"/>
  <c r="C171" i="2"/>
  <c r="B171" i="2"/>
  <c r="A171" i="2"/>
  <c r="G328" i="2"/>
  <c r="F328" i="2"/>
  <c r="E328" i="2"/>
  <c r="D328" i="2"/>
  <c r="C328" i="2"/>
  <c r="B328" i="2"/>
  <c r="A328" i="2"/>
  <c r="G212" i="2"/>
  <c r="F212" i="2"/>
  <c r="E212" i="2"/>
  <c r="D212" i="2"/>
  <c r="C212" i="2"/>
  <c r="B212" i="2"/>
  <c r="A212" i="2"/>
  <c r="G890" i="2"/>
  <c r="F890" i="2"/>
  <c r="E890" i="2"/>
  <c r="D890" i="2"/>
  <c r="C890" i="2"/>
  <c r="B890" i="2"/>
  <c r="A890" i="2"/>
  <c r="G393" i="2"/>
  <c r="F393" i="2"/>
  <c r="E393" i="2"/>
  <c r="D393" i="2"/>
  <c r="C393" i="2"/>
  <c r="B393" i="2"/>
  <c r="A393" i="2"/>
  <c r="G502" i="2"/>
  <c r="F502" i="2"/>
  <c r="E502" i="2"/>
  <c r="D502" i="2"/>
  <c r="C502" i="2"/>
  <c r="B502" i="2"/>
  <c r="A502" i="2"/>
  <c r="G776" i="2"/>
  <c r="F776" i="2"/>
  <c r="E776" i="2"/>
  <c r="D776" i="2"/>
  <c r="C776" i="2"/>
  <c r="B776" i="2"/>
  <c r="A776" i="2"/>
  <c r="G344" i="2"/>
  <c r="F344" i="2"/>
  <c r="E344" i="2"/>
  <c r="D344" i="2"/>
  <c r="C344" i="2"/>
  <c r="B344" i="2"/>
  <c r="A344" i="2"/>
  <c r="G10" i="2"/>
  <c r="F10" i="2"/>
  <c r="E10" i="2"/>
  <c r="D10" i="2"/>
  <c r="C10" i="2"/>
  <c r="B10" i="2"/>
  <c r="A10" i="2"/>
  <c r="G54" i="2"/>
  <c r="F54" i="2"/>
  <c r="E54" i="2"/>
  <c r="D54" i="2"/>
  <c r="C54" i="2"/>
  <c r="B54" i="2"/>
  <c r="A54" i="2"/>
  <c r="G144" i="2"/>
  <c r="F144" i="2"/>
  <c r="E144" i="2"/>
  <c r="D144" i="2"/>
  <c r="C144" i="2"/>
  <c r="B144" i="2"/>
  <c r="A144" i="2"/>
  <c r="G1330" i="2"/>
  <c r="D1330" i="2"/>
  <c r="C1330" i="2"/>
  <c r="B1330" i="2"/>
  <c r="A1330" i="2"/>
  <c r="G235" i="2"/>
  <c r="F235" i="2"/>
  <c r="E235" i="2"/>
  <c r="D235" i="2"/>
  <c r="C235" i="2"/>
  <c r="B235" i="2"/>
  <c r="A235" i="2"/>
  <c r="G1063" i="2"/>
  <c r="F1063" i="2"/>
  <c r="E1063" i="2"/>
  <c r="D1063" i="2"/>
  <c r="C1063" i="2"/>
  <c r="B1063" i="2"/>
  <c r="A1063" i="2"/>
  <c r="G333" i="2"/>
  <c r="F333" i="2"/>
  <c r="E333" i="2"/>
  <c r="D333" i="2"/>
  <c r="C333" i="2"/>
  <c r="B333" i="2"/>
  <c r="A333" i="2"/>
  <c r="G632" i="2"/>
  <c r="F632" i="2"/>
  <c r="E632" i="2"/>
  <c r="D632" i="2"/>
  <c r="C632" i="2"/>
  <c r="B632" i="2"/>
  <c r="A632" i="2"/>
  <c r="G378" i="2"/>
  <c r="F378" i="2"/>
  <c r="E378" i="2"/>
  <c r="D378" i="2"/>
  <c r="C378" i="2"/>
  <c r="B378" i="2"/>
  <c r="A378" i="2"/>
  <c r="G399" i="2"/>
  <c r="F399" i="2"/>
  <c r="E399" i="2"/>
  <c r="D399" i="2"/>
  <c r="C399" i="2"/>
  <c r="B399" i="2"/>
  <c r="A399" i="2"/>
  <c r="G628" i="2"/>
  <c r="F628" i="2"/>
  <c r="E628" i="2"/>
  <c r="D628" i="2"/>
  <c r="C628" i="2"/>
  <c r="B628" i="2"/>
  <c r="A628" i="2"/>
  <c r="G254" i="2"/>
  <c r="F254" i="2"/>
  <c r="E254" i="2"/>
  <c r="D254" i="2"/>
  <c r="C254" i="2"/>
  <c r="B254" i="2"/>
  <c r="A254" i="2"/>
  <c r="G87" i="2"/>
  <c r="F87" i="2"/>
  <c r="E87" i="2"/>
  <c r="D87" i="2"/>
  <c r="C87" i="2"/>
  <c r="B87" i="2"/>
  <c r="A87" i="2"/>
  <c r="G617" i="2"/>
  <c r="F617" i="2"/>
  <c r="E617" i="2"/>
  <c r="D617" i="2"/>
  <c r="C617" i="2"/>
  <c r="B617" i="2"/>
  <c r="A617" i="2"/>
  <c r="G1045" i="2"/>
  <c r="F1045" i="2"/>
  <c r="E1045" i="2"/>
  <c r="D1045" i="2"/>
  <c r="C1045" i="2"/>
  <c r="B1045" i="2"/>
  <c r="A1045" i="2"/>
  <c r="G1132" i="2"/>
  <c r="F1132" i="2"/>
  <c r="E1132" i="2"/>
  <c r="D1132" i="2"/>
  <c r="C1132" i="2"/>
  <c r="B1132" i="2"/>
  <c r="A1132" i="2"/>
  <c r="G432" i="2"/>
  <c r="F432" i="2"/>
  <c r="E432" i="2"/>
  <c r="D432" i="2"/>
  <c r="C432" i="2"/>
  <c r="B432" i="2"/>
  <c r="A432" i="2"/>
  <c r="G1329" i="2"/>
  <c r="D1329" i="2"/>
  <c r="C1329" i="2"/>
  <c r="B1329" i="2"/>
  <c r="A1329" i="2"/>
  <c r="G737" i="2"/>
  <c r="F737" i="2"/>
  <c r="E737" i="2"/>
  <c r="D737" i="2"/>
  <c r="C737" i="2"/>
  <c r="B737" i="2"/>
  <c r="A737" i="2"/>
  <c r="G95" i="2"/>
  <c r="F95" i="2"/>
  <c r="E95" i="2"/>
  <c r="D95" i="2"/>
  <c r="C95" i="2"/>
  <c r="B95" i="2"/>
  <c r="A95" i="2"/>
  <c r="G811" i="2"/>
  <c r="F811" i="2"/>
  <c r="E811" i="2"/>
  <c r="D811" i="2"/>
  <c r="C811" i="2"/>
  <c r="B811" i="2"/>
  <c r="A811" i="2"/>
  <c r="G1026" i="2"/>
  <c r="F1026" i="2"/>
  <c r="E1026" i="2"/>
  <c r="D1026" i="2"/>
  <c r="C1026" i="2"/>
  <c r="B1026" i="2"/>
  <c r="A1026" i="2"/>
  <c r="G1012" i="2"/>
  <c r="F1012" i="2"/>
  <c r="E1012" i="2"/>
  <c r="D1012" i="2"/>
  <c r="C1012" i="2"/>
  <c r="B1012" i="2"/>
  <c r="A1012" i="2"/>
  <c r="G1109" i="2"/>
  <c r="F1109" i="2"/>
  <c r="E1109" i="2"/>
  <c r="D1109" i="2"/>
  <c r="C1109" i="2"/>
  <c r="B1109" i="2"/>
  <c r="A1109" i="2"/>
  <c r="G1154" i="2"/>
  <c r="F1154" i="2"/>
  <c r="E1154" i="2"/>
  <c r="D1154" i="2"/>
  <c r="C1154" i="2"/>
  <c r="B1154" i="2"/>
  <c r="A1154" i="2"/>
  <c r="G1328" i="2"/>
  <c r="D1328" i="2"/>
  <c r="C1328" i="2"/>
  <c r="B1328" i="2"/>
  <c r="A1328" i="2"/>
  <c r="G796" i="2"/>
  <c r="F796" i="2"/>
  <c r="E796" i="2"/>
  <c r="D796" i="2"/>
  <c r="C796" i="2"/>
  <c r="B796" i="2"/>
  <c r="A796" i="2"/>
  <c r="G921" i="2"/>
  <c r="F921" i="2"/>
  <c r="E921" i="2"/>
  <c r="D921" i="2"/>
  <c r="C921" i="2"/>
  <c r="B921" i="2"/>
  <c r="A921" i="2"/>
  <c r="G870" i="2"/>
  <c r="F870" i="2"/>
  <c r="E870" i="2"/>
  <c r="D870" i="2"/>
  <c r="C870" i="2"/>
  <c r="B870" i="2"/>
  <c r="A870" i="2"/>
  <c r="G752" i="2"/>
  <c r="F752" i="2"/>
  <c r="E752" i="2"/>
  <c r="D752" i="2"/>
  <c r="C752" i="2"/>
  <c r="B752" i="2"/>
  <c r="A752" i="2"/>
  <c r="G751" i="2"/>
  <c r="F751" i="2"/>
  <c r="E751" i="2"/>
  <c r="D751" i="2"/>
  <c r="C751" i="2"/>
  <c r="B751" i="2"/>
  <c r="A751" i="2"/>
  <c r="G398" i="2"/>
  <c r="F398" i="2"/>
  <c r="E398" i="2"/>
  <c r="D398" i="2"/>
  <c r="C398" i="2"/>
  <c r="B398" i="2"/>
  <c r="A398" i="2"/>
  <c r="G1039" i="2"/>
  <c r="F1039" i="2"/>
  <c r="E1039" i="2"/>
  <c r="D1039" i="2"/>
  <c r="C1039" i="2"/>
  <c r="B1039" i="2"/>
  <c r="A1039" i="2"/>
  <c r="G1327" i="2"/>
  <c r="D1327" i="2"/>
  <c r="C1327" i="2"/>
  <c r="B1327" i="2"/>
  <c r="A1327" i="2"/>
  <c r="G267" i="2"/>
  <c r="F267" i="2"/>
  <c r="E267" i="2"/>
  <c r="D267" i="2"/>
  <c r="C267" i="2"/>
  <c r="B267" i="2"/>
  <c r="A267" i="2"/>
  <c r="G693" i="2"/>
  <c r="F693" i="2"/>
  <c r="E693" i="2"/>
  <c r="D693" i="2"/>
  <c r="C693" i="2"/>
  <c r="B693" i="2"/>
  <c r="A693" i="2"/>
  <c r="G679" i="2"/>
  <c r="F679" i="2"/>
  <c r="E679" i="2"/>
  <c r="D679" i="2"/>
  <c r="C679" i="2"/>
  <c r="B679" i="2"/>
  <c r="A679" i="2"/>
  <c r="G547" i="2"/>
  <c r="F547" i="2"/>
  <c r="E547" i="2"/>
  <c r="D547" i="2"/>
  <c r="C547" i="2"/>
  <c r="B547" i="2"/>
  <c r="A547" i="2"/>
  <c r="G453" i="2"/>
  <c r="F453" i="2"/>
  <c r="E453" i="2"/>
  <c r="D453" i="2"/>
  <c r="C453" i="2"/>
  <c r="B453" i="2"/>
  <c r="A453" i="2"/>
  <c r="G985" i="2"/>
  <c r="F985" i="2"/>
  <c r="E985" i="2"/>
  <c r="D985" i="2"/>
  <c r="C985" i="2"/>
  <c r="B985" i="2"/>
  <c r="A985" i="2"/>
  <c r="G452" i="2"/>
  <c r="F452" i="2"/>
  <c r="E452" i="2"/>
  <c r="D452" i="2"/>
  <c r="C452" i="2"/>
  <c r="B452" i="2"/>
  <c r="A452" i="2"/>
  <c r="G1058" i="2"/>
  <c r="F1058" i="2"/>
  <c r="E1058" i="2"/>
  <c r="D1058" i="2"/>
  <c r="C1058" i="2"/>
  <c r="B1058" i="2"/>
  <c r="A1058" i="2"/>
  <c r="G862" i="2"/>
  <c r="F862" i="2"/>
  <c r="E862" i="2"/>
  <c r="D862" i="2"/>
  <c r="C862" i="2"/>
  <c r="B862" i="2"/>
  <c r="A862" i="2"/>
  <c r="G107" i="2"/>
  <c r="F107" i="2"/>
  <c r="E107" i="2"/>
  <c r="D107" i="2"/>
  <c r="C107" i="2"/>
  <c r="B107" i="2"/>
  <c r="A107" i="2"/>
  <c r="G59" i="2"/>
  <c r="F59" i="2"/>
  <c r="E59" i="2"/>
  <c r="D59" i="2"/>
  <c r="C59" i="2"/>
  <c r="B59" i="2"/>
  <c r="A59" i="2"/>
  <c r="G1086" i="2"/>
  <c r="F1086" i="2"/>
  <c r="E1086" i="2"/>
  <c r="D1086" i="2"/>
  <c r="C1086" i="2"/>
  <c r="B1086" i="2"/>
  <c r="A1086" i="2"/>
  <c r="G867" i="2"/>
  <c r="F867" i="2"/>
  <c r="E867" i="2"/>
  <c r="D867" i="2"/>
  <c r="C867" i="2"/>
  <c r="B867" i="2"/>
  <c r="A867" i="2"/>
  <c r="G458" i="2"/>
  <c r="F458" i="2"/>
  <c r="E458" i="2"/>
  <c r="D458" i="2"/>
  <c r="C458" i="2"/>
  <c r="B458" i="2"/>
  <c r="A458" i="2"/>
  <c r="G1326" i="2"/>
  <c r="D1326" i="2"/>
  <c r="C1326" i="2"/>
  <c r="B1326" i="2"/>
  <c r="A1326" i="2"/>
  <c r="G349" i="2"/>
  <c r="F349" i="2"/>
  <c r="E349" i="2"/>
  <c r="D349" i="2"/>
  <c r="C349" i="2"/>
  <c r="B349" i="2"/>
  <c r="A349" i="2"/>
  <c r="G365" i="2"/>
  <c r="F365" i="2"/>
  <c r="E365" i="2"/>
  <c r="D365" i="2"/>
  <c r="C365" i="2"/>
  <c r="B365" i="2"/>
  <c r="A365" i="2"/>
  <c r="G30" i="2"/>
  <c r="F30" i="2"/>
  <c r="E30" i="2"/>
  <c r="D30" i="2"/>
  <c r="C30" i="2"/>
  <c r="B30" i="2"/>
  <c r="A30" i="2"/>
  <c r="G1325" i="2"/>
  <c r="D1325" i="2"/>
  <c r="C1325" i="2"/>
  <c r="B1325" i="2"/>
  <c r="A1325" i="2"/>
  <c r="G38" i="2"/>
  <c r="F38" i="2"/>
  <c r="E38" i="2"/>
  <c r="D38" i="2"/>
  <c r="C38" i="2"/>
  <c r="B38" i="2"/>
  <c r="A38" i="2"/>
  <c r="G1324" i="2"/>
  <c r="D1324" i="2"/>
  <c r="C1324" i="2"/>
  <c r="B1324" i="2"/>
  <c r="A1324" i="2"/>
  <c r="G9" i="2"/>
  <c r="F9" i="2"/>
  <c r="E9" i="2"/>
  <c r="D9" i="2"/>
  <c r="C9" i="2"/>
  <c r="B9" i="2"/>
  <c r="A9" i="2"/>
  <c r="G781" i="2"/>
  <c r="F781" i="2"/>
  <c r="E781" i="2"/>
  <c r="D781" i="2"/>
  <c r="C781" i="2"/>
  <c r="B781" i="2"/>
  <c r="A781" i="2"/>
  <c r="G1323" i="2"/>
  <c r="D1323" i="2"/>
  <c r="C1323" i="2"/>
  <c r="B1323" i="2"/>
  <c r="A1323" i="2"/>
  <c r="G43" i="2"/>
  <c r="F43" i="2"/>
  <c r="E43" i="2"/>
  <c r="D43" i="2"/>
  <c r="C43" i="2"/>
  <c r="B43" i="2"/>
  <c r="A43" i="2"/>
  <c r="G807" i="2"/>
  <c r="F807" i="2"/>
  <c r="E807" i="2"/>
  <c r="D807" i="2"/>
  <c r="C807" i="2"/>
  <c r="B807" i="2"/>
  <c r="A807" i="2"/>
  <c r="G360" i="2"/>
  <c r="F360" i="2"/>
  <c r="E360" i="2"/>
  <c r="D360" i="2"/>
  <c r="C360" i="2"/>
  <c r="B360" i="2"/>
  <c r="A360" i="2"/>
  <c r="G958" i="2"/>
  <c r="F958" i="2"/>
  <c r="E958" i="2"/>
  <c r="D958" i="2"/>
  <c r="C958" i="2"/>
  <c r="B958" i="2"/>
  <c r="A958" i="2"/>
  <c r="G272" i="2"/>
  <c r="F272" i="2"/>
  <c r="E272" i="2"/>
  <c r="D272" i="2"/>
  <c r="C272" i="2"/>
  <c r="B272" i="2"/>
  <c r="A272" i="2"/>
  <c r="G786" i="2"/>
  <c r="F786" i="2"/>
  <c r="E786" i="2"/>
  <c r="D786" i="2"/>
  <c r="C786" i="2"/>
  <c r="B786" i="2"/>
  <c r="A786" i="2"/>
  <c r="G826" i="2"/>
  <c r="F826" i="2"/>
  <c r="E826" i="2"/>
  <c r="D826" i="2"/>
  <c r="C826" i="2"/>
  <c r="B826" i="2"/>
  <c r="A826" i="2"/>
  <c r="G932" i="2"/>
  <c r="F932" i="2"/>
  <c r="E932" i="2"/>
  <c r="D932" i="2"/>
  <c r="C932" i="2"/>
  <c r="B932" i="2"/>
  <c r="A932" i="2"/>
  <c r="G1177" i="2"/>
  <c r="F1177" i="2"/>
  <c r="E1177" i="2"/>
  <c r="D1177" i="2"/>
  <c r="C1177" i="2"/>
  <c r="B1177" i="2"/>
  <c r="A1177" i="2"/>
  <c r="G53" i="2"/>
  <c r="F53" i="2"/>
  <c r="E53" i="2"/>
  <c r="D53" i="2"/>
  <c r="C53" i="2"/>
  <c r="B53" i="2"/>
  <c r="A53" i="2"/>
  <c r="G843" i="2"/>
  <c r="F843" i="2"/>
  <c r="E843" i="2"/>
  <c r="D843" i="2"/>
  <c r="C843" i="2"/>
  <c r="B843" i="2"/>
  <c r="A843" i="2"/>
  <c r="G327" i="2"/>
  <c r="F327" i="2"/>
  <c r="E327" i="2"/>
  <c r="D327" i="2"/>
  <c r="C327" i="2"/>
  <c r="B327" i="2"/>
  <c r="A327" i="2"/>
  <c r="G89" i="2"/>
  <c r="F89" i="2"/>
  <c r="E89" i="2"/>
  <c r="D89" i="2"/>
  <c r="C89" i="2"/>
  <c r="B89" i="2"/>
  <c r="A89" i="2"/>
  <c r="G527" i="2"/>
  <c r="F527" i="2"/>
  <c r="E527" i="2"/>
  <c r="D527" i="2"/>
  <c r="C527" i="2"/>
  <c r="B527" i="2"/>
  <c r="A527" i="2"/>
  <c r="G1322" i="2"/>
  <c r="D1322" i="2"/>
  <c r="C1322" i="2"/>
  <c r="B1322" i="2"/>
  <c r="A1322" i="2"/>
  <c r="G488" i="2"/>
  <c r="F488" i="2"/>
  <c r="E488" i="2"/>
  <c r="D488" i="2"/>
  <c r="C488" i="2"/>
  <c r="B488" i="2"/>
  <c r="A488" i="2"/>
  <c r="G1108" i="2"/>
  <c r="F1108" i="2"/>
  <c r="E1108" i="2"/>
  <c r="D1108" i="2"/>
  <c r="C1108" i="2"/>
  <c r="B1108" i="2"/>
  <c r="A1108" i="2"/>
  <c r="G818" i="2"/>
  <c r="F818" i="2"/>
  <c r="E818" i="2"/>
  <c r="D818" i="2"/>
  <c r="C818" i="2"/>
  <c r="B818" i="2"/>
  <c r="A818" i="2"/>
  <c r="G660" i="2"/>
  <c r="F660" i="2"/>
  <c r="E660" i="2"/>
  <c r="D660" i="2"/>
  <c r="C660" i="2"/>
  <c r="B660" i="2"/>
  <c r="A660" i="2"/>
  <c r="G1321" i="2"/>
  <c r="D1321" i="2"/>
  <c r="C1321" i="2"/>
  <c r="B1321" i="2"/>
  <c r="A1321" i="2"/>
  <c r="G343" i="2"/>
  <c r="F343" i="2"/>
  <c r="E343" i="2"/>
  <c r="D343" i="2"/>
  <c r="C343" i="2"/>
  <c r="B343" i="2"/>
  <c r="A343" i="2"/>
  <c r="G780" i="2"/>
  <c r="F780" i="2"/>
  <c r="E780" i="2"/>
  <c r="D780" i="2"/>
  <c r="C780" i="2"/>
  <c r="B780" i="2"/>
  <c r="A780" i="2"/>
  <c r="G717" i="2"/>
  <c r="F717" i="2"/>
  <c r="E717" i="2"/>
  <c r="D717" i="2"/>
  <c r="C717" i="2"/>
  <c r="B717" i="2"/>
  <c r="A717" i="2"/>
  <c r="G722" i="2"/>
  <c r="F722" i="2"/>
  <c r="E722" i="2"/>
  <c r="D722" i="2"/>
  <c r="C722" i="2"/>
  <c r="B722" i="2"/>
  <c r="A722" i="2"/>
  <c r="G451" i="2"/>
  <c r="F451" i="2"/>
  <c r="E451" i="2"/>
  <c r="D451" i="2"/>
  <c r="C451" i="2"/>
  <c r="B451" i="2"/>
  <c r="A451" i="2"/>
  <c r="G341" i="2"/>
  <c r="F341" i="2"/>
  <c r="E341" i="2"/>
  <c r="D341" i="2"/>
  <c r="C341" i="2"/>
  <c r="B341" i="2"/>
  <c r="A341" i="2"/>
  <c r="G1166" i="2"/>
  <c r="F1166" i="2"/>
  <c r="E1166" i="2"/>
  <c r="D1166" i="2"/>
  <c r="C1166" i="2"/>
  <c r="B1166" i="2"/>
  <c r="A1166" i="2"/>
  <c r="G1320" i="2"/>
  <c r="D1320" i="2"/>
  <c r="C1320" i="2"/>
  <c r="B1320" i="2"/>
  <c r="A1320" i="2"/>
  <c r="G34" i="2"/>
  <c r="F34" i="2"/>
  <c r="E34" i="2"/>
  <c r="D34" i="2"/>
  <c r="C34" i="2"/>
  <c r="B34" i="2"/>
  <c r="A34" i="2"/>
  <c r="G703" i="2"/>
  <c r="F703" i="2"/>
  <c r="E703" i="2"/>
  <c r="D703" i="2"/>
  <c r="C703" i="2"/>
  <c r="B703" i="2"/>
  <c r="A703" i="2"/>
  <c r="G616" i="2"/>
  <c r="F616" i="2"/>
  <c r="E616" i="2"/>
  <c r="D616" i="2"/>
  <c r="C616" i="2"/>
  <c r="B616" i="2"/>
  <c r="A616" i="2"/>
  <c r="G450" i="2"/>
  <c r="F450" i="2"/>
  <c r="E450" i="2"/>
  <c r="D450" i="2"/>
  <c r="C450" i="2"/>
  <c r="B450" i="2"/>
  <c r="A450" i="2"/>
  <c r="G1319" i="2"/>
  <c r="D1319" i="2"/>
  <c r="C1319" i="2"/>
  <c r="B1319" i="2"/>
  <c r="A1319" i="2"/>
  <c r="G856" i="2"/>
  <c r="F856" i="2"/>
  <c r="E856" i="2"/>
  <c r="D856" i="2"/>
  <c r="C856" i="2"/>
  <c r="B856" i="2"/>
  <c r="A856" i="2"/>
  <c r="G219" i="2"/>
  <c r="F219" i="2"/>
  <c r="E219" i="2"/>
  <c r="D219" i="2"/>
  <c r="C219" i="2"/>
  <c r="B219" i="2"/>
  <c r="A219" i="2"/>
  <c r="G699" i="2"/>
  <c r="F699" i="2"/>
  <c r="E699" i="2"/>
  <c r="D699" i="2"/>
  <c r="C699" i="2"/>
  <c r="B699" i="2"/>
  <c r="A699" i="2"/>
  <c r="G1318" i="2"/>
  <c r="D1318" i="2"/>
  <c r="C1318" i="2"/>
  <c r="B1318" i="2"/>
  <c r="A1318" i="2"/>
  <c r="G974" i="2"/>
  <c r="F974" i="2"/>
  <c r="E974" i="2"/>
  <c r="D974" i="2"/>
  <c r="C974" i="2"/>
  <c r="B974" i="2"/>
  <c r="A974" i="2"/>
  <c r="G81" i="2"/>
  <c r="F81" i="2"/>
  <c r="E81" i="2"/>
  <c r="D81" i="2"/>
  <c r="C81" i="2"/>
  <c r="B81" i="2"/>
  <c r="A81" i="2"/>
  <c r="G837" i="2"/>
  <c r="F837" i="2"/>
  <c r="E837" i="2"/>
  <c r="D837" i="2"/>
  <c r="C837" i="2"/>
  <c r="B837" i="2"/>
  <c r="A837" i="2"/>
  <c r="G106" i="2"/>
  <c r="F106" i="2"/>
  <c r="E106" i="2"/>
  <c r="D106" i="2"/>
  <c r="C106" i="2"/>
  <c r="B106" i="2"/>
  <c r="A106" i="2"/>
  <c r="G879" i="2"/>
  <c r="F879" i="2"/>
  <c r="E879" i="2"/>
  <c r="D879" i="2"/>
  <c r="C879" i="2"/>
  <c r="B879" i="2"/>
  <c r="A879" i="2"/>
  <c r="G1317" i="2"/>
  <c r="D1317" i="2"/>
  <c r="C1317" i="2"/>
  <c r="B1317" i="2"/>
  <c r="A1317" i="2"/>
  <c r="G615" i="2"/>
  <c r="F615" i="2"/>
  <c r="E615" i="2"/>
  <c r="D615" i="2"/>
  <c r="C615" i="2"/>
  <c r="B615" i="2"/>
  <c r="A615" i="2"/>
  <c r="G431" i="2"/>
  <c r="F431" i="2"/>
  <c r="E431" i="2"/>
  <c r="D431" i="2"/>
  <c r="C431" i="2"/>
  <c r="B431" i="2"/>
  <c r="A431" i="2"/>
  <c r="G866" i="2"/>
  <c r="F866" i="2"/>
  <c r="E866" i="2"/>
  <c r="D866" i="2"/>
  <c r="C866" i="2"/>
  <c r="B866" i="2"/>
  <c r="A866" i="2"/>
  <c r="G68" i="2"/>
  <c r="F68" i="2"/>
  <c r="E68" i="2"/>
  <c r="D68" i="2"/>
  <c r="C68" i="2"/>
  <c r="B68" i="2"/>
  <c r="A68" i="2"/>
  <c r="G1316" i="2"/>
  <c r="D1316" i="2"/>
  <c r="C1316" i="2"/>
  <c r="B1316" i="2"/>
  <c r="A1316" i="2"/>
  <c r="G765" i="2"/>
  <c r="F765" i="2"/>
  <c r="E765" i="2"/>
  <c r="D765" i="2"/>
  <c r="C765" i="2"/>
  <c r="B765" i="2"/>
  <c r="A765" i="2"/>
  <c r="G1051" i="2"/>
  <c r="F1051" i="2"/>
  <c r="E1051" i="2"/>
  <c r="D1051" i="2"/>
  <c r="C1051" i="2"/>
  <c r="B1051" i="2"/>
  <c r="A1051" i="2"/>
  <c r="G249" i="2"/>
  <c r="F249" i="2"/>
  <c r="E249" i="2"/>
  <c r="D249" i="2"/>
  <c r="C249" i="2"/>
  <c r="B249" i="2"/>
  <c r="A249" i="2"/>
  <c r="G284" i="2"/>
  <c r="F284" i="2"/>
  <c r="E284" i="2"/>
  <c r="D284" i="2"/>
  <c r="C284" i="2"/>
  <c r="B284" i="2"/>
  <c r="A284" i="2"/>
  <c r="G962" i="2"/>
  <c r="F962" i="2"/>
  <c r="E962" i="2"/>
  <c r="D962" i="2"/>
  <c r="C962" i="2"/>
  <c r="B962" i="2"/>
  <c r="A962" i="2"/>
  <c r="G430" i="2"/>
  <c r="F430" i="2"/>
  <c r="E430" i="2"/>
  <c r="D430" i="2"/>
  <c r="C430" i="2"/>
  <c r="B430" i="2"/>
  <c r="A430" i="2"/>
  <c r="G1315" i="2"/>
  <c r="D1315" i="2"/>
  <c r="C1315" i="2"/>
  <c r="B1315" i="2"/>
  <c r="A1315" i="2"/>
  <c r="G300" i="2"/>
  <c r="F300" i="2"/>
  <c r="E300" i="2"/>
  <c r="D300" i="2"/>
  <c r="C300" i="2"/>
  <c r="B300" i="2"/>
  <c r="A300" i="2"/>
  <c r="G1171" i="2"/>
  <c r="F1171" i="2"/>
  <c r="E1171" i="2"/>
  <c r="D1171" i="2"/>
  <c r="C1171" i="2"/>
  <c r="B1171" i="2"/>
  <c r="A1171" i="2"/>
  <c r="G907" i="2"/>
  <c r="F907" i="2"/>
  <c r="E907" i="2"/>
  <c r="D907" i="2"/>
  <c r="C907" i="2"/>
  <c r="B907" i="2"/>
  <c r="A907" i="2"/>
  <c r="G439" i="2"/>
  <c r="F439" i="2"/>
  <c r="E439" i="2"/>
  <c r="D439" i="2"/>
  <c r="C439" i="2"/>
  <c r="B439" i="2"/>
  <c r="A439" i="2"/>
  <c r="G637" i="2"/>
  <c r="F637" i="2"/>
  <c r="E637" i="2"/>
  <c r="D637" i="2"/>
  <c r="C637" i="2"/>
  <c r="B637" i="2"/>
  <c r="A637" i="2"/>
  <c r="G984" i="2"/>
  <c r="F984" i="2"/>
  <c r="E984" i="2"/>
  <c r="D984" i="2"/>
  <c r="C984" i="2"/>
  <c r="B984" i="2"/>
  <c r="A984" i="2"/>
  <c r="G806" i="2"/>
  <c r="F806" i="2"/>
  <c r="E806" i="2"/>
  <c r="D806" i="2"/>
  <c r="C806" i="2"/>
  <c r="B806" i="2"/>
  <c r="A806" i="2"/>
  <c r="G822" i="2"/>
  <c r="F822" i="2"/>
  <c r="E822" i="2"/>
  <c r="D822" i="2"/>
  <c r="C822" i="2"/>
  <c r="B822" i="2"/>
  <c r="A822" i="2"/>
  <c r="G1050" i="2"/>
  <c r="F1050" i="2"/>
  <c r="E1050" i="2"/>
  <c r="D1050" i="2"/>
  <c r="C1050" i="2"/>
  <c r="B1050" i="2"/>
  <c r="A1050" i="2"/>
  <c r="G842" i="2"/>
  <c r="F842" i="2"/>
  <c r="E842" i="2"/>
  <c r="D842" i="2"/>
  <c r="C842" i="2"/>
  <c r="B842" i="2"/>
  <c r="A842" i="2"/>
  <c r="G33" i="2"/>
  <c r="F33" i="2"/>
  <c r="E33" i="2"/>
  <c r="D33" i="2"/>
  <c r="C33" i="2"/>
  <c r="B33" i="2"/>
  <c r="A33" i="2"/>
  <c r="G1204" i="2"/>
  <c r="F1204" i="2"/>
  <c r="E1204" i="2"/>
  <c r="D1204" i="2"/>
  <c r="C1204" i="2"/>
  <c r="B1204" i="2"/>
  <c r="A1204" i="2"/>
  <c r="G558" i="2"/>
  <c r="F558" i="2"/>
  <c r="E558" i="2"/>
  <c r="D558" i="2"/>
  <c r="C558" i="2"/>
  <c r="B558" i="2"/>
  <c r="A558" i="2"/>
  <c r="G572" i="2"/>
  <c r="F572" i="2"/>
  <c r="E572" i="2"/>
  <c r="D572" i="2"/>
  <c r="C572" i="2"/>
  <c r="B572" i="2"/>
  <c r="A572" i="2"/>
  <c r="G359" i="2"/>
  <c r="F359" i="2"/>
  <c r="E359" i="2"/>
  <c r="D359" i="2"/>
  <c r="C359" i="2"/>
  <c r="B359" i="2"/>
  <c r="A359" i="2"/>
  <c r="G1130" i="2"/>
  <c r="F1130" i="2"/>
  <c r="E1130" i="2"/>
  <c r="D1130" i="2"/>
  <c r="C1130" i="2"/>
  <c r="B1130" i="2"/>
  <c r="A1130" i="2"/>
  <c r="G1314" i="2"/>
  <c r="D1314" i="2"/>
  <c r="C1314" i="2"/>
  <c r="B1314" i="2"/>
  <c r="A1314" i="2"/>
  <c r="G627" i="2"/>
  <c r="F627" i="2"/>
  <c r="E627" i="2"/>
  <c r="D627" i="2"/>
  <c r="C627" i="2"/>
  <c r="B627" i="2"/>
  <c r="A627" i="2"/>
  <c r="G535" i="2"/>
  <c r="F535" i="2"/>
  <c r="E535" i="2"/>
  <c r="D535" i="2"/>
  <c r="C535" i="2"/>
  <c r="B535" i="2"/>
  <c r="A535" i="2"/>
  <c r="G996" i="2"/>
  <c r="F996" i="2"/>
  <c r="E996" i="2"/>
  <c r="D996" i="2"/>
  <c r="C996" i="2"/>
  <c r="B996" i="2"/>
  <c r="A996" i="2"/>
  <c r="G112" i="2"/>
  <c r="F112" i="2"/>
  <c r="E112" i="2"/>
  <c r="D112" i="2"/>
  <c r="C112" i="2"/>
  <c r="B112" i="2"/>
  <c r="A112" i="2"/>
  <c r="G936" i="2"/>
  <c r="F936" i="2"/>
  <c r="E936" i="2"/>
  <c r="D936" i="2"/>
  <c r="C936" i="2"/>
  <c r="B936" i="2"/>
  <c r="A936" i="2"/>
  <c r="G721" i="2"/>
  <c r="F721" i="2"/>
  <c r="E721" i="2"/>
  <c r="D721" i="2"/>
  <c r="C721" i="2"/>
  <c r="B721" i="2"/>
  <c r="A721" i="2"/>
  <c r="G590" i="2"/>
  <c r="F590" i="2"/>
  <c r="E590" i="2"/>
  <c r="D590" i="2"/>
  <c r="C590" i="2"/>
  <c r="B590" i="2"/>
  <c r="A590" i="2"/>
  <c r="G531" i="2"/>
  <c r="F531" i="2"/>
  <c r="E531" i="2"/>
  <c r="D531" i="2"/>
  <c r="C531" i="2"/>
  <c r="B531" i="2"/>
  <c r="A531" i="2"/>
  <c r="G611" i="2"/>
  <c r="F611" i="2"/>
  <c r="E611" i="2"/>
  <c r="D611" i="2"/>
  <c r="C611" i="2"/>
  <c r="B611" i="2"/>
  <c r="A611" i="2"/>
  <c r="G1067" i="2"/>
  <c r="F1067" i="2"/>
  <c r="E1067" i="2"/>
  <c r="D1067" i="2"/>
  <c r="C1067" i="2"/>
  <c r="B1067" i="2"/>
  <c r="A1067" i="2"/>
  <c r="G1118" i="2"/>
  <c r="F1118" i="2"/>
  <c r="E1118" i="2"/>
  <c r="D1118" i="2"/>
  <c r="C1118" i="2"/>
  <c r="B1118" i="2"/>
  <c r="A1118" i="2"/>
  <c r="G900" i="2"/>
  <c r="F900" i="2"/>
  <c r="E900" i="2"/>
  <c r="D900" i="2"/>
  <c r="C900" i="2"/>
  <c r="B900" i="2"/>
  <c r="A900" i="2"/>
  <c r="G678" i="2"/>
  <c r="F678" i="2"/>
  <c r="E678" i="2"/>
  <c r="D678" i="2"/>
  <c r="C678" i="2"/>
  <c r="B678" i="2"/>
  <c r="A678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159" i="2"/>
  <c r="F159" i="2"/>
  <c r="E159" i="2"/>
  <c r="D159" i="2"/>
  <c r="C159" i="2"/>
  <c r="B159" i="2"/>
  <c r="A159" i="2"/>
  <c r="G845" i="2"/>
  <c r="F845" i="2"/>
  <c r="E845" i="2"/>
  <c r="D845" i="2"/>
  <c r="C845" i="2"/>
  <c r="B845" i="2"/>
  <c r="A845" i="2"/>
  <c r="G655" i="2"/>
  <c r="F655" i="2"/>
  <c r="E655" i="2"/>
  <c r="D655" i="2"/>
  <c r="C655" i="2"/>
  <c r="B655" i="2"/>
  <c r="A655" i="2"/>
  <c r="G218" i="2"/>
  <c r="F218" i="2"/>
  <c r="E218" i="2"/>
  <c r="D218" i="2"/>
  <c r="C218" i="2"/>
  <c r="B218" i="2"/>
  <c r="A218" i="2"/>
  <c r="G1313" i="2"/>
  <c r="D1313" i="2"/>
  <c r="C1313" i="2"/>
  <c r="B1313" i="2"/>
  <c r="A1313" i="2"/>
  <c r="G286" i="2"/>
  <c r="F286" i="2"/>
  <c r="E286" i="2"/>
  <c r="D286" i="2"/>
  <c r="C286" i="2"/>
  <c r="B286" i="2"/>
  <c r="A286" i="2"/>
  <c r="G1126" i="2"/>
  <c r="F1126" i="2"/>
  <c r="E1126" i="2"/>
  <c r="D1126" i="2"/>
  <c r="C1126" i="2"/>
  <c r="B1126" i="2"/>
  <c r="A1126" i="2"/>
  <c r="G785" i="2"/>
  <c r="F785" i="2"/>
  <c r="E785" i="2"/>
  <c r="D785" i="2"/>
  <c r="C785" i="2"/>
  <c r="B785" i="2"/>
  <c r="A785" i="2"/>
  <c r="G348" i="2"/>
  <c r="F348" i="2"/>
  <c r="E348" i="2"/>
  <c r="D348" i="2"/>
  <c r="C348" i="2"/>
  <c r="B348" i="2"/>
  <c r="A348" i="2"/>
  <c r="G817" i="2"/>
  <c r="F817" i="2"/>
  <c r="E817" i="2"/>
  <c r="D817" i="2"/>
  <c r="C817" i="2"/>
  <c r="B817" i="2"/>
  <c r="A817" i="2"/>
  <c r="G1312" i="2"/>
  <c r="D1312" i="2"/>
  <c r="C1312" i="2"/>
  <c r="B1312" i="2"/>
  <c r="A1312" i="2"/>
  <c r="G1311" i="2"/>
  <c r="D1311" i="2"/>
  <c r="C1311" i="2"/>
  <c r="B1311" i="2"/>
  <c r="A1311" i="2"/>
  <c r="G441" i="2"/>
  <c r="F441" i="2"/>
  <c r="E441" i="2"/>
  <c r="D441" i="2"/>
  <c r="C441" i="2"/>
  <c r="B441" i="2"/>
  <c r="A441" i="2"/>
  <c r="G815" i="2"/>
  <c r="F815" i="2"/>
  <c r="E815" i="2"/>
  <c r="D815" i="2"/>
  <c r="C815" i="2"/>
  <c r="B815" i="2"/>
  <c r="A815" i="2"/>
  <c r="G1310" i="2"/>
  <c r="D1310" i="2"/>
  <c r="C1310" i="2"/>
  <c r="B1310" i="2"/>
  <c r="A1310" i="2"/>
  <c r="G589" i="2"/>
  <c r="F589" i="2"/>
  <c r="E589" i="2"/>
  <c r="D589" i="2"/>
  <c r="C589" i="2"/>
  <c r="B589" i="2"/>
  <c r="A589" i="2"/>
  <c r="G1176" i="2"/>
  <c r="F1176" i="2"/>
  <c r="E1176" i="2"/>
  <c r="D1176" i="2"/>
  <c r="C1176" i="2"/>
  <c r="B1176" i="2"/>
  <c r="A1176" i="2"/>
  <c r="G636" i="2"/>
  <c r="F636" i="2"/>
  <c r="E636" i="2"/>
  <c r="D636" i="2"/>
  <c r="C636" i="2"/>
  <c r="B636" i="2"/>
  <c r="A636" i="2"/>
  <c r="G1309" i="2"/>
  <c r="D1309" i="2"/>
  <c r="C1309" i="2"/>
  <c r="B1309" i="2"/>
  <c r="A1309" i="2"/>
  <c r="G571" i="2"/>
  <c r="F571" i="2"/>
  <c r="E571" i="2"/>
  <c r="D571" i="2"/>
  <c r="C571" i="2"/>
  <c r="B571" i="2"/>
  <c r="A571" i="2"/>
  <c r="G949" i="2"/>
  <c r="F949" i="2"/>
  <c r="E949" i="2"/>
  <c r="D949" i="2"/>
  <c r="C949" i="2"/>
  <c r="B949" i="2"/>
  <c r="A949" i="2"/>
  <c r="G557" i="2"/>
  <c r="F557" i="2"/>
  <c r="E557" i="2"/>
  <c r="D557" i="2"/>
  <c r="C557" i="2"/>
  <c r="B557" i="2"/>
  <c r="A557" i="2"/>
  <c r="G654" i="2"/>
  <c r="F654" i="2"/>
  <c r="E654" i="2"/>
  <c r="D654" i="2"/>
  <c r="C654" i="2"/>
  <c r="B654" i="2"/>
  <c r="A654" i="2"/>
  <c r="G789" i="2"/>
  <c r="F789" i="2"/>
  <c r="E789" i="2"/>
  <c r="D789" i="2"/>
  <c r="C789" i="2"/>
  <c r="B789" i="2"/>
  <c r="A789" i="2"/>
  <c r="G1308" i="2"/>
  <c r="D1308" i="2"/>
  <c r="C1308" i="2"/>
  <c r="B1308" i="2"/>
  <c r="A1308" i="2"/>
  <c r="G1040" i="2"/>
  <c r="F1040" i="2"/>
  <c r="E1040" i="2"/>
  <c r="D1040" i="2"/>
  <c r="C1040" i="2"/>
  <c r="B1040" i="2"/>
  <c r="A1040" i="2"/>
  <c r="G389" i="2"/>
  <c r="F389" i="2"/>
  <c r="E389" i="2"/>
  <c r="D389" i="2"/>
  <c r="C389" i="2"/>
  <c r="B389" i="2"/>
  <c r="A389" i="2"/>
  <c r="G540" i="2"/>
  <c r="F540" i="2"/>
  <c r="E540" i="2"/>
  <c r="D540" i="2"/>
  <c r="C540" i="2"/>
  <c r="B540" i="2"/>
  <c r="A540" i="2"/>
  <c r="G882" i="2"/>
  <c r="F882" i="2"/>
  <c r="E882" i="2"/>
  <c r="D882" i="2"/>
  <c r="C882" i="2"/>
  <c r="B882" i="2"/>
  <c r="A882" i="2"/>
  <c r="G923" i="2"/>
  <c r="F923" i="2"/>
  <c r="E923" i="2"/>
  <c r="D923" i="2"/>
  <c r="C923" i="2"/>
  <c r="B923" i="2"/>
  <c r="A923" i="2"/>
  <c r="G775" i="2"/>
  <c r="F775" i="2"/>
  <c r="E775" i="2"/>
  <c r="D775" i="2"/>
  <c r="C775" i="2"/>
  <c r="B775" i="2"/>
  <c r="A775" i="2"/>
  <c r="G601" i="2"/>
  <c r="F601" i="2"/>
  <c r="E601" i="2"/>
  <c r="D601" i="2"/>
  <c r="C601" i="2"/>
  <c r="B601" i="2"/>
  <c r="A601" i="2"/>
  <c r="G659" i="2"/>
  <c r="F659" i="2"/>
  <c r="E659" i="2"/>
  <c r="D659" i="2"/>
  <c r="C659" i="2"/>
  <c r="B659" i="2"/>
  <c r="A659" i="2"/>
  <c r="G1185" i="2"/>
  <c r="F1185" i="2"/>
  <c r="E1185" i="2"/>
  <c r="D1185" i="2"/>
  <c r="C1185" i="2"/>
  <c r="B1185" i="2"/>
  <c r="A1185" i="2"/>
  <c r="G1307" i="2"/>
  <c r="D1307" i="2"/>
  <c r="C1307" i="2"/>
  <c r="B1307" i="2"/>
  <c r="A1307" i="2"/>
  <c r="G1095" i="2"/>
  <c r="F1095" i="2"/>
  <c r="E1095" i="2"/>
  <c r="D1095" i="2"/>
  <c r="C1095" i="2"/>
  <c r="B1095" i="2"/>
  <c r="A1095" i="2"/>
  <c r="G1306" i="2"/>
  <c r="D1306" i="2"/>
  <c r="C1306" i="2"/>
  <c r="B1306" i="2"/>
  <c r="A1306" i="2"/>
  <c r="G259" i="2"/>
  <c r="F259" i="2"/>
  <c r="E259" i="2"/>
  <c r="D259" i="2"/>
  <c r="C259" i="2"/>
  <c r="B259" i="2"/>
  <c r="A259" i="2"/>
  <c r="G293" i="2"/>
  <c r="F293" i="2"/>
  <c r="E293" i="2"/>
  <c r="D293" i="2"/>
  <c r="C293" i="2"/>
  <c r="B293" i="2"/>
  <c r="A293" i="2"/>
  <c r="G733" i="2"/>
  <c r="F733" i="2"/>
  <c r="E733" i="2"/>
  <c r="D733" i="2"/>
  <c r="C733" i="2"/>
  <c r="B733" i="2"/>
  <c r="A733" i="2"/>
  <c r="G196" i="2"/>
  <c r="F196" i="2"/>
  <c r="E196" i="2"/>
  <c r="D196" i="2"/>
  <c r="C196" i="2"/>
  <c r="B196" i="2"/>
  <c r="A196" i="2"/>
  <c r="G1087" i="2"/>
  <c r="F1087" i="2"/>
  <c r="E1087" i="2"/>
  <c r="D1087" i="2"/>
  <c r="C1087" i="2"/>
  <c r="B1087" i="2"/>
  <c r="A1087" i="2"/>
  <c r="G712" i="2"/>
  <c r="F712" i="2"/>
  <c r="E712" i="2"/>
  <c r="D712" i="2"/>
  <c r="C712" i="2"/>
  <c r="B712" i="2"/>
  <c r="A712" i="2"/>
  <c r="G552" i="2"/>
  <c r="F552" i="2"/>
  <c r="E552" i="2"/>
  <c r="D552" i="2"/>
  <c r="C552" i="2"/>
  <c r="B552" i="2"/>
  <c r="A552" i="2"/>
  <c r="G740" i="2"/>
  <c r="F740" i="2"/>
  <c r="E740" i="2"/>
  <c r="D740" i="2"/>
  <c r="C740" i="2"/>
  <c r="B740" i="2"/>
  <c r="A740" i="2"/>
  <c r="G461" i="2"/>
  <c r="F461" i="2"/>
  <c r="E461" i="2"/>
  <c r="D461" i="2"/>
  <c r="C461" i="2"/>
  <c r="B461" i="2"/>
  <c r="A461" i="2"/>
  <c r="G586" i="2"/>
  <c r="F586" i="2"/>
  <c r="E586" i="2"/>
  <c r="D586" i="2"/>
  <c r="C586" i="2"/>
  <c r="B586" i="2"/>
  <c r="A586" i="2"/>
  <c r="G29" i="2"/>
  <c r="F29" i="2"/>
  <c r="E29" i="2"/>
  <c r="D29" i="2"/>
  <c r="C29" i="2"/>
  <c r="B29" i="2"/>
  <c r="A29" i="2"/>
  <c r="G1305" i="2"/>
  <c r="D1305" i="2"/>
  <c r="C1305" i="2"/>
  <c r="B1305" i="2"/>
  <c r="A1305" i="2"/>
  <c r="G1105" i="2"/>
  <c r="F1105" i="2"/>
  <c r="E1105" i="2"/>
  <c r="D1105" i="2"/>
  <c r="C1105" i="2"/>
  <c r="B1105" i="2"/>
  <c r="A1105" i="2"/>
  <c r="G1175" i="2"/>
  <c r="F1175" i="2"/>
  <c r="E1175" i="2"/>
  <c r="D1175" i="2"/>
  <c r="C1175" i="2"/>
  <c r="B1175" i="2"/>
  <c r="A1175" i="2"/>
  <c r="G1104" i="2"/>
  <c r="F1104" i="2"/>
  <c r="E1104" i="2"/>
  <c r="D1104" i="2"/>
  <c r="C1104" i="2"/>
  <c r="B1104" i="2"/>
  <c r="A1104" i="2"/>
  <c r="G732" i="2"/>
  <c r="F732" i="2"/>
  <c r="E732" i="2"/>
  <c r="C732" i="2"/>
  <c r="B732" i="2"/>
  <c r="A732" i="2"/>
  <c r="G1011" i="2"/>
  <c r="F1011" i="2"/>
  <c r="E1011" i="2"/>
  <c r="D1011" i="2"/>
  <c r="C1011" i="2"/>
  <c r="B1011" i="2"/>
  <c r="A1011" i="2"/>
  <c r="G561" i="2"/>
  <c r="F561" i="2"/>
  <c r="E561" i="2"/>
  <c r="D561" i="2"/>
  <c r="C561" i="2"/>
  <c r="B561" i="2"/>
  <c r="A561" i="2"/>
  <c r="G1103" i="2"/>
  <c r="F1103" i="2"/>
  <c r="E1103" i="2"/>
  <c r="D1103" i="2"/>
  <c r="C1103" i="2"/>
  <c r="B1103" i="2"/>
  <c r="A1103" i="2"/>
  <c r="G576" i="2"/>
  <c r="F576" i="2"/>
  <c r="E576" i="2"/>
  <c r="D576" i="2"/>
  <c r="C576" i="2"/>
  <c r="B576" i="2"/>
  <c r="A576" i="2"/>
  <c r="G170" i="2"/>
  <c r="F170" i="2"/>
  <c r="E170" i="2"/>
  <c r="D170" i="2"/>
  <c r="C170" i="2"/>
  <c r="B170" i="2"/>
  <c r="A170" i="2"/>
  <c r="G1304" i="2"/>
  <c r="D1304" i="2"/>
  <c r="C1304" i="2"/>
  <c r="B1304" i="2"/>
  <c r="A1304" i="2"/>
  <c r="G1303" i="2"/>
  <c r="D1303" i="2"/>
  <c r="C1303" i="2"/>
  <c r="B1303" i="2"/>
  <c r="A1303" i="2"/>
  <c r="G658" i="2"/>
  <c r="F658" i="2"/>
  <c r="E658" i="2"/>
  <c r="D658" i="2"/>
  <c r="C658" i="2"/>
  <c r="B658" i="2"/>
  <c r="A658" i="2"/>
  <c r="G1180" i="2"/>
  <c r="F1180" i="2"/>
  <c r="E1180" i="2"/>
  <c r="D1180" i="2"/>
  <c r="C1180" i="2"/>
  <c r="B1180" i="2"/>
  <c r="A1180" i="2"/>
  <c r="G131" i="2"/>
  <c r="F131" i="2"/>
  <c r="E131" i="2"/>
  <c r="D131" i="2"/>
  <c r="C131" i="2"/>
  <c r="B131" i="2"/>
  <c r="A131" i="2"/>
  <c r="G542" i="2"/>
  <c r="F542" i="2"/>
  <c r="E542" i="2"/>
  <c r="D542" i="2"/>
  <c r="C542" i="2"/>
  <c r="B542" i="2"/>
  <c r="A542" i="2"/>
  <c r="G177" i="2"/>
  <c r="F177" i="2"/>
  <c r="E177" i="2"/>
  <c r="D177" i="2"/>
  <c r="C177" i="2"/>
  <c r="B177" i="2"/>
  <c r="A177" i="2"/>
  <c r="G1203" i="2"/>
  <c r="F1203" i="2"/>
  <c r="E1203" i="2"/>
  <c r="D1203" i="2"/>
  <c r="C1203" i="2"/>
  <c r="B1203" i="2"/>
  <c r="A1203" i="2"/>
  <c r="G575" i="2"/>
  <c r="F575" i="2"/>
  <c r="E575" i="2"/>
  <c r="D575" i="2"/>
  <c r="C575" i="2"/>
  <c r="B575" i="2"/>
  <c r="A575" i="2"/>
  <c r="G702" i="2"/>
  <c r="F702" i="2"/>
  <c r="E702" i="2"/>
  <c r="D702" i="2"/>
  <c r="C702" i="2"/>
  <c r="B702" i="2"/>
  <c r="A702" i="2"/>
  <c r="G368" i="2"/>
  <c r="F368" i="2"/>
  <c r="E368" i="2"/>
  <c r="D368" i="2"/>
  <c r="C368" i="2"/>
  <c r="B368" i="2"/>
  <c r="A368" i="2"/>
  <c r="G99" i="2"/>
  <c r="F99" i="2"/>
  <c r="E99" i="2"/>
  <c r="D99" i="2"/>
  <c r="C99" i="2"/>
  <c r="B99" i="2"/>
  <c r="A99" i="2"/>
  <c r="G855" i="2"/>
  <c r="F855" i="2"/>
  <c r="E855" i="2"/>
  <c r="D855" i="2"/>
  <c r="C855" i="2"/>
  <c r="B855" i="2"/>
  <c r="A855" i="2"/>
  <c r="G1302" i="2"/>
  <c r="D1302" i="2"/>
  <c r="C1302" i="2"/>
  <c r="B1302" i="2"/>
  <c r="A1302" i="2"/>
  <c r="G1102" i="2"/>
  <c r="F1102" i="2"/>
  <c r="E1102" i="2"/>
  <c r="D1102" i="2"/>
  <c r="C1102" i="2"/>
  <c r="B1102" i="2"/>
  <c r="A1102" i="2"/>
  <c r="G315" i="2"/>
  <c r="F315" i="2"/>
  <c r="E315" i="2"/>
  <c r="D315" i="2"/>
  <c r="C315" i="2"/>
  <c r="B315" i="2"/>
  <c r="A315" i="2"/>
  <c r="G917" i="2"/>
  <c r="F917" i="2"/>
  <c r="E917" i="2"/>
  <c r="D917" i="2"/>
  <c r="C917" i="2"/>
  <c r="B917" i="2"/>
  <c r="A917" i="2"/>
  <c r="G466" i="2"/>
  <c r="F466" i="2"/>
  <c r="E466" i="2"/>
  <c r="D466" i="2"/>
  <c r="C466" i="2"/>
  <c r="B466" i="2"/>
  <c r="A466" i="2"/>
  <c r="G821" i="2"/>
  <c r="F821" i="2"/>
  <c r="E821" i="2"/>
  <c r="D821" i="2"/>
  <c r="C821" i="2"/>
  <c r="B821" i="2"/>
  <c r="A821" i="2"/>
  <c r="G1301" i="2"/>
  <c r="D1301" i="2"/>
  <c r="C1301" i="2"/>
  <c r="B1301" i="2"/>
  <c r="A1301" i="2"/>
  <c r="G94" i="2"/>
  <c r="F94" i="2"/>
  <c r="E94" i="2"/>
  <c r="D94" i="2"/>
  <c r="C94" i="2"/>
  <c r="B94" i="2"/>
  <c r="A94" i="2"/>
  <c r="G600" i="2"/>
  <c r="F600" i="2"/>
  <c r="E600" i="2"/>
  <c r="D600" i="2"/>
  <c r="C600" i="2"/>
  <c r="B600" i="2"/>
  <c r="A600" i="2"/>
  <c r="G204" i="2"/>
  <c r="F204" i="2"/>
  <c r="E204" i="2"/>
  <c r="D204" i="2"/>
  <c r="C204" i="2"/>
  <c r="B204" i="2"/>
  <c r="A204" i="2"/>
  <c r="G139" i="2"/>
  <c r="F139" i="2"/>
  <c r="E139" i="2"/>
  <c r="D139" i="2"/>
  <c r="C139" i="2"/>
  <c r="B139" i="2"/>
  <c r="A139" i="2"/>
  <c r="G814" i="2"/>
  <c r="F814" i="2"/>
  <c r="E814" i="2"/>
  <c r="D814" i="2"/>
  <c r="C814" i="2"/>
  <c r="B814" i="2"/>
  <c r="A814" i="2"/>
  <c r="G689" i="2"/>
  <c r="F689" i="2"/>
  <c r="E689" i="2"/>
  <c r="D689" i="2"/>
  <c r="C689" i="2"/>
  <c r="B689" i="2"/>
  <c r="A689" i="2"/>
  <c r="G93" i="2"/>
  <c r="F93" i="2"/>
  <c r="E93" i="2"/>
  <c r="D93" i="2"/>
  <c r="C93" i="2"/>
  <c r="B93" i="2"/>
  <c r="A93" i="2"/>
  <c r="G701" i="2"/>
  <c r="F701" i="2"/>
  <c r="E701" i="2"/>
  <c r="D701" i="2"/>
  <c r="C701" i="2"/>
  <c r="B701" i="2"/>
  <c r="A701" i="2"/>
  <c r="G800" i="2"/>
  <c r="F800" i="2"/>
  <c r="E800" i="2"/>
  <c r="D800" i="2"/>
  <c r="C800" i="2"/>
  <c r="B800" i="2"/>
  <c r="A800" i="2"/>
  <c r="G1179" i="2"/>
  <c r="F1179" i="2"/>
  <c r="E1179" i="2"/>
  <c r="D1179" i="2"/>
  <c r="C1179" i="2"/>
  <c r="B1179" i="2"/>
  <c r="A1179" i="2"/>
  <c r="G1300" i="2"/>
  <c r="D1300" i="2"/>
  <c r="C1300" i="2"/>
  <c r="B1300" i="2"/>
  <c r="A1300" i="2"/>
  <c r="G266" i="2"/>
  <c r="F266" i="2"/>
  <c r="E266" i="2"/>
  <c r="D266" i="2"/>
  <c r="C266" i="2"/>
  <c r="B266" i="2"/>
  <c r="A266" i="2"/>
  <c r="G570" i="2"/>
  <c r="F570" i="2"/>
  <c r="E570" i="2"/>
  <c r="D570" i="2"/>
  <c r="C570" i="2"/>
  <c r="B570" i="2"/>
  <c r="A570" i="2"/>
  <c r="G641" i="2"/>
  <c r="F641" i="2"/>
  <c r="E641" i="2"/>
  <c r="D641" i="2"/>
  <c r="C641" i="2"/>
  <c r="B641" i="2"/>
  <c r="A641" i="2"/>
  <c r="G421" i="2"/>
  <c r="F421" i="2"/>
  <c r="E421" i="2"/>
  <c r="D421" i="2"/>
  <c r="C421" i="2"/>
  <c r="B421" i="2"/>
  <c r="A421" i="2"/>
  <c r="G92" i="2"/>
  <c r="F92" i="2"/>
  <c r="E92" i="2"/>
  <c r="D92" i="2"/>
  <c r="C92" i="2"/>
  <c r="B92" i="2"/>
  <c r="A92" i="2"/>
  <c r="G407" i="2"/>
  <c r="F407" i="2"/>
  <c r="E407" i="2"/>
  <c r="D407" i="2"/>
  <c r="C407" i="2"/>
  <c r="B407" i="2"/>
  <c r="A407" i="2"/>
  <c r="G25" i="2"/>
  <c r="F25" i="2"/>
  <c r="E25" i="2"/>
  <c r="D25" i="2"/>
  <c r="C25" i="2"/>
  <c r="B25" i="2"/>
  <c r="A25" i="2"/>
  <c r="G872" i="2"/>
  <c r="F872" i="2"/>
  <c r="E872" i="2"/>
  <c r="D872" i="2"/>
  <c r="C872" i="2"/>
  <c r="B872" i="2"/>
  <c r="A872" i="2"/>
  <c r="G148" i="2"/>
  <c r="F148" i="2"/>
  <c r="E148" i="2"/>
  <c r="D148" i="2"/>
  <c r="C148" i="2"/>
  <c r="B148" i="2"/>
  <c r="A148" i="2"/>
  <c r="G1299" i="2"/>
  <c r="D1299" i="2"/>
  <c r="C1299" i="2"/>
  <c r="B1299" i="2"/>
  <c r="A1299" i="2"/>
  <c r="G1298" i="2"/>
  <c r="D1298" i="2"/>
  <c r="C1298" i="2"/>
  <c r="B1298" i="2"/>
  <c r="A1298" i="2"/>
  <c r="G799" i="2"/>
  <c r="F799" i="2"/>
  <c r="E799" i="2"/>
  <c r="D799" i="2"/>
  <c r="C799" i="2"/>
  <c r="B799" i="2"/>
  <c r="A799" i="2"/>
  <c r="G18" i="2"/>
  <c r="F18" i="2"/>
  <c r="E18" i="2"/>
  <c r="D18" i="2"/>
  <c r="C18" i="2"/>
  <c r="B18" i="2"/>
  <c r="A18" i="2"/>
  <c r="G770" i="2"/>
  <c r="F770" i="2"/>
  <c r="E770" i="2"/>
  <c r="D770" i="2"/>
  <c r="C770" i="2"/>
  <c r="B770" i="2"/>
  <c r="A770" i="2"/>
  <c r="G253" i="2"/>
  <c r="F253" i="2"/>
  <c r="E253" i="2"/>
  <c r="D253" i="2"/>
  <c r="C253" i="2"/>
  <c r="B253" i="2"/>
  <c r="A253" i="2"/>
  <c r="G180" i="2"/>
  <c r="F180" i="2"/>
  <c r="E180" i="2"/>
  <c r="D180" i="2"/>
  <c r="C180" i="2"/>
  <c r="B180" i="2"/>
  <c r="A180" i="2"/>
  <c r="G1057" i="2"/>
  <c r="F1057" i="2"/>
  <c r="E1057" i="2"/>
  <c r="D1057" i="2"/>
  <c r="C1057" i="2"/>
  <c r="B1057" i="2"/>
  <c r="A1057" i="2"/>
  <c r="G203" i="2"/>
  <c r="F203" i="2"/>
  <c r="E203" i="2"/>
  <c r="D203" i="2"/>
  <c r="C203" i="2"/>
  <c r="B203" i="2"/>
  <c r="A203" i="2"/>
  <c r="G774" i="2"/>
  <c r="F774" i="2"/>
  <c r="E774" i="2"/>
  <c r="D774" i="2"/>
  <c r="C774" i="2"/>
  <c r="B774" i="2"/>
  <c r="A774" i="2"/>
  <c r="G566" i="2"/>
  <c r="F566" i="2"/>
  <c r="E566" i="2"/>
  <c r="D566" i="2"/>
  <c r="C566" i="2"/>
  <c r="B566" i="2"/>
  <c r="A566" i="2"/>
  <c r="G1200" i="2"/>
  <c r="F1200" i="2"/>
  <c r="E1200" i="2"/>
  <c r="D1200" i="2"/>
  <c r="C1200" i="2"/>
  <c r="B1200" i="2"/>
  <c r="A1200" i="2"/>
  <c r="G727" i="2"/>
  <c r="F727" i="2"/>
  <c r="E727" i="2"/>
  <c r="D727" i="2"/>
  <c r="C727" i="2"/>
  <c r="B727" i="2"/>
  <c r="A727" i="2"/>
  <c r="G1006" i="2"/>
  <c r="F1006" i="2"/>
  <c r="E1006" i="2"/>
  <c r="D1006" i="2"/>
  <c r="C1006" i="2"/>
  <c r="B1006" i="2"/>
  <c r="A1006" i="2"/>
  <c r="G1140" i="2"/>
  <c r="F1140" i="2"/>
  <c r="E1140" i="2"/>
  <c r="D1140" i="2"/>
  <c r="C1140" i="2"/>
  <c r="B1140" i="2"/>
  <c r="A1140" i="2"/>
  <c r="G176" i="2"/>
  <c r="F176" i="2"/>
  <c r="E176" i="2"/>
  <c r="D176" i="2"/>
  <c r="C176" i="2"/>
  <c r="B176" i="2"/>
  <c r="A176" i="2"/>
  <c r="G238" i="2"/>
  <c r="F238" i="2"/>
  <c r="E238" i="2"/>
  <c r="D238" i="2"/>
  <c r="C238" i="2"/>
  <c r="B238" i="2"/>
  <c r="A238" i="2"/>
  <c r="G631" i="2"/>
  <c r="F631" i="2"/>
  <c r="E631" i="2"/>
  <c r="D631" i="2"/>
  <c r="C631" i="2"/>
  <c r="B631" i="2"/>
  <c r="A631" i="2"/>
  <c r="G498" i="2"/>
  <c r="F498" i="2"/>
  <c r="E498" i="2"/>
  <c r="D498" i="2"/>
  <c r="C498" i="2"/>
  <c r="B498" i="2"/>
  <c r="A498" i="2"/>
  <c r="G588" i="2"/>
  <c r="F588" i="2"/>
  <c r="E588" i="2"/>
  <c r="D588" i="2"/>
  <c r="C588" i="2"/>
  <c r="B588" i="2"/>
  <c r="A588" i="2"/>
  <c r="G1297" i="2"/>
  <c r="D1297" i="2"/>
  <c r="C1297" i="2"/>
  <c r="B1297" i="2"/>
  <c r="A1297" i="2"/>
  <c r="G653" i="2"/>
  <c r="F653" i="2"/>
  <c r="E653" i="2"/>
  <c r="D653" i="2"/>
  <c r="C653" i="2"/>
  <c r="B653" i="2"/>
  <c r="A653" i="2"/>
  <c r="G747" i="2"/>
  <c r="F747" i="2"/>
  <c r="E747" i="2"/>
  <c r="D747" i="2"/>
  <c r="C747" i="2"/>
  <c r="B747" i="2"/>
  <c r="A747" i="2"/>
  <c r="G487" i="2"/>
  <c r="F487" i="2"/>
  <c r="E487" i="2"/>
  <c r="D487" i="2"/>
  <c r="C487" i="2"/>
  <c r="B487" i="2"/>
  <c r="A487" i="2"/>
  <c r="G726" i="2"/>
  <c r="F726" i="2"/>
  <c r="E726" i="2"/>
  <c r="D726" i="2"/>
  <c r="C726" i="2"/>
  <c r="B726" i="2"/>
  <c r="A726" i="2"/>
  <c r="G982" i="2"/>
  <c r="F982" i="2"/>
  <c r="E982" i="2"/>
  <c r="D982" i="2"/>
  <c r="C982" i="2"/>
  <c r="B982" i="2"/>
  <c r="A982" i="2"/>
  <c r="G127" i="2"/>
  <c r="F127" i="2"/>
  <c r="E127" i="2"/>
  <c r="D127" i="2"/>
  <c r="C127" i="2"/>
  <c r="B127" i="2"/>
  <c r="A127" i="2"/>
  <c r="G209" i="2"/>
  <c r="F209" i="2"/>
  <c r="E209" i="2"/>
  <c r="D209" i="2"/>
  <c r="C209" i="2"/>
  <c r="B209" i="2"/>
  <c r="A209" i="2"/>
  <c r="G1296" i="2"/>
  <c r="D1296" i="2"/>
  <c r="C1296" i="2"/>
  <c r="B1296" i="2"/>
  <c r="A1296" i="2"/>
  <c r="G850" i="2"/>
  <c r="F850" i="2"/>
  <c r="E850" i="2"/>
  <c r="D850" i="2"/>
  <c r="C850" i="2"/>
  <c r="B850" i="2"/>
  <c r="A850" i="2"/>
  <c r="G86" i="2"/>
  <c r="F86" i="2"/>
  <c r="E86" i="2"/>
  <c r="D86" i="2"/>
  <c r="C86" i="2"/>
  <c r="B86" i="2"/>
  <c r="A86" i="2"/>
  <c r="G1107" i="2"/>
  <c r="F1107" i="2"/>
  <c r="E1107" i="2"/>
  <c r="D1107" i="2"/>
  <c r="C1107" i="2"/>
  <c r="B1107" i="2"/>
  <c r="A1107" i="2"/>
  <c r="G1295" i="2"/>
  <c r="D1295" i="2"/>
  <c r="C1295" i="2"/>
  <c r="B1295" i="2"/>
  <c r="A1295" i="2"/>
  <c r="G377" i="2"/>
  <c r="F377" i="2"/>
  <c r="E377" i="2"/>
  <c r="D377" i="2"/>
  <c r="C377" i="2"/>
  <c r="B377" i="2"/>
  <c r="A377" i="2"/>
  <c r="G861" i="2"/>
  <c r="F861" i="2"/>
  <c r="E861" i="2"/>
  <c r="D861" i="2"/>
  <c r="C861" i="2"/>
  <c r="B861" i="2"/>
  <c r="A861" i="2"/>
  <c r="G1125" i="2"/>
  <c r="F1125" i="2"/>
  <c r="E1125" i="2"/>
  <c r="D1125" i="2"/>
  <c r="C1125" i="2"/>
  <c r="B1125" i="2"/>
  <c r="A1125" i="2"/>
  <c r="G966" i="2"/>
  <c r="F966" i="2"/>
  <c r="E966" i="2"/>
  <c r="D966" i="2"/>
  <c r="C966" i="2"/>
  <c r="B966" i="2"/>
  <c r="A966" i="2"/>
  <c r="G299" i="2"/>
  <c r="F299" i="2"/>
  <c r="E299" i="2"/>
  <c r="D299" i="2"/>
  <c r="C299" i="2"/>
  <c r="B299" i="2"/>
  <c r="A299" i="2"/>
  <c r="G1294" i="2"/>
  <c r="D1294" i="2"/>
  <c r="C1294" i="2"/>
  <c r="B1294" i="2"/>
  <c r="A1294" i="2"/>
  <c r="G626" i="2"/>
  <c r="F626" i="2"/>
  <c r="E626" i="2"/>
  <c r="D626" i="2"/>
  <c r="C626" i="2"/>
  <c r="B626" i="2"/>
  <c r="A626" i="2"/>
  <c r="G677" i="2"/>
  <c r="F677" i="2"/>
  <c r="E677" i="2"/>
  <c r="D677" i="2"/>
  <c r="C677" i="2"/>
  <c r="B677" i="2"/>
  <c r="A677" i="2"/>
  <c r="G511" i="2"/>
  <c r="F511" i="2"/>
  <c r="E511" i="2"/>
  <c r="D511" i="2"/>
  <c r="C511" i="2"/>
  <c r="B511" i="2"/>
  <c r="A511" i="2"/>
  <c r="G1139" i="2"/>
  <c r="F1139" i="2"/>
  <c r="E1139" i="2"/>
  <c r="D1139" i="2"/>
  <c r="C1139" i="2"/>
  <c r="B1139" i="2"/>
  <c r="A1139" i="2"/>
  <c r="G347" i="2"/>
  <c r="F347" i="2"/>
  <c r="E347" i="2"/>
  <c r="D347" i="2"/>
  <c r="C347" i="2"/>
  <c r="B347" i="2"/>
  <c r="A347" i="2"/>
  <c r="G248" i="2"/>
  <c r="F248" i="2"/>
  <c r="E248" i="2"/>
  <c r="D248" i="2"/>
  <c r="C248" i="2"/>
  <c r="B248" i="2"/>
  <c r="A248" i="2"/>
  <c r="G916" i="2"/>
  <c r="F916" i="2"/>
  <c r="E916" i="2"/>
  <c r="D916" i="2"/>
  <c r="C916" i="2"/>
  <c r="B916" i="2"/>
  <c r="A916" i="2"/>
  <c r="G1293" i="2"/>
  <c r="D1293" i="2"/>
  <c r="C1293" i="2"/>
  <c r="B1293" i="2"/>
  <c r="A1293" i="2"/>
  <c r="G58" i="2"/>
  <c r="F58" i="2"/>
  <c r="E58" i="2"/>
  <c r="D58" i="2"/>
  <c r="C58" i="2"/>
  <c r="B58" i="2"/>
  <c r="A58" i="2"/>
  <c r="G495" i="2"/>
  <c r="F495" i="2"/>
  <c r="E495" i="2"/>
  <c r="D495" i="2"/>
  <c r="C495" i="2"/>
  <c r="B495" i="2"/>
  <c r="A495" i="2"/>
  <c r="G473" i="2"/>
  <c r="F473" i="2"/>
  <c r="E473" i="2"/>
  <c r="D473" i="2"/>
  <c r="C473" i="2"/>
  <c r="B473" i="2"/>
  <c r="A473" i="2"/>
  <c r="G1138" i="2"/>
  <c r="F1138" i="2"/>
  <c r="E1138" i="2"/>
  <c r="D1138" i="2"/>
  <c r="C1138" i="2"/>
  <c r="B1138" i="2"/>
  <c r="A1138" i="2"/>
  <c r="G1070" i="2"/>
  <c r="F1070" i="2"/>
  <c r="E1070" i="2"/>
  <c r="D1070" i="2"/>
  <c r="C1070" i="2"/>
  <c r="B1070" i="2"/>
  <c r="A1070" i="2"/>
  <c r="G670" i="2"/>
  <c r="F670" i="2"/>
  <c r="E670" i="2"/>
  <c r="D670" i="2"/>
  <c r="C670" i="2"/>
  <c r="B670" i="2"/>
  <c r="A670" i="2"/>
  <c r="G820" i="2"/>
  <c r="F820" i="2"/>
  <c r="E820" i="2"/>
  <c r="D820" i="2"/>
  <c r="C820" i="2"/>
  <c r="B820" i="2"/>
  <c r="A820" i="2"/>
  <c r="G481" i="2"/>
  <c r="F481" i="2"/>
  <c r="E481" i="2"/>
  <c r="D481" i="2"/>
  <c r="C481" i="2"/>
  <c r="B481" i="2"/>
  <c r="A481" i="2"/>
  <c r="G91" i="2"/>
  <c r="F91" i="2"/>
  <c r="E91" i="2"/>
  <c r="D91" i="2"/>
  <c r="C91" i="2"/>
  <c r="B91" i="2"/>
  <c r="A91" i="2"/>
  <c r="G965" i="2"/>
  <c r="F965" i="2"/>
  <c r="E965" i="2"/>
  <c r="D965" i="2"/>
  <c r="C965" i="2"/>
  <c r="B965" i="2"/>
  <c r="A965" i="2"/>
  <c r="G692" i="2"/>
  <c r="F692" i="2"/>
  <c r="E692" i="2"/>
  <c r="D692" i="2"/>
  <c r="C692" i="2"/>
  <c r="B692" i="2"/>
  <c r="A692" i="2"/>
  <c r="G940" i="2"/>
  <c r="F940" i="2"/>
  <c r="E940" i="2"/>
  <c r="D940" i="2"/>
  <c r="C940" i="2"/>
  <c r="B940" i="2"/>
  <c r="A940" i="2"/>
  <c r="G1292" i="2"/>
  <c r="D1292" i="2"/>
  <c r="C1292" i="2"/>
  <c r="B1292" i="2"/>
  <c r="A1292" i="2"/>
  <c r="G143" i="2"/>
  <c r="F143" i="2"/>
  <c r="E143" i="2"/>
  <c r="D143" i="2"/>
  <c r="C143" i="2"/>
  <c r="B143" i="2"/>
  <c r="A143" i="2"/>
  <c r="G643" i="2"/>
  <c r="F643" i="2"/>
  <c r="E643" i="2"/>
  <c r="D643" i="2"/>
  <c r="C643" i="2"/>
  <c r="B643" i="2"/>
  <c r="A643" i="2"/>
  <c r="G358" i="2"/>
  <c r="F358" i="2"/>
  <c r="E358" i="2"/>
  <c r="D358" i="2"/>
  <c r="C358" i="2"/>
  <c r="B358" i="2"/>
  <c r="A358" i="2"/>
  <c r="G621" i="2"/>
  <c r="F621" i="2"/>
  <c r="E621" i="2"/>
  <c r="D621" i="2"/>
  <c r="C621" i="2"/>
  <c r="B621" i="2"/>
  <c r="A621" i="2"/>
  <c r="G186" i="2"/>
  <c r="F186" i="2"/>
  <c r="E186" i="2"/>
  <c r="D186" i="2"/>
  <c r="C186" i="2"/>
  <c r="B186" i="2"/>
  <c r="A186" i="2"/>
  <c r="G539" i="2"/>
  <c r="F539" i="2"/>
  <c r="E539" i="2"/>
  <c r="D539" i="2"/>
  <c r="C539" i="2"/>
  <c r="B539" i="2"/>
  <c r="A539" i="2"/>
  <c r="G750" i="2"/>
  <c r="F750" i="2"/>
  <c r="E750" i="2"/>
  <c r="D750" i="2"/>
  <c r="C750" i="2"/>
  <c r="B750" i="2"/>
  <c r="A750" i="2"/>
  <c r="G784" i="2"/>
  <c r="F784" i="2"/>
  <c r="E784" i="2"/>
  <c r="D784" i="2"/>
  <c r="C784" i="2"/>
  <c r="B784" i="2"/>
  <c r="A784" i="2"/>
  <c r="G198" i="2"/>
  <c r="F198" i="2"/>
  <c r="E198" i="2"/>
  <c r="D198" i="2"/>
  <c r="C198" i="2"/>
  <c r="B198" i="2"/>
  <c r="A198" i="2"/>
  <c r="G1170" i="2"/>
  <c r="F1170" i="2"/>
  <c r="E1170" i="2"/>
  <c r="D1170" i="2"/>
  <c r="C1170" i="2"/>
  <c r="B1170" i="2"/>
  <c r="A1170" i="2"/>
  <c r="G1199" i="2"/>
  <c r="F1199" i="2"/>
  <c r="E1199" i="2"/>
  <c r="D1199" i="2"/>
  <c r="C1199" i="2"/>
  <c r="B1199" i="2"/>
  <c r="A1199" i="2"/>
  <c r="G1291" i="2"/>
  <c r="D1291" i="2"/>
  <c r="C1291" i="2"/>
  <c r="B1291" i="2"/>
  <c r="A1291" i="2"/>
  <c r="G926" i="2"/>
  <c r="F926" i="2"/>
  <c r="E926" i="2"/>
  <c r="D926" i="2"/>
  <c r="C926" i="2"/>
  <c r="B926" i="2"/>
  <c r="A926" i="2"/>
  <c r="G642" i="2"/>
  <c r="F642" i="2"/>
  <c r="E642" i="2"/>
  <c r="D642" i="2"/>
  <c r="C642" i="2"/>
  <c r="B642" i="2"/>
  <c r="A642" i="2"/>
  <c r="G57" i="2"/>
  <c r="F57" i="2"/>
  <c r="E57" i="2"/>
  <c r="D57" i="2"/>
  <c r="C57" i="2"/>
  <c r="B57" i="2"/>
  <c r="A57" i="2"/>
  <c r="G1117" i="2"/>
  <c r="F1117" i="2"/>
  <c r="E1117" i="2"/>
  <c r="D1117" i="2"/>
  <c r="C1117" i="2"/>
  <c r="B1117" i="2"/>
  <c r="A1117" i="2"/>
  <c r="G449" i="2"/>
  <c r="F449" i="2"/>
  <c r="E449" i="2"/>
  <c r="D449" i="2"/>
  <c r="C449" i="2"/>
  <c r="B449" i="2"/>
  <c r="A449" i="2"/>
  <c r="G580" i="2"/>
  <c r="F580" i="2"/>
  <c r="E580" i="2"/>
  <c r="D580" i="2"/>
  <c r="C580" i="2"/>
  <c r="B580" i="2"/>
  <c r="A580" i="2"/>
  <c r="G925" i="2"/>
  <c r="F925" i="2"/>
  <c r="E925" i="2"/>
  <c r="D925" i="2"/>
  <c r="C925" i="2"/>
  <c r="B925" i="2"/>
  <c r="A925" i="2"/>
  <c r="G630" i="2"/>
  <c r="F630" i="2"/>
  <c r="E630" i="2"/>
  <c r="D630" i="2"/>
  <c r="C630" i="2"/>
  <c r="B630" i="2"/>
  <c r="A630" i="2"/>
  <c r="G1017" i="2"/>
  <c r="F1017" i="2"/>
  <c r="E1017" i="2"/>
  <c r="D1017" i="2"/>
  <c r="C1017" i="2"/>
  <c r="B1017" i="2"/>
  <c r="A1017" i="2"/>
  <c r="G1137" i="2"/>
  <c r="F1137" i="2"/>
  <c r="E1137" i="2"/>
  <c r="D1137" i="2"/>
  <c r="C1137" i="2"/>
  <c r="B1137" i="2"/>
  <c r="A1137" i="2"/>
  <c r="G530" i="2"/>
  <c r="F530" i="2"/>
  <c r="E530" i="2"/>
  <c r="D530" i="2"/>
  <c r="C530" i="2"/>
  <c r="B530" i="2"/>
  <c r="A530" i="2"/>
  <c r="G1290" i="2"/>
  <c r="D1290" i="2"/>
  <c r="C1290" i="2"/>
  <c r="B1290" i="2"/>
  <c r="A1290" i="2"/>
  <c r="G551" i="2"/>
  <c r="F551" i="2"/>
  <c r="E551" i="2"/>
  <c r="D551" i="2"/>
  <c r="C551" i="2"/>
  <c r="B551" i="2"/>
  <c r="A551" i="2"/>
  <c r="G1289" i="2"/>
  <c r="D1289" i="2"/>
  <c r="C1289" i="2"/>
  <c r="B1289" i="2"/>
  <c r="A1289" i="2"/>
  <c r="G1178" i="2"/>
  <c r="F1178" i="2"/>
  <c r="E1178" i="2"/>
  <c r="D1178" i="2"/>
  <c r="C1178" i="2"/>
  <c r="B1178" i="2"/>
  <c r="A1178" i="2"/>
  <c r="G283" i="2"/>
  <c r="F283" i="2"/>
  <c r="E283" i="2"/>
  <c r="D283" i="2"/>
  <c r="C283" i="2"/>
  <c r="B283" i="2"/>
  <c r="A283" i="2"/>
  <c r="G1023" i="2"/>
  <c r="F1023" i="2"/>
  <c r="E1023" i="2"/>
  <c r="D1023" i="2"/>
  <c r="C1023" i="2"/>
  <c r="B1023" i="2"/>
  <c r="A1023" i="2"/>
  <c r="G357" i="2"/>
  <c r="F357" i="2"/>
  <c r="E357" i="2"/>
  <c r="D357" i="2"/>
  <c r="C357" i="2"/>
  <c r="B357" i="2"/>
  <c r="A357" i="2"/>
  <c r="G185" i="2"/>
  <c r="F185" i="2"/>
  <c r="E185" i="2"/>
  <c r="D185" i="2"/>
  <c r="C185" i="2"/>
  <c r="B185" i="2"/>
  <c r="A185" i="2"/>
  <c r="G831" i="2"/>
  <c r="F831" i="2"/>
  <c r="E831" i="2"/>
  <c r="D831" i="2"/>
  <c r="C831" i="2"/>
  <c r="B831" i="2"/>
  <c r="A831" i="2"/>
  <c r="G1288" i="2"/>
  <c r="D1288" i="2"/>
  <c r="C1288" i="2"/>
  <c r="B1288" i="2"/>
  <c r="A1288" i="2"/>
  <c r="G460" i="2"/>
  <c r="F460" i="2"/>
  <c r="E460" i="2"/>
  <c r="D460" i="2"/>
  <c r="C460" i="2"/>
  <c r="B460" i="2"/>
  <c r="A460" i="2"/>
  <c r="G756" i="2"/>
  <c r="F756" i="2"/>
  <c r="E756" i="2"/>
  <c r="D756" i="2"/>
  <c r="C756" i="2"/>
  <c r="B756" i="2"/>
  <c r="A756" i="2"/>
  <c r="G335" i="2"/>
  <c r="F335" i="2"/>
  <c r="E335" i="2"/>
  <c r="D335" i="2"/>
  <c r="C335" i="2"/>
  <c r="B335" i="2"/>
  <c r="A335" i="2"/>
  <c r="G725" i="2"/>
  <c r="F725" i="2"/>
  <c r="E725" i="2"/>
  <c r="D725" i="2"/>
  <c r="C725" i="2"/>
  <c r="B725" i="2"/>
  <c r="A725" i="2"/>
  <c r="G1184" i="2"/>
  <c r="F1184" i="2"/>
  <c r="E1184" i="2"/>
  <c r="D1184" i="2"/>
  <c r="C1184" i="2"/>
  <c r="B1184" i="2"/>
  <c r="A1184" i="2"/>
  <c r="G663" i="2"/>
  <c r="F663" i="2"/>
  <c r="E663" i="2"/>
  <c r="D663" i="2"/>
  <c r="C663" i="2"/>
  <c r="B663" i="2"/>
  <c r="A663" i="2"/>
  <c r="G836" i="2"/>
  <c r="F836" i="2"/>
  <c r="E836" i="2"/>
  <c r="D836" i="2"/>
  <c r="C836" i="2"/>
  <c r="B836" i="2"/>
  <c r="A836" i="2"/>
  <c r="G607" i="2"/>
  <c r="F607" i="2"/>
  <c r="E607" i="2"/>
  <c r="D607" i="2"/>
  <c r="C607" i="2"/>
  <c r="B607" i="2"/>
  <c r="A607" i="2"/>
  <c r="G1062" i="2"/>
  <c r="F1062" i="2"/>
  <c r="E1062" i="2"/>
  <c r="D1062" i="2"/>
  <c r="C1062" i="2"/>
  <c r="B1062" i="2"/>
  <c r="A1062" i="2"/>
  <c r="G1287" i="2"/>
  <c r="D1287" i="2"/>
  <c r="C1287" i="2"/>
  <c r="B1287" i="2"/>
  <c r="A1287" i="2"/>
  <c r="G1115" i="2"/>
  <c r="F1115" i="2"/>
  <c r="E1115" i="2"/>
  <c r="D1115" i="2"/>
  <c r="C1115" i="2"/>
  <c r="B1115" i="2"/>
  <c r="A1115" i="2"/>
  <c r="G954" i="2"/>
  <c r="F954" i="2"/>
  <c r="E954" i="2"/>
  <c r="D954" i="2"/>
  <c r="C954" i="2"/>
  <c r="B954" i="2"/>
  <c r="A954" i="2"/>
  <c r="G102" i="2"/>
  <c r="F102" i="2"/>
  <c r="E102" i="2"/>
  <c r="D102" i="2"/>
  <c r="C102" i="2"/>
  <c r="B102" i="2"/>
  <c r="A102" i="2"/>
  <c r="G810" i="2"/>
  <c r="F810" i="2"/>
  <c r="E810" i="2"/>
  <c r="D810" i="2"/>
  <c r="C810" i="2"/>
  <c r="B810" i="2"/>
  <c r="A810" i="2"/>
  <c r="G175" i="2"/>
  <c r="F175" i="2"/>
  <c r="E175" i="2"/>
  <c r="D175" i="2"/>
  <c r="C175" i="2"/>
  <c r="B175" i="2"/>
  <c r="A175" i="2"/>
  <c r="G1286" i="2"/>
  <c r="D1286" i="2"/>
  <c r="C1286" i="2"/>
  <c r="B1286" i="2"/>
  <c r="A1286" i="2"/>
  <c r="G376" i="2"/>
  <c r="F376" i="2"/>
  <c r="E376" i="2"/>
  <c r="D376" i="2"/>
  <c r="C376" i="2"/>
  <c r="B376" i="2"/>
  <c r="A376" i="2"/>
  <c r="G105" i="2"/>
  <c r="F105" i="2"/>
  <c r="E105" i="2"/>
  <c r="D105" i="2"/>
  <c r="C105" i="2"/>
  <c r="B105" i="2"/>
  <c r="A105" i="2"/>
  <c r="G1285" i="2"/>
  <c r="D1285" i="2"/>
  <c r="C1285" i="2"/>
  <c r="B1285" i="2"/>
  <c r="A1285" i="2"/>
  <c r="G164" i="2"/>
  <c r="F164" i="2"/>
  <c r="E164" i="2"/>
  <c r="D164" i="2"/>
  <c r="C164" i="2"/>
  <c r="B164" i="2"/>
  <c r="A164" i="2"/>
  <c r="G1101" i="2"/>
  <c r="F1101" i="2"/>
  <c r="E1101" i="2"/>
  <c r="D1101" i="2"/>
  <c r="C1101" i="2"/>
  <c r="B1101" i="2"/>
  <c r="A1101" i="2"/>
  <c r="G74" i="2"/>
  <c r="F74" i="2"/>
  <c r="E74" i="2"/>
  <c r="D74" i="2"/>
  <c r="C74" i="2"/>
  <c r="B74" i="2"/>
  <c r="A74" i="2"/>
  <c r="G448" i="2"/>
  <c r="F448" i="2"/>
  <c r="E448" i="2"/>
  <c r="D448" i="2"/>
  <c r="C448" i="2"/>
  <c r="B448" i="2"/>
  <c r="A448" i="2"/>
  <c r="G526" i="2"/>
  <c r="F526" i="2"/>
  <c r="E526" i="2"/>
  <c r="D526" i="2"/>
  <c r="C526" i="2"/>
  <c r="B526" i="2"/>
  <c r="A526" i="2"/>
  <c r="G788" i="2"/>
  <c r="F788" i="2"/>
  <c r="E788" i="2"/>
  <c r="D788" i="2"/>
  <c r="C788" i="2"/>
  <c r="B788" i="2"/>
  <c r="A788" i="2"/>
  <c r="G746" i="2"/>
  <c r="F746" i="2"/>
  <c r="E746" i="2"/>
  <c r="D746" i="2"/>
  <c r="C746" i="2"/>
  <c r="B746" i="2"/>
  <c r="A746" i="2"/>
  <c r="G1284" i="2"/>
  <c r="D1284" i="2"/>
  <c r="C1284" i="2"/>
  <c r="B1284" i="2"/>
  <c r="A1284" i="2"/>
  <c r="G779" i="2"/>
  <c r="F779" i="2"/>
  <c r="E779" i="2"/>
  <c r="D779" i="2"/>
  <c r="C779" i="2"/>
  <c r="B779" i="2"/>
  <c r="A779" i="2"/>
  <c r="G865" i="2"/>
  <c r="F865" i="2"/>
  <c r="E865" i="2"/>
  <c r="D865" i="2"/>
  <c r="C865" i="2"/>
  <c r="B865" i="2"/>
  <c r="A865" i="2"/>
  <c r="G385" i="2"/>
  <c r="F385" i="2"/>
  <c r="E385" i="2"/>
  <c r="D385" i="2"/>
  <c r="C385" i="2"/>
  <c r="B385" i="2"/>
  <c r="A385" i="2"/>
  <c r="G1283" i="2"/>
  <c r="D1283" i="2"/>
  <c r="C1283" i="2"/>
  <c r="B1283" i="2"/>
  <c r="A1283" i="2"/>
  <c r="G1055" i="2"/>
  <c r="F1055" i="2"/>
  <c r="E1055" i="2"/>
  <c r="D1055" i="2"/>
  <c r="C1055" i="2"/>
  <c r="B1055" i="2"/>
  <c r="A1055" i="2"/>
  <c r="G459" i="2"/>
  <c r="F459" i="2"/>
  <c r="E459" i="2"/>
  <c r="D459" i="2"/>
  <c r="C459" i="2"/>
  <c r="B459" i="2"/>
  <c r="A459" i="2"/>
  <c r="G420" i="2"/>
  <c r="F420" i="2"/>
  <c r="E420" i="2"/>
  <c r="D420" i="2"/>
  <c r="C420" i="2"/>
  <c r="B420" i="2"/>
  <c r="A420" i="2"/>
  <c r="G574" i="2"/>
  <c r="F574" i="2"/>
  <c r="E574" i="2"/>
  <c r="D574" i="2"/>
  <c r="C574" i="2"/>
  <c r="B574" i="2"/>
  <c r="A574" i="2"/>
  <c r="G745" i="2"/>
  <c r="F745" i="2"/>
  <c r="E745" i="2"/>
  <c r="D745" i="2"/>
  <c r="C745" i="2"/>
  <c r="B745" i="2"/>
  <c r="A745" i="2"/>
  <c r="G494" i="2"/>
  <c r="F494" i="2"/>
  <c r="E494" i="2"/>
  <c r="C494" i="2"/>
  <c r="B494" i="2"/>
  <c r="A494" i="2"/>
  <c r="G953" i="2"/>
  <c r="F953" i="2"/>
  <c r="E953" i="2"/>
  <c r="D953" i="2"/>
  <c r="C953" i="2"/>
  <c r="B953" i="2"/>
  <c r="A953" i="2"/>
  <c r="G1282" i="2"/>
  <c r="D1282" i="2"/>
  <c r="C1282" i="2"/>
  <c r="B1282" i="2"/>
  <c r="A1282" i="2"/>
  <c r="G1094" i="2"/>
  <c r="F1094" i="2"/>
  <c r="E1094" i="2"/>
  <c r="D1094" i="2"/>
  <c r="C1094" i="2"/>
  <c r="B1094" i="2"/>
  <c r="A1094" i="2"/>
  <c r="G1114" i="2"/>
  <c r="F1114" i="2"/>
  <c r="E1114" i="2"/>
  <c r="D1114" i="2"/>
  <c r="C1114" i="2"/>
  <c r="B1114" i="2"/>
  <c r="A1114" i="2"/>
  <c r="G356" i="2"/>
  <c r="F356" i="2"/>
  <c r="E356" i="2"/>
  <c r="D356" i="2"/>
  <c r="C356" i="2"/>
  <c r="B356" i="2"/>
  <c r="A356" i="2"/>
  <c r="G560" i="2"/>
  <c r="F560" i="2"/>
  <c r="E560" i="2"/>
  <c r="D560" i="2"/>
  <c r="C560" i="2"/>
  <c r="B560" i="2"/>
  <c r="A560" i="2"/>
  <c r="G1113" i="2"/>
  <c r="F1113" i="2"/>
  <c r="E1113" i="2"/>
  <c r="D1113" i="2"/>
  <c r="C1113" i="2"/>
  <c r="B1113" i="2"/>
  <c r="A1113" i="2"/>
  <c r="G1136" i="2"/>
  <c r="F1136" i="2"/>
  <c r="E1136" i="2"/>
  <c r="D1136" i="2"/>
  <c r="C1136" i="2"/>
  <c r="B1136" i="2"/>
  <c r="A1136" i="2"/>
  <c r="G688" i="2"/>
  <c r="F688" i="2"/>
  <c r="E688" i="2"/>
  <c r="D688" i="2"/>
  <c r="C688" i="2"/>
  <c r="B688" i="2"/>
  <c r="A688" i="2"/>
  <c r="G1148" i="2"/>
  <c r="F1148" i="2"/>
  <c r="E1148" i="2"/>
  <c r="D1148" i="2"/>
  <c r="C1148" i="2"/>
  <c r="B1148" i="2"/>
  <c r="A1148" i="2"/>
  <c r="G1281" i="2"/>
  <c r="D1281" i="2"/>
  <c r="C1281" i="2"/>
  <c r="B1281" i="2"/>
  <c r="A1281" i="2"/>
  <c r="G1280" i="2"/>
  <c r="D1280" i="2"/>
  <c r="C1280" i="2"/>
  <c r="B1280" i="2"/>
  <c r="A1280" i="2"/>
  <c r="G720" i="2"/>
  <c r="F720" i="2"/>
  <c r="E720" i="2"/>
  <c r="D720" i="2"/>
  <c r="C720" i="2"/>
  <c r="B720" i="2"/>
  <c r="A720" i="2"/>
  <c r="G835" i="2"/>
  <c r="F835" i="2"/>
  <c r="E835" i="2"/>
  <c r="D835" i="2"/>
  <c r="C835" i="2"/>
  <c r="B835" i="2"/>
  <c r="A835" i="2"/>
  <c r="G691" i="2"/>
  <c r="F691" i="2"/>
  <c r="E691" i="2"/>
  <c r="D691" i="2"/>
  <c r="C691" i="2"/>
  <c r="B691" i="2"/>
  <c r="A691" i="2"/>
  <c r="G1198" i="2"/>
  <c r="F1198" i="2"/>
  <c r="E1198" i="2"/>
  <c r="C1198" i="2"/>
  <c r="B1198" i="2"/>
  <c r="A1198" i="2"/>
  <c r="G1022" i="2"/>
  <c r="F1022" i="2"/>
  <c r="E1022" i="2"/>
  <c r="D1022" i="2"/>
  <c r="C1022" i="2"/>
  <c r="B1022" i="2"/>
  <c r="A1022" i="2"/>
  <c r="G334" i="2"/>
  <c r="F334" i="2"/>
  <c r="E334" i="2"/>
  <c r="D334" i="2"/>
  <c r="C334" i="2"/>
  <c r="B334" i="2"/>
  <c r="A334" i="2"/>
  <c r="G247" i="2"/>
  <c r="F247" i="2"/>
  <c r="E247" i="2"/>
  <c r="D247" i="2"/>
  <c r="C247" i="2"/>
  <c r="B247" i="2"/>
  <c r="A247" i="2"/>
  <c r="G669" i="2"/>
  <c r="F669" i="2"/>
  <c r="E669" i="2"/>
  <c r="D669" i="2"/>
  <c r="C669" i="2"/>
  <c r="B669" i="2"/>
  <c r="A669" i="2"/>
  <c r="G830" i="2"/>
  <c r="F830" i="2"/>
  <c r="E830" i="2"/>
  <c r="D830" i="2"/>
  <c r="C830" i="2"/>
  <c r="B830" i="2"/>
  <c r="A830" i="2"/>
  <c r="G85" i="2"/>
  <c r="F85" i="2"/>
  <c r="E85" i="2"/>
  <c r="D85" i="2"/>
  <c r="C85" i="2"/>
  <c r="B85" i="2"/>
  <c r="A85" i="2"/>
  <c r="G841" i="2"/>
  <c r="F841" i="2"/>
  <c r="E841" i="2"/>
  <c r="D841" i="2"/>
  <c r="C841" i="2"/>
  <c r="B841" i="2"/>
  <c r="A841" i="2"/>
  <c r="G1025" i="2"/>
  <c r="F1025" i="2"/>
  <c r="E1025" i="2"/>
  <c r="D1025" i="2"/>
  <c r="C1025" i="2"/>
  <c r="B1025" i="2"/>
  <c r="A1025" i="2"/>
  <c r="G1279" i="2"/>
  <c r="C1279" i="2"/>
  <c r="B1279" i="2"/>
  <c r="A1279" i="2"/>
  <c r="G98" i="2"/>
  <c r="F98" i="2"/>
  <c r="E98" i="2"/>
  <c r="D98" i="2"/>
  <c r="C98" i="2"/>
  <c r="B98" i="2"/>
  <c r="A98" i="2"/>
  <c r="G353" i="2"/>
  <c r="F353" i="2"/>
  <c r="E353" i="2"/>
  <c r="D353" i="2"/>
  <c r="C353" i="2"/>
  <c r="B353" i="2"/>
  <c r="A353" i="2"/>
  <c r="G1278" i="2"/>
  <c r="D1278" i="2"/>
  <c r="C1278" i="2"/>
  <c r="B1278" i="2"/>
  <c r="A1278" i="2"/>
  <c r="G538" i="2"/>
  <c r="F538" i="2"/>
  <c r="E538" i="2"/>
  <c r="D538" i="2"/>
  <c r="C538" i="2"/>
  <c r="B538" i="2"/>
  <c r="A538" i="2"/>
  <c r="G1000" i="2"/>
  <c r="F1000" i="2"/>
  <c r="E1000" i="2"/>
  <c r="D1000" i="2"/>
  <c r="C1000" i="2"/>
  <c r="B1000" i="2"/>
  <c r="A1000" i="2"/>
  <c r="G1005" i="2"/>
  <c r="F1005" i="2"/>
  <c r="E1005" i="2"/>
  <c r="D1005" i="2"/>
  <c r="C1005" i="2"/>
  <c r="B1005" i="2"/>
  <c r="A1005" i="2"/>
  <c r="G1277" i="2"/>
  <c r="D1277" i="2"/>
  <c r="C1277" i="2"/>
  <c r="B1277" i="2"/>
  <c r="A1277" i="2"/>
  <c r="G1121" i="2"/>
  <c r="F1121" i="2"/>
  <c r="E1121" i="2"/>
  <c r="D1121" i="2"/>
  <c r="C1121" i="2"/>
  <c r="B1121" i="2"/>
  <c r="A1121" i="2"/>
  <c r="G303" i="2"/>
  <c r="F303" i="2"/>
  <c r="E303" i="2"/>
  <c r="D303" i="2"/>
  <c r="C303" i="2"/>
  <c r="B303" i="2"/>
  <c r="A303" i="2"/>
  <c r="G1276" i="2"/>
  <c r="D1276" i="2"/>
  <c r="C1276" i="2"/>
  <c r="B1276" i="2"/>
  <c r="A1276" i="2"/>
  <c r="G397" i="2"/>
  <c r="F397" i="2"/>
  <c r="E397" i="2"/>
  <c r="D397" i="2"/>
  <c r="C397" i="2"/>
  <c r="B397" i="2"/>
  <c r="A397" i="2"/>
  <c r="G648" i="2"/>
  <c r="F648" i="2"/>
  <c r="E648" i="2"/>
  <c r="D648" i="2"/>
  <c r="C648" i="2"/>
  <c r="B648" i="2"/>
  <c r="A648" i="2"/>
  <c r="G764" i="2"/>
  <c r="F764" i="2"/>
  <c r="E764" i="2"/>
  <c r="D764" i="2"/>
  <c r="C764" i="2"/>
  <c r="B764" i="2"/>
  <c r="A764" i="2"/>
  <c r="G579" i="2"/>
  <c r="F579" i="2"/>
  <c r="E579" i="2"/>
  <c r="D579" i="2"/>
  <c r="C579" i="2"/>
  <c r="B579" i="2"/>
  <c r="A579" i="2"/>
  <c r="G895" i="2"/>
  <c r="F895" i="2"/>
  <c r="E895" i="2"/>
  <c r="D895" i="2"/>
  <c r="C895" i="2"/>
  <c r="B895" i="2"/>
  <c r="A895" i="2"/>
  <c r="G1054" i="2"/>
  <c r="F1054" i="2"/>
  <c r="E1054" i="2"/>
  <c r="D1054" i="2"/>
  <c r="C1054" i="2"/>
  <c r="B1054" i="2"/>
  <c r="A1054" i="2"/>
  <c r="G906" i="2"/>
  <c r="F906" i="2"/>
  <c r="E906" i="2"/>
  <c r="D906" i="2"/>
  <c r="C906" i="2"/>
  <c r="B906" i="2"/>
  <c r="A906" i="2"/>
  <c r="G13" i="2"/>
  <c r="F13" i="2"/>
  <c r="E13" i="2"/>
  <c r="D13" i="2"/>
  <c r="C13" i="2"/>
  <c r="B13" i="2"/>
  <c r="A13" i="2"/>
  <c r="G189" i="2"/>
  <c r="F189" i="2"/>
  <c r="E189" i="2"/>
  <c r="D189" i="2"/>
  <c r="C189" i="2"/>
  <c r="B189" i="2"/>
  <c r="A189" i="2"/>
  <c r="G73" i="2"/>
  <c r="F73" i="2"/>
  <c r="E73" i="2"/>
  <c r="D73" i="2"/>
  <c r="C73" i="2"/>
  <c r="B73" i="2"/>
  <c r="A73" i="2"/>
  <c r="G931" i="2"/>
  <c r="F931" i="2"/>
  <c r="E931" i="2"/>
  <c r="D931" i="2"/>
  <c r="C931" i="2"/>
  <c r="B931" i="2"/>
  <c r="A931" i="2"/>
  <c r="G367" i="2"/>
  <c r="F367" i="2"/>
  <c r="E367" i="2"/>
  <c r="D367" i="2"/>
  <c r="C367" i="2"/>
  <c r="B367" i="2"/>
  <c r="A367" i="2"/>
  <c r="G121" i="2"/>
  <c r="F121" i="2"/>
  <c r="E121" i="2"/>
  <c r="D121" i="2"/>
  <c r="C121" i="2"/>
  <c r="B121" i="2"/>
  <c r="A121" i="2"/>
  <c r="G662" i="2"/>
  <c r="F662" i="2"/>
  <c r="E662" i="2"/>
  <c r="D662" i="2"/>
  <c r="C662" i="2"/>
  <c r="B662" i="2"/>
  <c r="A662" i="2"/>
  <c r="G816" i="2"/>
  <c r="F816" i="2"/>
  <c r="E816" i="2"/>
  <c r="D816" i="2"/>
  <c r="C816" i="2"/>
  <c r="B816" i="2"/>
  <c r="A816" i="2"/>
  <c r="G492" i="2"/>
  <c r="F492" i="2"/>
  <c r="E492" i="2"/>
  <c r="D492" i="2"/>
  <c r="C492" i="2"/>
  <c r="B492" i="2"/>
  <c r="A492" i="2"/>
  <c r="G457" i="2"/>
  <c r="F457" i="2"/>
  <c r="E457" i="2"/>
  <c r="D457" i="2"/>
  <c r="C457" i="2"/>
  <c r="B457" i="2"/>
  <c r="A457" i="2"/>
  <c r="G1275" i="2"/>
  <c r="D1275" i="2"/>
  <c r="C1275" i="2"/>
  <c r="B1275" i="2"/>
  <c r="A1275" i="2"/>
  <c r="G155" i="2"/>
  <c r="F155" i="2"/>
  <c r="E155" i="2"/>
  <c r="D155" i="2"/>
  <c r="C155" i="2"/>
  <c r="B155" i="2"/>
  <c r="A155" i="2"/>
  <c r="G1274" i="2"/>
  <c r="D1274" i="2"/>
  <c r="C1274" i="2"/>
  <c r="B1274" i="2"/>
  <c r="A1274" i="2"/>
  <c r="G1273" i="2"/>
  <c r="D1273" i="2"/>
  <c r="C1273" i="2"/>
  <c r="B1273" i="2"/>
  <c r="A1273" i="2"/>
  <c r="G668" i="2"/>
  <c r="F668" i="2"/>
  <c r="E668" i="2"/>
  <c r="D668" i="2"/>
  <c r="C668" i="2"/>
  <c r="B668" i="2"/>
  <c r="A668" i="2"/>
  <c r="G388" i="2"/>
  <c r="F388" i="2"/>
  <c r="E388" i="2"/>
  <c r="D388" i="2"/>
  <c r="C388" i="2"/>
  <c r="B388" i="2"/>
  <c r="A388" i="2"/>
  <c r="G948" i="2"/>
  <c r="F948" i="2"/>
  <c r="E948" i="2"/>
  <c r="D948" i="2"/>
  <c r="C948" i="2"/>
  <c r="B948" i="2"/>
  <c r="A948" i="2"/>
  <c r="G675" i="2"/>
  <c r="F675" i="2"/>
  <c r="E675" i="2"/>
  <c r="D675" i="2"/>
  <c r="C675" i="2"/>
  <c r="B675" i="2"/>
  <c r="A675" i="2"/>
  <c r="G676" i="2"/>
  <c r="F676" i="2"/>
  <c r="E676" i="2"/>
  <c r="D676" i="2"/>
  <c r="C676" i="2"/>
  <c r="B676" i="2"/>
  <c r="A676" i="2"/>
  <c r="G428" i="2"/>
  <c r="F428" i="2"/>
  <c r="E428" i="2"/>
  <c r="D428" i="2"/>
  <c r="C428" i="2"/>
  <c r="B428" i="2"/>
  <c r="A428" i="2"/>
  <c r="G1169" i="2"/>
  <c r="F1169" i="2"/>
  <c r="E1169" i="2"/>
  <c r="D1169" i="2"/>
  <c r="C1169" i="2"/>
  <c r="B1169" i="2"/>
  <c r="A1169" i="2"/>
  <c r="G1151" i="2"/>
  <c r="F1151" i="2"/>
  <c r="E1151" i="2"/>
  <c r="D1151" i="2"/>
  <c r="C1151" i="2"/>
  <c r="B1151" i="2"/>
  <c r="A1151" i="2"/>
  <c r="G1272" i="2"/>
  <c r="D1272" i="2"/>
  <c r="C1272" i="2"/>
  <c r="B1272" i="2"/>
  <c r="A1272" i="2"/>
  <c r="G744" i="2"/>
  <c r="F744" i="2"/>
  <c r="E744" i="2"/>
  <c r="D744" i="2"/>
  <c r="C744" i="2"/>
  <c r="B744" i="2"/>
  <c r="A744" i="2"/>
  <c r="G465" i="2"/>
  <c r="F465" i="2"/>
  <c r="E465" i="2"/>
  <c r="D465" i="2"/>
  <c r="C465" i="2"/>
  <c r="B465" i="2"/>
  <c r="A465" i="2"/>
  <c r="G282" i="2"/>
  <c r="F282" i="2"/>
  <c r="E282" i="2"/>
  <c r="D282" i="2"/>
  <c r="C282" i="2"/>
  <c r="B282" i="2"/>
  <c r="A282" i="2"/>
  <c r="G320" i="2"/>
  <c r="F320" i="2"/>
  <c r="E320" i="2"/>
  <c r="D320" i="2"/>
  <c r="C320" i="2"/>
  <c r="B320" i="2"/>
  <c r="A320" i="2"/>
  <c r="G1271" i="2"/>
  <c r="D1271" i="2"/>
  <c r="C1271" i="2"/>
  <c r="B1271" i="2"/>
  <c r="A1271" i="2"/>
  <c r="G130" i="2"/>
  <c r="F130" i="2"/>
  <c r="E130" i="2"/>
  <c r="D130" i="2"/>
  <c r="C130" i="2"/>
  <c r="B130" i="2"/>
  <c r="A130" i="2"/>
  <c r="G674" i="2"/>
  <c r="F674" i="2"/>
  <c r="E674" i="2"/>
  <c r="D674" i="2"/>
  <c r="C674" i="2"/>
  <c r="B674" i="2"/>
  <c r="A674" i="2"/>
  <c r="G480" i="2"/>
  <c r="F480" i="2"/>
  <c r="E480" i="2"/>
  <c r="D480" i="2"/>
  <c r="C480" i="2"/>
  <c r="B480" i="2"/>
  <c r="A480" i="2"/>
  <c r="G118" i="2"/>
  <c r="F118" i="2"/>
  <c r="E118" i="2"/>
  <c r="D118" i="2"/>
  <c r="C118" i="2"/>
  <c r="B118" i="2"/>
  <c r="A118" i="2"/>
  <c r="G1085" i="2"/>
  <c r="F1085" i="2"/>
  <c r="E1085" i="2"/>
  <c r="D1085" i="2"/>
  <c r="C1085" i="2"/>
  <c r="B1085" i="2"/>
  <c r="A1085" i="2"/>
  <c r="G319" i="2"/>
  <c r="F319" i="2"/>
  <c r="E319" i="2"/>
  <c r="D319" i="2"/>
  <c r="C319" i="2"/>
  <c r="B319" i="2"/>
  <c r="A319" i="2"/>
  <c r="G72" i="2"/>
  <c r="F72" i="2"/>
  <c r="E72" i="2"/>
  <c r="D72" i="2"/>
  <c r="C72" i="2"/>
  <c r="B72" i="2"/>
  <c r="A72" i="2"/>
  <c r="G1270" i="2"/>
  <c r="D1270" i="2"/>
  <c r="C1270" i="2"/>
  <c r="B1270" i="2"/>
  <c r="A1270" i="2"/>
  <c r="G211" i="2"/>
  <c r="F211" i="2"/>
  <c r="E211" i="2"/>
  <c r="D211" i="2"/>
  <c r="C211" i="2"/>
  <c r="B211" i="2"/>
  <c r="A211" i="2"/>
  <c r="G1044" i="2"/>
  <c r="F1044" i="2"/>
  <c r="E1044" i="2"/>
  <c r="D1044" i="2"/>
  <c r="C1044" i="2"/>
  <c r="B1044" i="2"/>
  <c r="A1044" i="2"/>
  <c r="G1131" i="2"/>
  <c r="F1131" i="2"/>
  <c r="E1131" i="2"/>
  <c r="D1131" i="2"/>
  <c r="C1131" i="2"/>
  <c r="B1131" i="2"/>
  <c r="A1131" i="2"/>
  <c r="G49" i="2"/>
  <c r="F49" i="2"/>
  <c r="E49" i="2"/>
  <c r="D49" i="2"/>
  <c r="C49" i="2"/>
  <c r="B49" i="2"/>
  <c r="A49" i="2"/>
  <c r="G403" i="2"/>
  <c r="F403" i="2"/>
  <c r="E403" i="2"/>
  <c r="D403" i="2"/>
  <c r="C403" i="2"/>
  <c r="B403" i="2"/>
  <c r="A403" i="2"/>
  <c r="G1021" i="2"/>
  <c r="F1021" i="2"/>
  <c r="E1021" i="2"/>
  <c r="D1021" i="2"/>
  <c r="C1021" i="2"/>
  <c r="B1021" i="2"/>
  <c r="A1021" i="2"/>
  <c r="G1112" i="2"/>
  <c r="F1112" i="2"/>
  <c r="E1112" i="2"/>
  <c r="D1112" i="2"/>
  <c r="C1112" i="2"/>
  <c r="B1112" i="2"/>
  <c r="A1112" i="2"/>
  <c r="G716" i="2"/>
  <c r="F716" i="2"/>
  <c r="E716" i="2"/>
  <c r="D716" i="2"/>
  <c r="C716" i="2"/>
  <c r="B716" i="2"/>
  <c r="A716" i="2"/>
  <c r="G805" i="2"/>
  <c r="F805" i="2"/>
  <c r="E805" i="2"/>
  <c r="D805" i="2"/>
  <c r="C805" i="2"/>
  <c r="B805" i="2"/>
  <c r="A805" i="2"/>
  <c r="G1269" i="2"/>
  <c r="D1269" i="2"/>
  <c r="C1269" i="2"/>
  <c r="B1269" i="2"/>
  <c r="A1269" i="2"/>
  <c r="G1016" i="2"/>
  <c r="F1016" i="2"/>
  <c r="E1016" i="2"/>
  <c r="D1016" i="2"/>
  <c r="C1016" i="2"/>
  <c r="B1016" i="2"/>
  <c r="A1016" i="2"/>
  <c r="G860" i="2"/>
  <c r="F860" i="2"/>
  <c r="E860" i="2"/>
  <c r="D860" i="2"/>
  <c r="C860" i="2"/>
  <c r="B860" i="2"/>
  <c r="A860" i="2"/>
  <c r="G326" i="2"/>
  <c r="F326" i="2"/>
  <c r="E326" i="2"/>
  <c r="D326" i="2"/>
  <c r="C326" i="2"/>
  <c r="B326" i="2"/>
  <c r="A326" i="2"/>
  <c r="G881" i="2"/>
  <c r="F881" i="2"/>
  <c r="E881" i="2"/>
  <c r="D881" i="2"/>
  <c r="C881" i="2"/>
  <c r="B881" i="2"/>
  <c r="A881" i="2"/>
  <c r="G999" i="2"/>
  <c r="F999" i="2"/>
  <c r="E999" i="2"/>
  <c r="D999" i="2"/>
  <c r="C999" i="2"/>
  <c r="B999" i="2"/>
  <c r="A999" i="2"/>
  <c r="G48" i="2"/>
  <c r="F48" i="2"/>
  <c r="E48" i="2"/>
  <c r="D48" i="2"/>
  <c r="C48" i="2"/>
  <c r="B48" i="2"/>
  <c r="A48" i="2"/>
  <c r="G271" i="2"/>
  <c r="F271" i="2"/>
  <c r="E271" i="2"/>
  <c r="D271" i="2"/>
  <c r="C271" i="2"/>
  <c r="B271" i="2"/>
  <c r="A271" i="2"/>
  <c r="G1120" i="2"/>
  <c r="F1120" i="2"/>
  <c r="E1120" i="2"/>
  <c r="D1120" i="2"/>
  <c r="C1120" i="2"/>
  <c r="B1120" i="2"/>
  <c r="A1120" i="2"/>
  <c r="G736" i="2"/>
  <c r="F736" i="2"/>
  <c r="E736" i="2"/>
  <c r="D736" i="2"/>
  <c r="C736" i="2"/>
  <c r="B736" i="2"/>
  <c r="A736" i="2"/>
  <c r="G1183" i="2"/>
  <c r="F1183" i="2"/>
  <c r="E1183" i="2"/>
  <c r="D1183" i="2"/>
  <c r="C1183" i="2"/>
  <c r="B1183" i="2"/>
  <c r="A1183" i="2"/>
  <c r="G427" i="2"/>
  <c r="F427" i="2"/>
  <c r="E427" i="2"/>
  <c r="D427" i="2"/>
  <c r="C427" i="2"/>
  <c r="B427" i="2"/>
  <c r="A427" i="2"/>
  <c r="G596" i="2"/>
  <c r="F596" i="2"/>
  <c r="E596" i="2"/>
  <c r="D596" i="2"/>
  <c r="C596" i="2"/>
  <c r="B596" i="2"/>
  <c r="A596" i="2"/>
  <c r="G698" i="2"/>
  <c r="F698" i="2"/>
  <c r="E698" i="2"/>
  <c r="D698" i="2"/>
  <c r="C698" i="2"/>
  <c r="B698" i="2"/>
  <c r="A698" i="2"/>
  <c r="G90" i="2"/>
  <c r="F90" i="2"/>
  <c r="E90" i="2"/>
  <c r="D90" i="2"/>
  <c r="C90" i="2"/>
  <c r="B90" i="2"/>
  <c r="A90" i="2"/>
  <c r="G731" i="2"/>
  <c r="F731" i="2"/>
  <c r="E731" i="2"/>
  <c r="D731" i="2"/>
  <c r="C731" i="2"/>
  <c r="B731" i="2"/>
  <c r="A731" i="2"/>
  <c r="G419" i="2"/>
  <c r="F419" i="2"/>
  <c r="E419" i="2"/>
  <c r="D419" i="2"/>
  <c r="C419" i="2"/>
  <c r="B419" i="2"/>
  <c r="A419" i="2"/>
  <c r="G1268" i="2"/>
  <c r="D1268" i="2"/>
  <c r="C1268" i="2"/>
  <c r="B1268" i="2"/>
  <c r="A1268" i="2"/>
  <c r="G687" i="2"/>
  <c r="F687" i="2"/>
  <c r="E687" i="2"/>
  <c r="D687" i="2"/>
  <c r="C687" i="2"/>
  <c r="B687" i="2"/>
  <c r="A687" i="2"/>
  <c r="G943" i="2"/>
  <c r="F943" i="2"/>
  <c r="E943" i="2"/>
  <c r="D943" i="2"/>
  <c r="C943" i="2"/>
  <c r="B943" i="2"/>
  <c r="A943" i="2"/>
  <c r="G1049" i="2"/>
  <c r="F1049" i="2"/>
  <c r="E1049" i="2"/>
  <c r="D1049" i="2"/>
  <c r="C1049" i="2"/>
  <c r="B1049" i="2"/>
  <c r="A1049" i="2"/>
  <c r="G683" i="2"/>
  <c r="F683" i="2"/>
  <c r="E683" i="2"/>
  <c r="D683" i="2"/>
  <c r="C683" i="2"/>
  <c r="B683" i="2"/>
  <c r="A683" i="2"/>
  <c r="G290" i="2"/>
  <c r="F290" i="2"/>
  <c r="E290" i="2"/>
  <c r="D290" i="2"/>
  <c r="C290" i="2"/>
  <c r="B290" i="2"/>
  <c r="A290" i="2"/>
  <c r="G1267" i="2"/>
  <c r="D1267" i="2"/>
  <c r="C1267" i="2"/>
  <c r="B1267" i="2"/>
  <c r="A1267" i="2"/>
  <c r="G624" i="2"/>
  <c r="F624" i="2"/>
  <c r="E624" i="2"/>
  <c r="D624" i="2"/>
  <c r="C624" i="2"/>
  <c r="B624" i="2"/>
  <c r="A624" i="2"/>
  <c r="G1084" i="2"/>
  <c r="F1084" i="2"/>
  <c r="E1084" i="2"/>
  <c r="D1084" i="2"/>
  <c r="C1084" i="2"/>
  <c r="B1084" i="2"/>
  <c r="A1084" i="2"/>
  <c r="G314" i="2"/>
  <c r="F314" i="2"/>
  <c r="E314" i="2"/>
  <c r="D314" i="2"/>
  <c r="C314" i="2"/>
  <c r="B314" i="2"/>
  <c r="A314" i="2"/>
  <c r="G195" i="2"/>
  <c r="F195" i="2"/>
  <c r="E195" i="2"/>
  <c r="D195" i="2"/>
  <c r="C195" i="2"/>
  <c r="B195" i="2"/>
  <c r="A195" i="2"/>
  <c r="G1030" i="2"/>
  <c r="F1030" i="2"/>
  <c r="E1030" i="2"/>
  <c r="D1030" i="2"/>
  <c r="C1030" i="2"/>
  <c r="B1030" i="2"/>
  <c r="A1030" i="2"/>
  <c r="G1266" i="2"/>
  <c r="D1266" i="2"/>
  <c r="C1266" i="2"/>
  <c r="B1266" i="2"/>
  <c r="A1266" i="2"/>
  <c r="G276" i="2"/>
  <c r="F276" i="2"/>
  <c r="E276" i="2"/>
  <c r="D276" i="2"/>
  <c r="C276" i="2"/>
  <c r="B276" i="2"/>
  <c r="A276" i="2"/>
  <c r="G840" i="2"/>
  <c r="F840" i="2"/>
  <c r="E840" i="2"/>
  <c r="D840" i="2"/>
  <c r="C840" i="2"/>
  <c r="B840" i="2"/>
  <c r="A840" i="2"/>
  <c r="G606" i="2"/>
  <c r="F606" i="2"/>
  <c r="E606" i="2"/>
  <c r="D606" i="2"/>
  <c r="C606" i="2"/>
  <c r="B606" i="2"/>
  <c r="A606" i="2"/>
  <c r="G1038" i="2"/>
  <c r="F1038" i="2"/>
  <c r="E1038" i="2"/>
  <c r="D1038" i="2"/>
  <c r="C1038" i="2"/>
  <c r="B1038" i="2"/>
  <c r="A1038" i="2"/>
  <c r="G594" i="2"/>
  <c r="F594" i="2"/>
  <c r="E594" i="2"/>
  <c r="D594" i="2"/>
  <c r="C594" i="2"/>
  <c r="B594" i="2"/>
  <c r="A594" i="2"/>
  <c r="G1037" i="2"/>
  <c r="F1037" i="2"/>
  <c r="E1037" i="2"/>
  <c r="D1037" i="2"/>
  <c r="C1037" i="2"/>
  <c r="B1037" i="2"/>
  <c r="A1037" i="2"/>
  <c r="G773" i="2"/>
  <c r="F773" i="2"/>
  <c r="E773" i="2"/>
  <c r="D773" i="2"/>
  <c r="C773" i="2"/>
  <c r="B773" i="2"/>
  <c r="A773" i="2"/>
  <c r="G174" i="2"/>
  <c r="F174" i="2"/>
  <c r="E174" i="2"/>
  <c r="D174" i="2"/>
  <c r="C174" i="2"/>
  <c r="B174" i="2"/>
  <c r="A174" i="2"/>
  <c r="G585" i="2"/>
  <c r="F585" i="2"/>
  <c r="E585" i="2"/>
  <c r="D585" i="2"/>
  <c r="C585" i="2"/>
  <c r="B585" i="2"/>
  <c r="A585" i="2"/>
  <c r="G56" i="2"/>
  <c r="F56" i="2"/>
  <c r="E56" i="2"/>
  <c r="D56" i="2"/>
  <c r="C56" i="2"/>
  <c r="B56" i="2"/>
  <c r="A56" i="2"/>
  <c r="G1069" i="2"/>
  <c r="F1069" i="2"/>
  <c r="E1069" i="2"/>
  <c r="D1069" i="2"/>
  <c r="C1069" i="2"/>
  <c r="B1069" i="2"/>
  <c r="A1069" i="2"/>
  <c r="G1080" i="2"/>
  <c r="F1080" i="2"/>
  <c r="E1080" i="2"/>
  <c r="D1080" i="2"/>
  <c r="C1080" i="2"/>
  <c r="B1080" i="2"/>
  <c r="A1080" i="2"/>
  <c r="G657" i="2"/>
  <c r="F657" i="2"/>
  <c r="E657" i="2"/>
  <c r="D657" i="2"/>
  <c r="C657" i="2"/>
  <c r="B657" i="2"/>
  <c r="A657" i="2"/>
  <c r="G1265" i="2"/>
  <c r="D1265" i="2"/>
  <c r="C1265" i="2"/>
  <c r="B1265" i="2"/>
  <c r="A1265" i="2"/>
  <c r="G1264" i="2"/>
  <c r="D1264" i="2"/>
  <c r="C1264" i="2"/>
  <c r="B1264" i="2"/>
  <c r="A1264" i="2"/>
  <c r="G1263" i="2"/>
  <c r="D1263" i="2"/>
  <c r="C1263" i="2"/>
  <c r="B1263" i="2"/>
  <c r="A1263" i="2"/>
  <c r="G1202" i="2"/>
  <c r="F1202" i="2"/>
  <c r="E1202" i="2"/>
  <c r="D1202" i="2"/>
  <c r="C1202" i="2"/>
  <c r="B1202" i="2"/>
  <c r="A1202" i="2"/>
  <c r="G352" i="2"/>
  <c r="F352" i="2"/>
  <c r="E352" i="2"/>
  <c r="D352" i="2"/>
  <c r="C352" i="2"/>
  <c r="B352" i="2"/>
  <c r="A352" i="2"/>
  <c r="G686" i="2"/>
  <c r="F686" i="2"/>
  <c r="E686" i="2"/>
  <c r="D686" i="2"/>
  <c r="C686" i="2"/>
  <c r="B686" i="2"/>
  <c r="A686" i="2"/>
  <c r="G242" i="2"/>
  <c r="F242" i="2"/>
  <c r="E242" i="2"/>
  <c r="D242" i="2"/>
  <c r="C242" i="2"/>
  <c r="B242" i="2"/>
  <c r="A242" i="2"/>
  <c r="G735" i="2"/>
  <c r="F735" i="2"/>
  <c r="E735" i="2"/>
  <c r="D735" i="2"/>
  <c r="C735" i="2"/>
  <c r="B735" i="2"/>
  <c r="A735" i="2"/>
  <c r="G734" i="2"/>
  <c r="F734" i="2"/>
  <c r="E734" i="2"/>
  <c r="D734" i="2"/>
  <c r="C734" i="2"/>
  <c r="B734" i="2"/>
  <c r="A734" i="2"/>
  <c r="G546" i="2"/>
  <c r="F546" i="2"/>
  <c r="E546" i="2"/>
  <c r="D546" i="2"/>
  <c r="C546" i="2"/>
  <c r="B546" i="2"/>
  <c r="A546" i="2"/>
  <c r="G905" i="2"/>
  <c r="F905" i="2"/>
  <c r="E905" i="2"/>
  <c r="D905" i="2"/>
  <c r="C905" i="2"/>
  <c r="B905" i="2"/>
  <c r="A905" i="2"/>
  <c r="G1262" i="2"/>
  <c r="D1262" i="2"/>
  <c r="C1262" i="2"/>
  <c r="B1262" i="2"/>
  <c r="A1262" i="2"/>
  <c r="G1010" i="2"/>
  <c r="F1010" i="2"/>
  <c r="E1010" i="2"/>
  <c r="D1010" i="2"/>
  <c r="C1010" i="2"/>
  <c r="B1010" i="2"/>
  <c r="A1010" i="2"/>
  <c r="G1261" i="2"/>
  <c r="D1261" i="2"/>
  <c r="C1261" i="2"/>
  <c r="B1261" i="2"/>
  <c r="A1261" i="2"/>
  <c r="G1147" i="2"/>
  <c r="F1147" i="2"/>
  <c r="E1147" i="2"/>
  <c r="D1147" i="2"/>
  <c r="C1147" i="2"/>
  <c r="B1147" i="2"/>
  <c r="A1147" i="2"/>
  <c r="G241" i="2"/>
  <c r="F241" i="2"/>
  <c r="E241" i="2"/>
  <c r="D241" i="2"/>
  <c r="C241" i="2"/>
  <c r="B241" i="2"/>
  <c r="A241" i="2"/>
  <c r="G154" i="2"/>
  <c r="F154" i="2"/>
  <c r="E154" i="2"/>
  <c r="D154" i="2"/>
  <c r="C154" i="2"/>
  <c r="B154" i="2"/>
  <c r="A154" i="2"/>
  <c r="G217" i="2"/>
  <c r="F217" i="2"/>
  <c r="E217" i="2"/>
  <c r="D217" i="2"/>
  <c r="C217" i="2"/>
  <c r="B217" i="2"/>
  <c r="A217" i="2"/>
  <c r="G1083" i="2"/>
  <c r="F1083" i="2"/>
  <c r="E1083" i="2"/>
  <c r="D1083" i="2"/>
  <c r="C1083" i="2"/>
  <c r="B1083" i="2"/>
  <c r="A1083" i="2"/>
  <c r="G64" i="2"/>
  <c r="F64" i="2"/>
  <c r="E64" i="2"/>
  <c r="D64" i="2"/>
  <c r="C64" i="2"/>
  <c r="B64" i="2"/>
  <c r="A64" i="2"/>
  <c r="G844" i="2"/>
  <c r="F844" i="2"/>
  <c r="E844" i="2"/>
  <c r="D844" i="2"/>
  <c r="C844" i="2"/>
  <c r="B844" i="2"/>
  <c r="A844" i="2"/>
  <c r="G1165" i="2"/>
  <c r="F1165" i="2"/>
  <c r="E1165" i="2"/>
  <c r="D1165" i="2"/>
  <c r="C1165" i="2"/>
  <c r="B1165" i="2"/>
  <c r="A1165" i="2"/>
  <c r="G346" i="2"/>
  <c r="F346" i="2"/>
  <c r="E346" i="2"/>
  <c r="D346" i="2"/>
  <c r="C346" i="2"/>
  <c r="B346" i="2"/>
  <c r="A346" i="2"/>
  <c r="G111" i="2"/>
  <c r="F111" i="2"/>
  <c r="E111" i="2"/>
  <c r="D111" i="2"/>
  <c r="C111" i="2"/>
  <c r="B111" i="2"/>
  <c r="A111" i="2"/>
  <c r="G169" i="2"/>
  <c r="F169" i="2"/>
  <c r="E169" i="2"/>
  <c r="D169" i="2"/>
  <c r="C169" i="2"/>
  <c r="B169" i="2"/>
  <c r="A169" i="2"/>
  <c r="G755" i="2"/>
  <c r="F755" i="2"/>
  <c r="E755" i="2"/>
  <c r="D755" i="2"/>
  <c r="C755" i="2"/>
  <c r="B755" i="2"/>
  <c r="A755" i="2"/>
  <c r="G673" i="2"/>
  <c r="F673" i="2"/>
  <c r="E673" i="2"/>
  <c r="D673" i="2"/>
  <c r="C673" i="2"/>
  <c r="B673" i="2"/>
  <c r="A673" i="2"/>
  <c r="G307" i="2"/>
  <c r="F307" i="2"/>
  <c r="E307" i="2"/>
  <c r="D307" i="2"/>
  <c r="C307" i="2"/>
  <c r="B307" i="2"/>
  <c r="A307" i="2"/>
  <c r="G97" i="2"/>
  <c r="F97" i="2"/>
  <c r="E97" i="2"/>
  <c r="D97" i="2"/>
  <c r="C97" i="2"/>
  <c r="B97" i="2"/>
  <c r="A97" i="2"/>
  <c r="G497" i="2"/>
  <c r="F497" i="2"/>
  <c r="E497" i="2"/>
  <c r="D497" i="2"/>
  <c r="C497" i="2"/>
  <c r="B497" i="2"/>
  <c r="A497" i="2"/>
  <c r="G754" i="2"/>
  <c r="F754" i="2"/>
  <c r="E754" i="2"/>
  <c r="D754" i="2"/>
  <c r="C754" i="2"/>
  <c r="B754" i="2"/>
  <c r="A754" i="2"/>
  <c r="G251" i="2"/>
  <c r="F251" i="2"/>
  <c r="E251" i="2"/>
  <c r="D251" i="2"/>
  <c r="C251" i="2"/>
  <c r="B251" i="2"/>
  <c r="A251" i="2"/>
  <c r="G778" i="2"/>
  <c r="F778" i="2"/>
  <c r="E778" i="2"/>
  <c r="D778" i="2"/>
  <c r="C778" i="2"/>
  <c r="B778" i="2"/>
  <c r="A778" i="2"/>
  <c r="G1260" i="2"/>
  <c r="D1260" i="2"/>
  <c r="C1260" i="2"/>
  <c r="B1260" i="2"/>
  <c r="A1260" i="2"/>
  <c r="G208" i="2"/>
  <c r="F208" i="2"/>
  <c r="E208" i="2"/>
  <c r="D208" i="2"/>
  <c r="C208" i="2"/>
  <c r="B208" i="2"/>
  <c r="A208" i="2"/>
  <c r="G886" i="2"/>
  <c r="F886" i="2"/>
  <c r="E886" i="2"/>
  <c r="D886" i="2"/>
  <c r="C886" i="2"/>
  <c r="B886" i="2"/>
  <c r="A886" i="2"/>
  <c r="G179" i="2"/>
  <c r="F179" i="2"/>
  <c r="E179" i="2"/>
  <c r="D179" i="2"/>
  <c r="C179" i="2"/>
  <c r="B179" i="2"/>
  <c r="A179" i="2"/>
  <c r="G470" i="2"/>
  <c r="F470" i="2"/>
  <c r="E470" i="2"/>
  <c r="D470" i="2"/>
  <c r="C470" i="2"/>
  <c r="B470" i="2"/>
  <c r="A470" i="2"/>
  <c r="G32" i="2"/>
  <c r="F32" i="2"/>
  <c r="E32" i="2"/>
  <c r="D32" i="2"/>
  <c r="C32" i="2"/>
  <c r="B32" i="2"/>
  <c r="A32" i="2"/>
  <c r="G437" i="2"/>
  <c r="F437" i="2"/>
  <c r="E437" i="2"/>
  <c r="D437" i="2"/>
  <c r="C437" i="2"/>
  <c r="B437" i="2"/>
  <c r="A437" i="2"/>
  <c r="G640" i="2"/>
  <c r="F640" i="2"/>
  <c r="E640" i="2"/>
  <c r="D640" i="2"/>
  <c r="C640" i="2"/>
  <c r="B640" i="2"/>
  <c r="A640" i="2"/>
  <c r="G1156" i="2"/>
  <c r="F1156" i="2"/>
  <c r="E1156" i="2"/>
  <c r="D1156" i="2"/>
  <c r="C1156" i="2"/>
  <c r="B1156" i="2"/>
  <c r="A1156" i="2"/>
  <c r="G972" i="2"/>
  <c r="F972" i="2"/>
  <c r="E972" i="2"/>
  <c r="D972" i="2"/>
  <c r="C972" i="2"/>
  <c r="B972" i="2"/>
  <c r="A972" i="2"/>
  <c r="G1124" i="2"/>
  <c r="F1124" i="2"/>
  <c r="E1124" i="2"/>
  <c r="D1124" i="2"/>
  <c r="C1124" i="2"/>
  <c r="B1124" i="2"/>
  <c r="A1124" i="2"/>
  <c r="G529" i="2"/>
  <c r="F529" i="2"/>
  <c r="E529" i="2"/>
  <c r="D529" i="2"/>
  <c r="C529" i="2"/>
  <c r="B529" i="2"/>
  <c r="A529" i="2"/>
  <c r="G67" i="2"/>
  <c r="F67" i="2"/>
  <c r="E67" i="2"/>
  <c r="D67" i="2"/>
  <c r="C67" i="2"/>
  <c r="B67" i="2"/>
  <c r="A67" i="2"/>
  <c r="G52" i="2"/>
  <c r="F52" i="2"/>
  <c r="E52" i="2"/>
  <c r="D52" i="2"/>
  <c r="C52" i="2"/>
  <c r="B52" i="2"/>
  <c r="A52" i="2"/>
  <c r="G1259" i="2"/>
  <c r="D1259" i="2"/>
  <c r="C1259" i="2"/>
  <c r="B1259" i="2"/>
  <c r="A1259" i="2"/>
  <c r="G804" i="2"/>
  <c r="F804" i="2"/>
  <c r="E804" i="2"/>
  <c r="D804" i="2"/>
  <c r="C804" i="2"/>
  <c r="B804" i="2"/>
  <c r="A804" i="2"/>
  <c r="G280" i="2"/>
  <c r="F280" i="2"/>
  <c r="E280" i="2"/>
  <c r="D280" i="2"/>
  <c r="C280" i="2"/>
  <c r="B280" i="2"/>
  <c r="A280" i="2"/>
  <c r="G719" i="2"/>
  <c r="F719" i="2"/>
  <c r="E719" i="2"/>
  <c r="D719" i="2"/>
  <c r="C719" i="2"/>
  <c r="B719" i="2"/>
  <c r="A719" i="2"/>
  <c r="G878" i="2"/>
  <c r="F878" i="2"/>
  <c r="E878" i="2"/>
  <c r="D878" i="2"/>
  <c r="C878" i="2"/>
  <c r="B878" i="2"/>
  <c r="A878" i="2"/>
  <c r="G387" i="2"/>
  <c r="F387" i="2"/>
  <c r="E387" i="2"/>
  <c r="D387" i="2"/>
  <c r="C387" i="2"/>
  <c r="B387" i="2"/>
  <c r="A387" i="2"/>
  <c r="G153" i="2"/>
  <c r="F153" i="2"/>
  <c r="E153" i="2"/>
  <c r="D153" i="2"/>
  <c r="C153" i="2"/>
  <c r="B153" i="2"/>
  <c r="A153" i="2"/>
  <c r="G298" i="2"/>
  <c r="F298" i="2"/>
  <c r="E298" i="2"/>
  <c r="D298" i="2"/>
  <c r="C298" i="2"/>
  <c r="B298" i="2"/>
  <c r="A298" i="2"/>
  <c r="G1258" i="2"/>
  <c r="D1258" i="2"/>
  <c r="C1258" i="2"/>
  <c r="B1258" i="2"/>
  <c r="A1258" i="2"/>
  <c r="G652" i="2"/>
  <c r="F652" i="2"/>
  <c r="E652" i="2"/>
  <c r="D652" i="2"/>
  <c r="C652" i="2"/>
  <c r="B652" i="2"/>
  <c r="A652" i="2"/>
  <c r="G969" i="2"/>
  <c r="F969" i="2"/>
  <c r="E969" i="2"/>
  <c r="D969" i="2"/>
  <c r="C969" i="2"/>
  <c r="B969" i="2"/>
  <c r="A969" i="2"/>
  <c r="G402" i="2"/>
  <c r="F402" i="2"/>
  <c r="E402" i="2"/>
  <c r="D402" i="2"/>
  <c r="C402" i="2"/>
  <c r="B402" i="2"/>
  <c r="A402" i="2"/>
  <c r="G697" i="2"/>
  <c r="F697" i="2"/>
  <c r="E697" i="2"/>
  <c r="D697" i="2"/>
  <c r="C697" i="2"/>
  <c r="B697" i="2"/>
  <c r="A697" i="2"/>
  <c r="G849" i="2"/>
  <c r="F849" i="2"/>
  <c r="E849" i="2"/>
  <c r="D849" i="2"/>
  <c r="C849" i="2"/>
  <c r="B849" i="2"/>
  <c r="A849" i="2"/>
  <c r="G1257" i="2"/>
  <c r="D1257" i="2"/>
  <c r="C1257" i="2"/>
  <c r="B1257" i="2"/>
  <c r="A1257" i="2"/>
  <c r="G682" i="2"/>
  <c r="F682" i="2"/>
  <c r="E682" i="2"/>
  <c r="D682" i="2"/>
  <c r="C682" i="2"/>
  <c r="B682" i="2"/>
  <c r="A682" i="2"/>
  <c r="G158" i="2"/>
  <c r="F158" i="2"/>
  <c r="E158" i="2"/>
  <c r="D158" i="2"/>
  <c r="C158" i="2"/>
  <c r="B158" i="2"/>
  <c r="A158" i="2"/>
  <c r="G163" i="2"/>
  <c r="F163" i="2"/>
  <c r="E163" i="2"/>
  <c r="D163" i="2"/>
  <c r="C163" i="2"/>
  <c r="B163" i="2"/>
  <c r="A163" i="2"/>
  <c r="G340" i="2"/>
  <c r="F340" i="2"/>
  <c r="E340" i="2"/>
  <c r="D340" i="2"/>
  <c r="C340" i="2"/>
  <c r="B340" i="2"/>
  <c r="A340" i="2"/>
  <c r="G1256" i="2"/>
  <c r="D1256" i="2"/>
  <c r="C1256" i="2"/>
  <c r="B1256" i="2"/>
  <c r="A1256" i="2"/>
  <c r="G1123" i="2"/>
  <c r="F1123" i="2"/>
  <c r="E1123" i="2"/>
  <c r="D1123" i="2"/>
  <c r="C1123" i="2"/>
  <c r="B1123" i="2"/>
  <c r="A1123" i="2"/>
  <c r="G1074" i="2"/>
  <c r="F1074" i="2"/>
  <c r="E1074" i="2"/>
  <c r="D1074" i="2"/>
  <c r="C1074" i="2"/>
  <c r="B1074" i="2"/>
  <c r="A1074" i="2"/>
  <c r="G51" i="2"/>
  <c r="F51" i="2"/>
  <c r="E51" i="2"/>
  <c r="D51" i="2"/>
  <c r="C51" i="2"/>
  <c r="B51" i="2"/>
  <c r="A51" i="2"/>
  <c r="G769" i="2"/>
  <c r="F769" i="2"/>
  <c r="E769" i="2"/>
  <c r="D769" i="2"/>
  <c r="C769" i="2"/>
  <c r="B769" i="2"/>
  <c r="A769" i="2"/>
  <c r="G939" i="2"/>
  <c r="F939" i="2"/>
  <c r="E939" i="2"/>
  <c r="D939" i="2"/>
  <c r="C939" i="2"/>
  <c r="B939" i="2"/>
  <c r="A939" i="2"/>
  <c r="G768" i="2"/>
  <c r="F768" i="2"/>
  <c r="E768" i="2"/>
  <c r="D768" i="2"/>
  <c r="C768" i="2"/>
  <c r="B768" i="2"/>
  <c r="A768" i="2"/>
  <c r="G351" i="2"/>
  <c r="F351" i="2"/>
  <c r="E351" i="2"/>
  <c r="D351" i="2"/>
  <c r="C351" i="2"/>
  <c r="B351" i="2"/>
  <c r="A351" i="2"/>
  <c r="G973" i="2"/>
  <c r="F973" i="2"/>
  <c r="E973" i="2"/>
  <c r="D973" i="2"/>
  <c r="C973" i="2"/>
  <c r="B973" i="2"/>
  <c r="A973" i="2"/>
  <c r="G77" i="2"/>
  <c r="F77" i="2"/>
  <c r="E77" i="2"/>
  <c r="D77" i="2"/>
  <c r="C77" i="2"/>
  <c r="B77" i="2"/>
  <c r="A77" i="2"/>
  <c r="G1029" i="2"/>
  <c r="F1029" i="2"/>
  <c r="E1029" i="2"/>
  <c r="D1029" i="2"/>
  <c r="C1029" i="2"/>
  <c r="B1029" i="2"/>
  <c r="A1029" i="2"/>
  <c r="G1093" i="2"/>
  <c r="F1093" i="2"/>
  <c r="E1093" i="2"/>
  <c r="D1093" i="2"/>
  <c r="C1093" i="2"/>
  <c r="B1093" i="2"/>
  <c r="A1093" i="2"/>
  <c r="G1255" i="2"/>
  <c r="D1255" i="2"/>
  <c r="C1255" i="2"/>
  <c r="B1255" i="2"/>
  <c r="A1255" i="2"/>
  <c r="G188" i="2"/>
  <c r="F188" i="2"/>
  <c r="E188" i="2"/>
  <c r="D188" i="2"/>
  <c r="C188" i="2"/>
  <c r="B188" i="2"/>
  <c r="A188" i="2"/>
  <c r="G1254" i="2"/>
  <c r="D1254" i="2"/>
  <c r="C1254" i="2"/>
  <c r="B1254" i="2"/>
  <c r="A1254" i="2"/>
  <c r="G1253" i="2"/>
  <c r="D1253" i="2"/>
  <c r="C1253" i="2"/>
  <c r="B1253" i="2"/>
  <c r="A1253" i="2"/>
  <c r="G584" i="2"/>
  <c r="F584" i="2"/>
  <c r="E584" i="2"/>
  <c r="D584" i="2"/>
  <c r="C584" i="2"/>
  <c r="B584" i="2"/>
  <c r="A584" i="2"/>
  <c r="G313" i="2"/>
  <c r="F313" i="2"/>
  <c r="E313" i="2"/>
  <c r="D313" i="2"/>
  <c r="C313" i="2"/>
  <c r="B313" i="2"/>
  <c r="A313" i="2"/>
  <c r="G42" i="2"/>
  <c r="F42" i="2"/>
  <c r="E42" i="2"/>
  <c r="D42" i="2"/>
  <c r="C42" i="2"/>
  <c r="B42" i="2"/>
  <c r="A42" i="2"/>
  <c r="G364" i="2"/>
  <c r="F364" i="2"/>
  <c r="E364" i="2"/>
  <c r="D364" i="2"/>
  <c r="C364" i="2"/>
  <c r="B364" i="2"/>
  <c r="A364" i="2"/>
  <c r="G672" i="2"/>
  <c r="F672" i="2"/>
  <c r="E672" i="2"/>
  <c r="D672" i="2"/>
  <c r="C672" i="2"/>
  <c r="B672" i="2"/>
  <c r="A672" i="2"/>
  <c r="G537" i="2"/>
  <c r="F537" i="2"/>
  <c r="E537" i="2"/>
  <c r="D537" i="2"/>
  <c r="C537" i="2"/>
  <c r="B537" i="2"/>
  <c r="A537" i="2"/>
  <c r="G1252" i="2"/>
  <c r="D1252" i="2"/>
  <c r="C1252" i="2"/>
  <c r="B1252" i="2"/>
  <c r="A1252" i="2"/>
  <c r="G1068" i="2"/>
  <c r="F1068" i="2"/>
  <c r="E1068" i="2"/>
  <c r="D1068" i="2"/>
  <c r="C1068" i="2"/>
  <c r="B1068" i="2"/>
  <c r="A1068" i="2"/>
  <c r="G152" i="2"/>
  <c r="F152" i="2"/>
  <c r="E152" i="2"/>
  <c r="D152" i="2"/>
  <c r="C152" i="2"/>
  <c r="B152" i="2"/>
  <c r="A152" i="2"/>
  <c r="G1116" i="2"/>
  <c r="F1116" i="2"/>
  <c r="E1116" i="2"/>
  <c r="D1116" i="2"/>
  <c r="C1116" i="2"/>
  <c r="B1116" i="2"/>
  <c r="A1116" i="2"/>
  <c r="G911" i="2"/>
  <c r="F911" i="2"/>
  <c r="E911" i="2"/>
  <c r="D911" i="2"/>
  <c r="C911" i="2"/>
  <c r="B911" i="2"/>
  <c r="A911" i="2"/>
  <c r="G877" i="2"/>
  <c r="F877" i="2"/>
  <c r="E877" i="2"/>
  <c r="D877" i="2"/>
  <c r="C877" i="2"/>
  <c r="B877" i="2"/>
  <c r="A877" i="2"/>
  <c r="G1061" i="2"/>
  <c r="F1061" i="2"/>
  <c r="E1061" i="2"/>
  <c r="D1061" i="2"/>
  <c r="C1061" i="2"/>
  <c r="B1061" i="2"/>
  <c r="A1061" i="2"/>
  <c r="G162" i="2"/>
  <c r="F162" i="2"/>
  <c r="E162" i="2"/>
  <c r="D162" i="2"/>
  <c r="C162" i="2"/>
  <c r="B162" i="2"/>
  <c r="A162" i="2"/>
  <c r="G981" i="2"/>
  <c r="F981" i="2"/>
  <c r="E981" i="2"/>
  <c r="D981" i="2"/>
  <c r="C981" i="2"/>
  <c r="B981" i="2"/>
  <c r="A981" i="2"/>
  <c r="G501" i="2"/>
  <c r="F501" i="2"/>
  <c r="E501" i="2"/>
  <c r="D501" i="2"/>
  <c r="C501" i="2"/>
  <c r="B501" i="2"/>
  <c r="A501" i="2"/>
  <c r="G1251" i="2"/>
  <c r="D1251" i="2"/>
  <c r="C1251" i="2"/>
  <c r="B1251" i="2"/>
  <c r="A1251" i="2"/>
  <c r="G22" i="2"/>
  <c r="F22" i="2"/>
  <c r="E22" i="2"/>
  <c r="D22" i="2"/>
  <c r="C22" i="2"/>
  <c r="B22" i="2"/>
  <c r="A22" i="2"/>
  <c r="G126" i="2"/>
  <c r="F126" i="2"/>
  <c r="E126" i="2"/>
  <c r="D126" i="2"/>
  <c r="C126" i="2"/>
  <c r="B126" i="2"/>
  <c r="A126" i="2"/>
  <c r="G332" i="2"/>
  <c r="F332" i="2"/>
  <c r="E332" i="2"/>
  <c r="D332" i="2"/>
  <c r="C332" i="2"/>
  <c r="B332" i="2"/>
  <c r="A332" i="2"/>
  <c r="G730" i="2"/>
  <c r="F730" i="2"/>
  <c r="E730" i="2"/>
  <c r="D730" i="2"/>
  <c r="C730" i="2"/>
  <c r="B730" i="2"/>
  <c r="A730" i="2"/>
  <c r="G318" i="2"/>
  <c r="F318" i="2"/>
  <c r="E318" i="2"/>
  <c r="D318" i="2"/>
  <c r="C318" i="2"/>
  <c r="B318" i="2"/>
  <c r="A318" i="2"/>
  <c r="G415" i="2"/>
  <c r="F415" i="2"/>
  <c r="E415" i="2"/>
  <c r="D415" i="2"/>
  <c r="C415" i="2"/>
  <c r="B415" i="2"/>
  <c r="A415" i="2"/>
  <c r="G521" i="2"/>
  <c r="F521" i="2"/>
  <c r="E521" i="2"/>
  <c r="D521" i="2"/>
  <c r="C521" i="2"/>
  <c r="B521" i="2"/>
  <c r="A521" i="2"/>
  <c r="G226" i="2"/>
  <c r="F226" i="2"/>
  <c r="E226" i="2"/>
  <c r="D226" i="2"/>
  <c r="C226" i="2"/>
  <c r="B226" i="2"/>
  <c r="A226" i="2"/>
  <c r="G486" i="2"/>
  <c r="F486" i="2"/>
  <c r="E486" i="2"/>
  <c r="D486" i="2"/>
  <c r="C486" i="2"/>
  <c r="B486" i="2"/>
  <c r="A486" i="2"/>
  <c r="G834" i="2"/>
  <c r="F834" i="2"/>
  <c r="E834" i="2"/>
  <c r="D834" i="2"/>
  <c r="C834" i="2"/>
  <c r="B834" i="2"/>
  <c r="A834" i="2"/>
  <c r="G225" i="2"/>
  <c r="F225" i="2"/>
  <c r="E225" i="2"/>
  <c r="D225" i="2"/>
  <c r="C225" i="2"/>
  <c r="B225" i="2"/>
  <c r="A225" i="2"/>
  <c r="G436" i="2"/>
  <c r="F436" i="2"/>
  <c r="E436" i="2"/>
  <c r="D436" i="2"/>
  <c r="C436" i="2"/>
  <c r="B436" i="2"/>
  <c r="A436" i="2"/>
  <c r="G491" i="2"/>
  <c r="F491" i="2"/>
  <c r="E491" i="2"/>
  <c r="D491" i="2"/>
  <c r="C491" i="2"/>
  <c r="B491" i="2"/>
  <c r="A491" i="2"/>
  <c r="G435" i="2"/>
  <c r="F435" i="2"/>
  <c r="E435" i="2"/>
  <c r="D435" i="2"/>
  <c r="C435" i="2"/>
  <c r="B435" i="2"/>
  <c r="A435" i="2"/>
  <c r="G426" i="2"/>
  <c r="F426" i="2"/>
  <c r="E426" i="2"/>
  <c r="D426" i="2"/>
  <c r="C426" i="2"/>
  <c r="B426" i="2"/>
  <c r="A426" i="2"/>
  <c r="G412" i="2"/>
  <c r="F412" i="2"/>
  <c r="E412" i="2"/>
  <c r="D412" i="2"/>
  <c r="C412" i="2"/>
  <c r="B412" i="2"/>
  <c r="A412" i="2"/>
  <c r="G681" i="2"/>
  <c r="F681" i="2"/>
  <c r="E681" i="2"/>
  <c r="D681" i="2"/>
  <c r="C681" i="2"/>
  <c r="B681" i="2"/>
  <c r="A681" i="2"/>
  <c r="G706" i="2"/>
  <c r="F706" i="2"/>
  <c r="E706" i="2"/>
  <c r="D706" i="2"/>
  <c r="C706" i="2"/>
  <c r="B706" i="2"/>
  <c r="A706" i="2"/>
  <c r="G1250" i="2"/>
  <c r="D1250" i="2"/>
  <c r="C1250" i="2"/>
  <c r="B1250" i="2"/>
  <c r="A1250" i="2"/>
  <c r="G758" i="2"/>
  <c r="F758" i="2"/>
  <c r="E758" i="2"/>
  <c r="D758" i="2"/>
  <c r="C758" i="2"/>
  <c r="B758" i="2"/>
  <c r="A758" i="2"/>
  <c r="G942" i="2"/>
  <c r="F942" i="2"/>
  <c r="E942" i="2"/>
  <c r="D942" i="2"/>
  <c r="C942" i="2"/>
  <c r="B942" i="2"/>
  <c r="A942" i="2"/>
  <c r="G1194" i="2"/>
  <c r="F1194" i="2"/>
  <c r="E1194" i="2"/>
  <c r="D1194" i="2"/>
  <c r="C1194" i="2"/>
  <c r="B1194" i="2"/>
  <c r="A1194" i="2"/>
  <c r="G1043" i="2"/>
  <c r="F1043" i="2"/>
  <c r="E1043" i="2"/>
  <c r="D1043" i="2"/>
  <c r="C1043" i="2"/>
  <c r="B1043" i="2"/>
  <c r="A1043" i="2"/>
  <c r="G375" i="2"/>
  <c r="F375" i="2"/>
  <c r="E375" i="2"/>
  <c r="D375" i="2"/>
  <c r="C375" i="2"/>
  <c r="B375" i="2"/>
  <c r="A375" i="2"/>
  <c r="G1066" i="2"/>
  <c r="F1066" i="2"/>
  <c r="E1066" i="2"/>
  <c r="D1066" i="2"/>
  <c r="C1066" i="2"/>
  <c r="B1066" i="2"/>
  <c r="A1066" i="2"/>
  <c r="G384" i="2"/>
  <c r="F384" i="2"/>
  <c r="E384" i="2"/>
  <c r="D384" i="2"/>
  <c r="C384" i="2"/>
  <c r="B384" i="2"/>
  <c r="A384" i="2"/>
  <c r="G889" i="2"/>
  <c r="F889" i="2"/>
  <c r="E889" i="2"/>
  <c r="D889" i="2"/>
  <c r="C889" i="2"/>
  <c r="B889" i="2"/>
  <c r="A889" i="2"/>
  <c r="G363" i="2"/>
  <c r="F363" i="2"/>
  <c r="E363" i="2"/>
  <c r="D363" i="2"/>
  <c r="C363" i="2"/>
  <c r="B363" i="2"/>
  <c r="A363" i="2"/>
  <c r="G1009" i="2"/>
  <c r="F1009" i="2"/>
  <c r="E1009" i="2"/>
  <c r="D1009" i="2"/>
  <c r="C1009" i="2"/>
  <c r="B1009" i="2"/>
  <c r="A1009" i="2"/>
  <c r="G63" i="2"/>
  <c r="F63" i="2"/>
  <c r="E63" i="2"/>
  <c r="D63" i="2"/>
  <c r="C63" i="2"/>
  <c r="B63" i="2"/>
  <c r="A63" i="2"/>
  <c r="G418" i="2"/>
  <c r="F418" i="2"/>
  <c r="E418" i="2"/>
  <c r="D418" i="2"/>
  <c r="C418" i="2"/>
  <c r="B418" i="2"/>
  <c r="A418" i="2"/>
  <c r="G47" i="2"/>
  <c r="F47" i="2"/>
  <c r="E47" i="2"/>
  <c r="D47" i="2"/>
  <c r="C47" i="2"/>
  <c r="B47" i="2"/>
  <c r="A47" i="2"/>
  <c r="G610" i="2"/>
  <c r="F610" i="2"/>
  <c r="E610" i="2"/>
  <c r="D610" i="2"/>
  <c r="C610" i="2"/>
  <c r="B610" i="2"/>
  <c r="A610" i="2"/>
  <c r="G995" i="2"/>
  <c r="F995" i="2"/>
  <c r="E995" i="2"/>
  <c r="D995" i="2"/>
  <c r="C995" i="2"/>
  <c r="B995" i="2"/>
  <c r="A995" i="2"/>
  <c r="G447" i="2"/>
  <c r="F447" i="2"/>
  <c r="E447" i="2"/>
  <c r="D447" i="2"/>
  <c r="C447" i="2"/>
  <c r="B447" i="2"/>
  <c r="A447" i="2"/>
  <c r="G485" i="2"/>
  <c r="F485" i="2"/>
  <c r="E485" i="2"/>
  <c r="D485" i="2"/>
  <c r="C485" i="2"/>
  <c r="B485" i="2"/>
  <c r="A485" i="2"/>
  <c r="G133" i="2"/>
  <c r="F133" i="2"/>
  <c r="E133" i="2"/>
  <c r="D133" i="2"/>
  <c r="C133" i="2"/>
  <c r="B133" i="2"/>
  <c r="A133" i="2"/>
  <c r="G101" i="2"/>
  <c r="F101" i="2"/>
  <c r="E101" i="2"/>
  <c r="D101" i="2"/>
  <c r="C101" i="2"/>
  <c r="B101" i="2"/>
  <c r="A101" i="2"/>
  <c r="G168" i="2"/>
  <c r="F168" i="2"/>
  <c r="E168" i="2"/>
  <c r="D168" i="2"/>
  <c r="C168" i="2"/>
  <c r="B168" i="2"/>
  <c r="A168" i="2"/>
  <c r="G565" i="2"/>
  <c r="F565" i="2"/>
  <c r="E565" i="2"/>
  <c r="D565" i="2"/>
  <c r="C565" i="2"/>
  <c r="B565" i="2"/>
  <c r="A565" i="2"/>
  <c r="G151" i="2"/>
  <c r="F151" i="2"/>
  <c r="E151" i="2"/>
  <c r="D151" i="2"/>
  <c r="C151" i="2"/>
  <c r="B151" i="2"/>
  <c r="A151" i="2"/>
  <c r="G28" i="2"/>
  <c r="F28" i="2"/>
  <c r="E28" i="2"/>
  <c r="D28" i="2"/>
  <c r="C28" i="2"/>
  <c r="B28" i="2"/>
  <c r="A28" i="2"/>
  <c r="G1020" i="2"/>
  <c r="F1020" i="2"/>
  <c r="E1020" i="2"/>
  <c r="D1020" i="2"/>
  <c r="C1020" i="2"/>
  <c r="B1020" i="2"/>
  <c r="A1020" i="2"/>
  <c r="G971" i="2"/>
  <c r="F971" i="2"/>
  <c r="E971" i="2"/>
  <c r="D971" i="2"/>
  <c r="C971" i="2"/>
  <c r="B971" i="2"/>
  <c r="A971" i="2"/>
  <c r="G396" i="2"/>
  <c r="F396" i="2"/>
  <c r="E396" i="2"/>
  <c r="D396" i="2"/>
  <c r="C396" i="2"/>
  <c r="B396" i="2"/>
  <c r="A396" i="2"/>
  <c r="G184" i="2"/>
  <c r="F184" i="2"/>
  <c r="E184" i="2"/>
  <c r="D184" i="2"/>
  <c r="C184" i="2"/>
  <c r="B184" i="2"/>
  <c r="A184" i="2"/>
  <c r="G793" i="2"/>
  <c r="F793" i="2"/>
  <c r="E793" i="2"/>
  <c r="D793" i="2"/>
  <c r="C793" i="2"/>
  <c r="B793" i="2"/>
  <c r="A793" i="2"/>
  <c r="G17" i="2"/>
  <c r="F17" i="2"/>
  <c r="E17" i="2"/>
  <c r="D17" i="2"/>
  <c r="C17" i="2"/>
  <c r="B17" i="2"/>
  <c r="A17" i="2"/>
  <c r="G506" i="2"/>
  <c r="F506" i="2"/>
  <c r="E506" i="2"/>
  <c r="D506" i="2"/>
  <c r="C506" i="2"/>
  <c r="B506" i="2"/>
  <c r="A506" i="2"/>
  <c r="G935" i="2"/>
  <c r="F935" i="2"/>
  <c r="E935" i="2"/>
  <c r="D935" i="2"/>
  <c r="C935" i="2"/>
  <c r="B935" i="2"/>
  <c r="A935" i="2"/>
  <c r="G490" i="2"/>
  <c r="F490" i="2"/>
  <c r="E490" i="2"/>
  <c r="D490" i="2"/>
  <c r="C490" i="2"/>
  <c r="B490" i="2"/>
  <c r="A490" i="2"/>
  <c r="G711" i="2"/>
  <c r="F711" i="2"/>
  <c r="E711" i="2"/>
  <c r="D711" i="2"/>
  <c r="C711" i="2"/>
  <c r="B711" i="2"/>
  <c r="A711" i="2"/>
  <c r="G1106" i="2"/>
  <c r="F1106" i="2"/>
  <c r="E1106" i="2"/>
  <c r="D1106" i="2"/>
  <c r="C1106" i="2"/>
  <c r="B1106" i="2"/>
  <c r="A1106" i="2"/>
  <c r="G76" i="2"/>
  <c r="F76" i="2"/>
  <c r="E76" i="2"/>
  <c r="D76" i="2"/>
  <c r="C76" i="2"/>
  <c r="B76" i="2"/>
  <c r="A76" i="2"/>
  <c r="G1249" i="2"/>
  <c r="D1249" i="2"/>
  <c r="C1249" i="2"/>
  <c r="B1249" i="2"/>
  <c r="A1249" i="2"/>
  <c r="G1015" i="2"/>
  <c r="F1015" i="2"/>
  <c r="E1015" i="2"/>
  <c r="D1015" i="2"/>
  <c r="C1015" i="2"/>
  <c r="B1015" i="2"/>
  <c r="A1015" i="2"/>
  <c r="G275" i="2"/>
  <c r="F275" i="2"/>
  <c r="E275" i="2"/>
  <c r="D275" i="2"/>
  <c r="C275" i="2"/>
  <c r="B275" i="2"/>
  <c r="A275" i="2"/>
  <c r="G700" i="2"/>
  <c r="F700" i="2"/>
  <c r="E700" i="2"/>
  <c r="D700" i="2"/>
  <c r="C700" i="2"/>
  <c r="B700" i="2"/>
  <c r="A700" i="2"/>
  <c r="G739" i="2"/>
  <c r="F739" i="2"/>
  <c r="E739" i="2"/>
  <c r="D739" i="2"/>
  <c r="C739" i="2"/>
  <c r="B739" i="2"/>
  <c r="A739" i="2"/>
  <c r="G783" i="2"/>
  <c r="F783" i="2"/>
  <c r="E783" i="2"/>
  <c r="D783" i="2"/>
  <c r="C783" i="2"/>
  <c r="B783" i="2"/>
  <c r="A783" i="2"/>
  <c r="G749" i="2"/>
  <c r="F749" i="2"/>
  <c r="E749" i="2"/>
  <c r="D749" i="2"/>
  <c r="C749" i="2"/>
  <c r="B749" i="2"/>
  <c r="A749" i="2"/>
  <c r="G479" i="2"/>
  <c r="F479" i="2"/>
  <c r="E479" i="2"/>
  <c r="D479" i="2"/>
  <c r="C479" i="2"/>
  <c r="B479" i="2"/>
  <c r="A479" i="2"/>
  <c r="G1004" i="2"/>
  <c r="F1004" i="2"/>
  <c r="E1004" i="2"/>
  <c r="D1004" i="2"/>
  <c r="C1004" i="2"/>
  <c r="B1004" i="2"/>
  <c r="A1004" i="2"/>
  <c r="G279" i="2"/>
  <c r="F279" i="2"/>
  <c r="E279" i="2"/>
  <c r="D279" i="2"/>
  <c r="C279" i="2"/>
  <c r="B279" i="2"/>
  <c r="A279" i="2"/>
  <c r="G478" i="2"/>
  <c r="F478" i="2"/>
  <c r="E478" i="2"/>
  <c r="D478" i="2"/>
  <c r="C478" i="2"/>
  <c r="B478" i="2"/>
  <c r="A478" i="2"/>
  <c r="G705" i="2"/>
  <c r="F705" i="2"/>
  <c r="E705" i="2"/>
  <c r="D705" i="2"/>
  <c r="C705" i="2"/>
  <c r="B705" i="2"/>
  <c r="A705" i="2"/>
  <c r="G88" i="2"/>
  <c r="F88" i="2"/>
  <c r="E88" i="2"/>
  <c r="D88" i="2"/>
  <c r="C88" i="2"/>
  <c r="B88" i="2"/>
  <c r="A88" i="2"/>
  <c r="G710" i="2"/>
  <c r="F710" i="2"/>
  <c r="E710" i="2"/>
  <c r="D710" i="2"/>
  <c r="C710" i="2"/>
  <c r="B710" i="2"/>
  <c r="A710" i="2"/>
  <c r="G120" i="2"/>
  <c r="F120" i="2"/>
  <c r="E120" i="2"/>
  <c r="C120" i="2"/>
  <c r="B120" i="2"/>
  <c r="A120" i="2"/>
  <c r="G484" i="2"/>
  <c r="F484" i="2"/>
  <c r="E484" i="2"/>
  <c r="D484" i="2"/>
  <c r="C484" i="2"/>
  <c r="B484" i="2"/>
  <c r="A484" i="2"/>
  <c r="G961" i="2"/>
  <c r="F961" i="2"/>
  <c r="E961" i="2"/>
  <c r="D961" i="2"/>
  <c r="C961" i="2"/>
  <c r="B961" i="2"/>
  <c r="A961" i="2"/>
  <c r="G406" i="2"/>
  <c r="F406" i="2"/>
  <c r="E406" i="2"/>
  <c r="D406" i="2"/>
  <c r="C406" i="2"/>
  <c r="B406" i="2"/>
  <c r="A406" i="2"/>
  <c r="G438" i="2"/>
  <c r="F438" i="2"/>
  <c r="E438" i="2"/>
  <c r="D438" i="2"/>
  <c r="C438" i="2"/>
  <c r="B438" i="2"/>
  <c r="A438" i="2"/>
  <c r="G864" i="2"/>
  <c r="F864" i="2"/>
  <c r="E864" i="2"/>
  <c r="D864" i="2"/>
  <c r="C864" i="2"/>
  <c r="B864" i="2"/>
  <c r="A864" i="2"/>
  <c r="G278" i="2"/>
  <c r="F278" i="2"/>
  <c r="E278" i="2"/>
  <c r="D278" i="2"/>
  <c r="C278" i="2"/>
  <c r="B278" i="2"/>
  <c r="A278" i="2"/>
  <c r="G922" i="2"/>
  <c r="F922" i="2"/>
  <c r="E922" i="2"/>
  <c r="D922" i="2"/>
  <c r="C922" i="2"/>
  <c r="B922" i="2"/>
  <c r="A922" i="2"/>
  <c r="G1248" i="2"/>
  <c r="D1248" i="2"/>
  <c r="C1248" i="2"/>
  <c r="B1248" i="2"/>
  <c r="A1248" i="2"/>
  <c r="G1247" i="2"/>
  <c r="D1247" i="2"/>
  <c r="C1247" i="2"/>
  <c r="B1247" i="2"/>
  <c r="A1247" i="2"/>
  <c r="G1246" i="2"/>
  <c r="D1246" i="2"/>
  <c r="C1246" i="2"/>
  <c r="B1246" i="2"/>
  <c r="A1246" i="2"/>
  <c r="G1245" i="2"/>
  <c r="D1245" i="2"/>
  <c r="C1245" i="2"/>
  <c r="B1245" i="2"/>
  <c r="A1245" i="2"/>
  <c r="G989" i="2"/>
  <c r="F989" i="2"/>
  <c r="E989" i="2"/>
  <c r="D989" i="2"/>
  <c r="C989" i="2"/>
  <c r="B989" i="2"/>
  <c r="A989" i="2"/>
  <c r="G690" i="2"/>
  <c r="F690" i="2"/>
  <c r="E690" i="2"/>
  <c r="D690" i="2"/>
  <c r="C690" i="2"/>
  <c r="B690" i="2"/>
  <c r="A690" i="2"/>
  <c r="G525" i="2"/>
  <c r="F525" i="2"/>
  <c r="E525" i="2"/>
  <c r="D525" i="2"/>
  <c r="C525" i="2"/>
  <c r="B525" i="2"/>
  <c r="A525" i="2"/>
  <c r="G1159" i="2"/>
  <c r="F1159" i="2"/>
  <c r="E1159" i="2"/>
  <c r="D1159" i="2"/>
  <c r="C1159" i="2"/>
  <c r="B1159" i="2"/>
  <c r="A1159" i="2"/>
  <c r="G157" i="2"/>
  <c r="F157" i="2"/>
  <c r="E157" i="2"/>
  <c r="D157" i="2"/>
  <c r="C157" i="2"/>
  <c r="B157" i="2"/>
  <c r="A157" i="2"/>
  <c r="G977" i="2"/>
  <c r="F977" i="2"/>
  <c r="E977" i="2"/>
  <c r="D977" i="2"/>
  <c r="C977" i="2"/>
  <c r="B977" i="2"/>
  <c r="A977" i="2"/>
  <c r="G569" i="2"/>
  <c r="F569" i="2"/>
  <c r="E569" i="2"/>
  <c r="D569" i="2"/>
  <c r="C569" i="2"/>
  <c r="B569" i="2"/>
  <c r="A569" i="2"/>
  <c r="G16" i="2"/>
  <c r="F16" i="2"/>
  <c r="E16" i="2"/>
  <c r="D16" i="2"/>
  <c r="C16" i="2"/>
  <c r="B16" i="2"/>
  <c r="A16" i="2"/>
  <c r="G285" i="2"/>
  <c r="F285" i="2"/>
  <c r="E285" i="2"/>
  <c r="D285" i="2"/>
  <c r="C285" i="2"/>
  <c r="B285" i="2"/>
  <c r="A285" i="2"/>
  <c r="G605" i="2"/>
  <c r="F605" i="2"/>
  <c r="E605" i="2"/>
  <c r="D605" i="2"/>
  <c r="C605" i="2"/>
  <c r="B605" i="2"/>
  <c r="A605" i="2"/>
  <c r="G1244" i="2"/>
  <c r="D1244" i="2"/>
  <c r="C1244" i="2"/>
  <c r="B1244" i="2"/>
  <c r="A1244" i="2"/>
  <c r="G876" i="2"/>
  <c r="F876" i="2"/>
  <c r="E876" i="2"/>
  <c r="D876" i="2"/>
  <c r="C876" i="2"/>
  <c r="B876" i="2"/>
  <c r="A876" i="2"/>
  <c r="G362" i="2"/>
  <c r="F362" i="2"/>
  <c r="E362" i="2"/>
  <c r="D362" i="2"/>
  <c r="C362" i="2"/>
  <c r="B362" i="2"/>
  <c r="A362" i="2"/>
  <c r="G1243" i="2"/>
  <c r="D1243" i="2"/>
  <c r="C1243" i="2"/>
  <c r="B1243" i="2"/>
  <c r="A1243" i="2"/>
  <c r="G297" i="2"/>
  <c r="F297" i="2"/>
  <c r="E297" i="2"/>
  <c r="D297" i="2"/>
  <c r="C297" i="2"/>
  <c r="B297" i="2"/>
  <c r="A297" i="2"/>
  <c r="G1242" i="2"/>
  <c r="D1242" i="2"/>
  <c r="C1242" i="2"/>
  <c r="B1242" i="2"/>
  <c r="A1242" i="2"/>
  <c r="G425" i="2"/>
  <c r="F425" i="2"/>
  <c r="E425" i="2"/>
  <c r="D425" i="2"/>
  <c r="C425" i="2"/>
  <c r="B425" i="2"/>
  <c r="A425" i="2"/>
  <c r="G496" i="2"/>
  <c r="F496" i="2"/>
  <c r="E496" i="2"/>
  <c r="D496" i="2"/>
  <c r="C496" i="2"/>
  <c r="B496" i="2"/>
  <c r="A496" i="2"/>
  <c r="G696" i="2"/>
  <c r="F696" i="2"/>
  <c r="E696" i="2"/>
  <c r="D696" i="2"/>
  <c r="C696" i="2"/>
  <c r="B696" i="2"/>
  <c r="A696" i="2"/>
  <c r="G489" i="2"/>
  <c r="F489" i="2"/>
  <c r="E489" i="2"/>
  <c r="D489" i="2"/>
  <c r="C489" i="2"/>
  <c r="B489" i="2"/>
  <c r="A489" i="2"/>
  <c r="G173" i="2"/>
  <c r="F173" i="2"/>
  <c r="E173" i="2"/>
  <c r="D173" i="2"/>
  <c r="C173" i="2"/>
  <c r="B173" i="2"/>
  <c r="A173" i="2"/>
  <c r="G178" i="2"/>
  <c r="F178" i="2"/>
  <c r="E178" i="2"/>
  <c r="D178" i="2"/>
  <c r="C178" i="2"/>
  <c r="B178" i="2"/>
  <c r="A178" i="2"/>
  <c r="G1145" i="2"/>
  <c r="F1145" i="2"/>
  <c r="E1145" i="2"/>
  <c r="D1145" i="2"/>
  <c r="C1145" i="2"/>
  <c r="B1145" i="2"/>
  <c r="A1145" i="2"/>
  <c r="G401" i="2"/>
  <c r="F401" i="2"/>
  <c r="E401" i="2"/>
  <c r="D401" i="2"/>
  <c r="C401" i="2"/>
  <c r="B401" i="2"/>
  <c r="A401" i="2"/>
  <c r="G593" i="2"/>
  <c r="F593" i="2"/>
  <c r="E593" i="2"/>
  <c r="D593" i="2"/>
  <c r="C593" i="2"/>
  <c r="B593" i="2"/>
  <c r="A593" i="2"/>
  <c r="G370" i="2"/>
  <c r="F370" i="2"/>
  <c r="E370" i="2"/>
  <c r="D370" i="2"/>
  <c r="C370" i="2"/>
  <c r="B370" i="2"/>
  <c r="A370" i="2"/>
  <c r="G930" i="2"/>
  <c r="F930" i="2"/>
  <c r="E930" i="2"/>
  <c r="D930" i="2"/>
  <c r="C930" i="2"/>
  <c r="B930" i="2"/>
  <c r="A930" i="2"/>
  <c r="G564" i="2"/>
  <c r="F564" i="2"/>
  <c r="E564" i="2"/>
  <c r="D564" i="2"/>
  <c r="C564" i="2"/>
  <c r="B564" i="2"/>
  <c r="A564" i="2"/>
  <c r="G839" i="2"/>
  <c r="F839" i="2"/>
  <c r="E839" i="2"/>
  <c r="D839" i="2"/>
  <c r="C839" i="2"/>
  <c r="B839" i="2"/>
  <c r="A839" i="2"/>
  <c r="G623" i="2"/>
  <c r="F623" i="2"/>
  <c r="E623" i="2"/>
  <c r="D623" i="2"/>
  <c r="C623" i="2"/>
  <c r="B623" i="2"/>
  <c r="A623" i="2"/>
  <c r="G1193" i="2"/>
  <c r="F1193" i="2"/>
  <c r="E1193" i="2"/>
  <c r="D1193" i="2"/>
  <c r="C1193" i="2"/>
  <c r="B1193" i="2"/>
  <c r="A1193" i="2"/>
  <c r="G289" i="2"/>
  <c r="F289" i="2"/>
  <c r="E289" i="2"/>
  <c r="D289" i="2"/>
  <c r="C289" i="2"/>
  <c r="B289" i="2"/>
  <c r="A289" i="2"/>
  <c r="G429" i="2"/>
  <c r="F429" i="2"/>
  <c r="E429" i="2"/>
  <c r="D429" i="2"/>
  <c r="C429" i="2"/>
  <c r="B429" i="2"/>
  <c r="A429" i="2"/>
  <c r="G620" i="2"/>
  <c r="F620" i="2"/>
  <c r="E620" i="2"/>
  <c r="D620" i="2"/>
  <c r="C620" i="2"/>
  <c r="B620" i="2"/>
  <c r="A620" i="2"/>
  <c r="G1188" i="2"/>
  <c r="F1188" i="2"/>
  <c r="E1188" i="2"/>
  <c r="D1188" i="2"/>
  <c r="C1188" i="2"/>
  <c r="B1188" i="2"/>
  <c r="A1188" i="2"/>
  <c r="G446" i="2"/>
  <c r="F446" i="2"/>
  <c r="E446" i="2"/>
  <c r="D446" i="2"/>
  <c r="C446" i="2"/>
  <c r="B446" i="2"/>
  <c r="A446" i="2"/>
  <c r="G12" i="2"/>
  <c r="F12" i="2"/>
  <c r="E12" i="2"/>
  <c r="D12" i="2"/>
  <c r="C12" i="2"/>
  <c r="B12" i="2"/>
  <c r="A12" i="2"/>
  <c r="G619" i="2"/>
  <c r="F619" i="2"/>
  <c r="E619" i="2"/>
  <c r="D619" i="2"/>
  <c r="C619" i="2"/>
  <c r="B619" i="2"/>
  <c r="A619" i="2"/>
  <c r="G411" i="2"/>
  <c r="F411" i="2"/>
  <c r="E411" i="2"/>
  <c r="D411" i="2"/>
  <c r="C411" i="2"/>
  <c r="B411" i="2"/>
  <c r="A411" i="2"/>
  <c r="G1241" i="2"/>
  <c r="D1241" i="2"/>
  <c r="C1241" i="2"/>
  <c r="B1241" i="2"/>
  <c r="A1241" i="2"/>
  <c r="G1240" i="2"/>
  <c r="D1240" i="2"/>
  <c r="C1240" i="2"/>
  <c r="B1240" i="2"/>
  <c r="A1240" i="2"/>
  <c r="G1239" i="2"/>
  <c r="D1239" i="2"/>
  <c r="C1239" i="2"/>
  <c r="B1239" i="2"/>
  <c r="A1239" i="2"/>
  <c r="G1238" i="2"/>
  <c r="D1238" i="2"/>
  <c r="C1238" i="2"/>
  <c r="B1238" i="2"/>
  <c r="A1238" i="2"/>
  <c r="G1237" i="2"/>
  <c r="D1237" i="2"/>
  <c r="C1237" i="2"/>
  <c r="B1237" i="2"/>
  <c r="A1237" i="2"/>
  <c r="G1079" i="2"/>
  <c r="F1079" i="2"/>
  <c r="E1079" i="2"/>
  <c r="D1079" i="2"/>
  <c r="C1079" i="2"/>
  <c r="B1079" i="2"/>
  <c r="A1079" i="2"/>
  <c r="G469" i="2"/>
  <c r="F469" i="2"/>
  <c r="E469" i="2"/>
  <c r="D469" i="2"/>
  <c r="C469" i="2"/>
  <c r="B469" i="2"/>
  <c r="A469" i="2"/>
  <c r="G695" i="2"/>
  <c r="F695" i="2"/>
  <c r="E695" i="2"/>
  <c r="D695" i="2"/>
  <c r="C695" i="2"/>
  <c r="B695" i="2"/>
  <c r="A695" i="2"/>
  <c r="G1144" i="2"/>
  <c r="F1144" i="2"/>
  <c r="E1144" i="2"/>
  <c r="D1144" i="2"/>
  <c r="C1144" i="2"/>
  <c r="B1144" i="2"/>
  <c r="A1144" i="2"/>
  <c r="G1092" i="2"/>
  <c r="F1092" i="2"/>
  <c r="E1092" i="2"/>
  <c r="D1092" i="2"/>
  <c r="C1092" i="2"/>
  <c r="B1092" i="2"/>
  <c r="A1092" i="2"/>
  <c r="G150" i="2"/>
  <c r="F150" i="2"/>
  <c r="E150" i="2"/>
  <c r="D150" i="2"/>
  <c r="C150" i="2"/>
  <c r="B150" i="2"/>
  <c r="A150" i="2"/>
  <c r="G302" i="2"/>
  <c r="F302" i="2"/>
  <c r="E302" i="2"/>
  <c r="D302" i="2"/>
  <c r="C302" i="2"/>
  <c r="B302" i="2"/>
  <c r="A302" i="2"/>
  <c r="G604" i="2"/>
  <c r="F604" i="2"/>
  <c r="E604" i="2"/>
  <c r="D604" i="2"/>
  <c r="C604" i="2"/>
  <c r="B604" i="2"/>
  <c r="A604" i="2"/>
  <c r="G635" i="2"/>
  <c r="F635" i="2"/>
  <c r="E635" i="2"/>
  <c r="D635" i="2"/>
  <c r="C635" i="2"/>
  <c r="B635" i="2"/>
  <c r="A635" i="2"/>
  <c r="G880" i="2"/>
  <c r="F880" i="2"/>
  <c r="E880" i="2"/>
  <c r="D880" i="2"/>
  <c r="C880" i="2"/>
  <c r="B880" i="2"/>
  <c r="A880" i="2"/>
  <c r="G1236" i="2"/>
  <c r="D1236" i="2"/>
  <c r="C1236" i="2"/>
  <c r="B1236" i="2"/>
  <c r="A1236" i="2"/>
  <c r="G1235" i="2"/>
  <c r="D1235" i="2"/>
  <c r="C1235" i="2"/>
  <c r="B1235" i="2"/>
  <c r="A1235" i="2"/>
  <c r="G1234" i="2"/>
  <c r="D1234" i="2"/>
  <c r="C1234" i="2"/>
  <c r="B1234" i="2"/>
  <c r="A1234" i="2"/>
  <c r="G854" i="2"/>
  <c r="F854" i="2"/>
  <c r="E854" i="2"/>
  <c r="D854" i="2"/>
  <c r="C854" i="2"/>
  <c r="B854" i="2"/>
  <c r="A854" i="2"/>
  <c r="G1129" i="2"/>
  <c r="F1129" i="2"/>
  <c r="E1129" i="2"/>
  <c r="D1129" i="2"/>
  <c r="C1129" i="2"/>
  <c r="B1129" i="2"/>
  <c r="A1129" i="2"/>
  <c r="G456" i="2"/>
  <c r="F456" i="2"/>
  <c r="E456" i="2"/>
  <c r="D456" i="2"/>
  <c r="C456" i="2"/>
  <c r="B456" i="2"/>
  <c r="A456" i="2"/>
  <c r="G263" i="2"/>
  <c r="F263" i="2"/>
  <c r="E263" i="2"/>
  <c r="D263" i="2"/>
  <c r="C263" i="2"/>
  <c r="B263" i="2"/>
  <c r="A263" i="2"/>
  <c r="G609" i="2"/>
  <c r="F609" i="2"/>
  <c r="E609" i="2"/>
  <c r="D609" i="2"/>
  <c r="C609" i="2"/>
  <c r="B609" i="2"/>
  <c r="A609" i="2"/>
  <c r="G265" i="2"/>
  <c r="F265" i="2"/>
  <c r="E265" i="2"/>
  <c r="D265" i="2"/>
  <c r="C265" i="2"/>
  <c r="B265" i="2"/>
  <c r="A265" i="2"/>
  <c r="G859" i="2"/>
  <c r="F859" i="2"/>
  <c r="E859" i="2"/>
  <c r="D859" i="2"/>
  <c r="C859" i="2"/>
  <c r="B859" i="2"/>
  <c r="A859" i="2"/>
  <c r="G753" i="2"/>
  <c r="F753" i="2"/>
  <c r="E753" i="2"/>
  <c r="D753" i="2"/>
  <c r="C753" i="2"/>
  <c r="B753" i="2"/>
  <c r="A753" i="2"/>
  <c r="G1233" i="2"/>
  <c r="D1233" i="2"/>
  <c r="C1233" i="2"/>
  <c r="B1233" i="2"/>
  <c r="A1233" i="2"/>
  <c r="G237" i="2"/>
  <c r="F237" i="2"/>
  <c r="E237" i="2"/>
  <c r="D237" i="2"/>
  <c r="C237" i="2"/>
  <c r="B237" i="2"/>
  <c r="A237" i="2"/>
  <c r="G960" i="2"/>
  <c r="F960" i="2"/>
  <c r="E960" i="2"/>
  <c r="D960" i="2"/>
  <c r="C960" i="2"/>
  <c r="B960" i="2"/>
  <c r="A960" i="2"/>
  <c r="G795" i="2"/>
  <c r="F795" i="2"/>
  <c r="E795" i="2"/>
  <c r="D795" i="2"/>
  <c r="C795" i="2"/>
  <c r="B795" i="2"/>
  <c r="A795" i="2"/>
  <c r="G1232" i="2"/>
  <c r="D1232" i="2"/>
  <c r="C1232" i="2"/>
  <c r="B1232" i="2"/>
  <c r="A1232" i="2"/>
  <c r="G234" i="2"/>
  <c r="F234" i="2"/>
  <c r="E234" i="2"/>
  <c r="D234" i="2"/>
  <c r="C234" i="2"/>
  <c r="B234" i="2"/>
  <c r="A234" i="2"/>
  <c r="G246" i="2"/>
  <c r="F246" i="2"/>
  <c r="E246" i="2"/>
  <c r="D246" i="2"/>
  <c r="C246" i="2"/>
  <c r="B246" i="2"/>
  <c r="A246" i="2"/>
  <c r="G138" i="2"/>
  <c r="F138" i="2"/>
  <c r="E138" i="2"/>
  <c r="D138" i="2"/>
  <c r="C138" i="2"/>
  <c r="B138" i="2"/>
  <c r="A138" i="2"/>
  <c r="G137" i="2"/>
  <c r="F137" i="2"/>
  <c r="E137" i="2"/>
  <c r="D137" i="2"/>
  <c r="C137" i="2"/>
  <c r="B137" i="2"/>
  <c r="A137" i="2"/>
  <c r="G434" i="2"/>
  <c r="F434" i="2"/>
  <c r="E434" i="2"/>
  <c r="D434" i="2"/>
  <c r="C434" i="2"/>
  <c r="B434" i="2"/>
  <c r="A434" i="2"/>
  <c r="G904" i="2"/>
  <c r="F904" i="2"/>
  <c r="E904" i="2"/>
  <c r="D904" i="2"/>
  <c r="C904" i="2"/>
  <c r="B904" i="2"/>
  <c r="A904" i="2"/>
  <c r="G809" i="2"/>
  <c r="F809" i="2"/>
  <c r="E809" i="2"/>
  <c r="D809" i="2"/>
  <c r="C809" i="2"/>
  <c r="B809" i="2"/>
  <c r="A809" i="2"/>
  <c r="G556" i="2"/>
  <c r="F556" i="2"/>
  <c r="E556" i="2"/>
  <c r="D556" i="2"/>
  <c r="C556" i="2"/>
  <c r="B556" i="2"/>
  <c r="A556" i="2"/>
  <c r="G455" i="2"/>
  <c r="F455" i="2"/>
  <c r="E455" i="2"/>
  <c r="D455" i="2"/>
  <c r="C455" i="2"/>
  <c r="B455" i="2"/>
  <c r="A455" i="2"/>
  <c r="G1174" i="2"/>
  <c r="F1174" i="2"/>
  <c r="E1174" i="2"/>
  <c r="D1174" i="2"/>
  <c r="C1174" i="2"/>
  <c r="B1174" i="2"/>
  <c r="A1174" i="2"/>
  <c r="G1078" i="2"/>
  <c r="F1078" i="2"/>
  <c r="E1078" i="2"/>
  <c r="D1078" i="2"/>
  <c r="C1078" i="2"/>
  <c r="B1078" i="2"/>
  <c r="A1078" i="2"/>
  <c r="G1231" i="2"/>
  <c r="D1231" i="2"/>
  <c r="C1231" i="2"/>
  <c r="B1231" i="2"/>
  <c r="A1231" i="2"/>
  <c r="G117" i="2"/>
  <c r="F117" i="2"/>
  <c r="E117" i="2"/>
  <c r="D117" i="2"/>
  <c r="C117" i="2"/>
  <c r="B117" i="2"/>
  <c r="A117" i="2"/>
  <c r="G224" i="2"/>
  <c r="F224" i="2"/>
  <c r="E224" i="2"/>
  <c r="D224" i="2"/>
  <c r="C224" i="2"/>
  <c r="B224" i="2"/>
  <c r="A224" i="2"/>
  <c r="G392" i="2"/>
  <c r="F392" i="2"/>
  <c r="E392" i="2"/>
  <c r="D392" i="2"/>
  <c r="C392" i="2"/>
  <c r="B392" i="2"/>
  <c r="A392" i="2"/>
  <c r="G1230" i="2"/>
  <c r="D1230" i="2"/>
  <c r="C1230" i="2"/>
  <c r="B1230" i="2"/>
  <c r="A1230" i="2"/>
  <c r="G100" i="2"/>
  <c r="F100" i="2"/>
  <c r="E100" i="2"/>
  <c r="D100" i="2"/>
  <c r="C100" i="2"/>
  <c r="B100" i="2"/>
  <c r="A100" i="2"/>
  <c r="G1229" i="2"/>
  <c r="D1229" i="2"/>
  <c r="C1229" i="2"/>
  <c r="B1229" i="2"/>
  <c r="A1229" i="2"/>
  <c r="G647" i="2"/>
  <c r="F647" i="2"/>
  <c r="E647" i="2"/>
  <c r="D647" i="2"/>
  <c r="C647" i="2"/>
  <c r="B647" i="2"/>
  <c r="A647" i="2"/>
  <c r="G306" i="2"/>
  <c r="F306" i="2"/>
  <c r="E306" i="2"/>
  <c r="D306" i="2"/>
  <c r="C306" i="2"/>
  <c r="B306" i="2"/>
  <c r="A306" i="2"/>
  <c r="G8" i="2"/>
  <c r="F8" i="2"/>
  <c r="E8" i="2"/>
  <c r="D8" i="2"/>
  <c r="C8" i="2"/>
  <c r="B8" i="2"/>
  <c r="A8" i="2"/>
  <c r="G1034" i="2"/>
  <c r="F1034" i="2"/>
  <c r="E1034" i="2"/>
  <c r="D1034" i="2"/>
  <c r="C1034" i="2"/>
  <c r="B1034" i="2"/>
  <c r="A1034" i="2"/>
  <c r="G667" i="2"/>
  <c r="F667" i="2"/>
  <c r="E667" i="2"/>
  <c r="D667" i="2"/>
  <c r="C667" i="2"/>
  <c r="B667" i="2"/>
  <c r="A667" i="2"/>
  <c r="G321" i="2"/>
  <c r="F321" i="2"/>
  <c r="E321" i="2"/>
  <c r="D321" i="2"/>
  <c r="C321" i="2"/>
  <c r="B321" i="2"/>
  <c r="A321" i="2"/>
  <c r="G1158" i="2"/>
  <c r="F1158" i="2"/>
  <c r="E1158" i="2"/>
  <c r="D1158" i="2"/>
  <c r="C1158" i="2"/>
  <c r="B1158" i="2"/>
  <c r="A1158" i="2"/>
  <c r="G915" i="2"/>
  <c r="F915" i="2"/>
  <c r="E915" i="2"/>
  <c r="D915" i="2"/>
  <c r="C915" i="2"/>
  <c r="B915" i="2"/>
  <c r="A915" i="2"/>
  <c r="G207" i="2"/>
  <c r="F207" i="2"/>
  <c r="E207" i="2"/>
  <c r="D207" i="2"/>
  <c r="C207" i="2"/>
  <c r="B207" i="2"/>
  <c r="A207" i="2"/>
  <c r="G934" i="2"/>
  <c r="F934" i="2"/>
  <c r="E934" i="2"/>
  <c r="D934" i="2"/>
  <c r="C934" i="2"/>
  <c r="B934" i="2"/>
  <c r="A934" i="2"/>
  <c r="G885" i="2"/>
  <c r="F885" i="2"/>
  <c r="E885" i="2"/>
  <c r="D885" i="2"/>
  <c r="C885" i="2"/>
  <c r="B885" i="2"/>
  <c r="A885" i="2"/>
  <c r="G1228" i="2"/>
  <c r="C1228" i="2"/>
  <c r="B1228" i="2"/>
  <c r="A1228" i="2"/>
  <c r="G968" i="2"/>
  <c r="F968" i="2"/>
  <c r="E968" i="2"/>
  <c r="D968" i="2"/>
  <c r="C968" i="2"/>
  <c r="B968" i="2"/>
  <c r="A968" i="2"/>
  <c r="G994" i="2"/>
  <c r="F994" i="2"/>
  <c r="E994" i="2"/>
  <c r="D994" i="2"/>
  <c r="C994" i="2"/>
  <c r="B994" i="2"/>
  <c r="A994" i="2"/>
  <c r="G183" i="2"/>
  <c r="F183" i="2"/>
  <c r="E183" i="2"/>
  <c r="D183" i="2"/>
  <c r="C183" i="2"/>
  <c r="B183" i="2"/>
  <c r="A183" i="2"/>
  <c r="G1227" i="2"/>
  <c r="D1227" i="2"/>
  <c r="C1227" i="2"/>
  <c r="B1227" i="2"/>
  <c r="A1227" i="2"/>
  <c r="G1226" i="2"/>
  <c r="D1226" i="2"/>
  <c r="C1226" i="2"/>
  <c r="B1226" i="2"/>
  <c r="A1226" i="2"/>
  <c r="G534" i="2"/>
  <c r="F534" i="2"/>
  <c r="E534" i="2"/>
  <c r="D534" i="2"/>
  <c r="C534" i="2"/>
  <c r="B534" i="2"/>
  <c r="A534" i="2"/>
  <c r="G869" i="2"/>
  <c r="F869" i="2"/>
  <c r="E869" i="2"/>
  <c r="D869" i="2"/>
  <c r="C869" i="2"/>
  <c r="B869" i="2"/>
  <c r="A869" i="2"/>
  <c r="G274" i="2"/>
  <c r="F274" i="2"/>
  <c r="E274" i="2"/>
  <c r="D274" i="2"/>
  <c r="C274" i="2"/>
  <c r="B274" i="2"/>
  <c r="A274" i="2"/>
  <c r="G533" i="2"/>
  <c r="F533" i="2"/>
  <c r="E533" i="2"/>
  <c r="D533" i="2"/>
  <c r="C533" i="2"/>
  <c r="B533" i="2"/>
  <c r="A533" i="2"/>
  <c r="G1082" i="2"/>
  <c r="F1082" i="2"/>
  <c r="E1082" i="2"/>
  <c r="D1082" i="2"/>
  <c r="C1082" i="2"/>
  <c r="B1082" i="2"/>
  <c r="A1082" i="2"/>
  <c r="G964" i="2"/>
  <c r="F964" i="2"/>
  <c r="E964" i="2"/>
  <c r="D964" i="2"/>
  <c r="C964" i="2"/>
  <c r="B964" i="2"/>
  <c r="A964" i="2"/>
  <c r="G1053" i="2"/>
  <c r="F1053" i="2"/>
  <c r="E1053" i="2"/>
  <c r="D1053" i="2"/>
  <c r="C1053" i="2"/>
  <c r="B1053" i="2"/>
  <c r="A1053" i="2"/>
  <c r="G194" i="2"/>
  <c r="F194" i="2"/>
  <c r="E194" i="2"/>
  <c r="D194" i="2"/>
  <c r="C194" i="2"/>
  <c r="B194" i="2"/>
  <c r="A194" i="2"/>
  <c r="G250" i="2"/>
  <c r="F250" i="2"/>
  <c r="E250" i="2"/>
  <c r="D250" i="2"/>
  <c r="C250" i="2"/>
  <c r="B250" i="2"/>
  <c r="A250" i="2"/>
  <c r="G1225" i="2"/>
  <c r="D1225" i="2"/>
  <c r="C1225" i="2"/>
  <c r="B1225" i="2"/>
  <c r="A1225" i="2"/>
  <c r="G1224" i="2"/>
  <c r="D1224" i="2"/>
  <c r="C1224" i="2"/>
  <c r="B1224" i="2"/>
  <c r="A1224" i="2"/>
  <c r="G206" i="2"/>
  <c r="F206" i="2"/>
  <c r="E206" i="2"/>
  <c r="D206" i="2"/>
  <c r="C206" i="2"/>
  <c r="B206" i="2"/>
  <c r="A206" i="2"/>
  <c r="G997" i="2"/>
  <c r="F997" i="2"/>
  <c r="E997" i="2"/>
  <c r="D997" i="2"/>
  <c r="C997" i="2"/>
  <c r="B997" i="2"/>
  <c r="A997" i="2"/>
  <c r="G331" i="2"/>
  <c r="F331" i="2"/>
  <c r="E331" i="2"/>
  <c r="D331" i="2"/>
  <c r="C331" i="2"/>
  <c r="B331" i="2"/>
  <c r="A331" i="2"/>
  <c r="G520" i="2"/>
  <c r="F520" i="2"/>
  <c r="E520" i="2"/>
  <c r="D520" i="2"/>
  <c r="C520" i="2"/>
  <c r="B520" i="2"/>
  <c r="A520" i="2"/>
  <c r="G1048" i="2"/>
  <c r="F1048" i="2"/>
  <c r="E1048" i="2"/>
  <c r="D1048" i="2"/>
  <c r="C1048" i="2"/>
  <c r="B1048" i="2"/>
  <c r="A1048" i="2"/>
  <c r="G524" i="2"/>
  <c r="F524" i="2"/>
  <c r="E524" i="2"/>
  <c r="D524" i="2"/>
  <c r="C524" i="2"/>
  <c r="B524" i="2"/>
  <c r="A524" i="2"/>
  <c r="G1223" i="2"/>
  <c r="D1223" i="2"/>
  <c r="C1223" i="2"/>
  <c r="B1223" i="2"/>
  <c r="A1223" i="2"/>
  <c r="G993" i="2"/>
  <c r="F993" i="2"/>
  <c r="E993" i="2"/>
  <c r="D993" i="2"/>
  <c r="C993" i="2"/>
  <c r="B993" i="2"/>
  <c r="A993" i="2"/>
  <c r="G233" i="2"/>
  <c r="F233" i="2"/>
  <c r="E233" i="2"/>
  <c r="D233" i="2"/>
  <c r="C233" i="2"/>
  <c r="B233" i="2"/>
  <c r="A233" i="2"/>
  <c r="G1222" i="2"/>
  <c r="D1222" i="2"/>
  <c r="C1222" i="2"/>
  <c r="B1222" i="2"/>
  <c r="A1222" i="2"/>
  <c r="G483" i="2"/>
  <c r="F483" i="2"/>
  <c r="E483" i="2"/>
  <c r="D483" i="2"/>
  <c r="C483" i="2"/>
  <c r="B483" i="2"/>
  <c r="A483" i="2"/>
  <c r="G639" i="2"/>
  <c r="F639" i="2"/>
  <c r="E639" i="2"/>
  <c r="D639" i="2"/>
  <c r="C639" i="2"/>
  <c r="B639" i="2"/>
  <c r="A639" i="2"/>
  <c r="G258" i="2"/>
  <c r="F258" i="2"/>
  <c r="E258" i="2"/>
  <c r="D258" i="2"/>
  <c r="C258" i="2"/>
  <c r="B258" i="2"/>
  <c r="A258" i="2"/>
  <c r="G1221" i="2"/>
  <c r="D1221" i="2"/>
  <c r="C1221" i="2"/>
  <c r="B1221" i="2"/>
  <c r="A1221" i="2"/>
  <c r="G813" i="2"/>
  <c r="F813" i="2"/>
  <c r="E813" i="2"/>
  <c r="D813" i="2"/>
  <c r="C813" i="2"/>
  <c r="B813" i="2"/>
  <c r="A813" i="2"/>
  <c r="G1220" i="2"/>
  <c r="D1220" i="2"/>
  <c r="C1220" i="2"/>
  <c r="B1220" i="2"/>
  <c r="A1220" i="2"/>
  <c r="G763" i="2"/>
  <c r="F763" i="2"/>
  <c r="E763" i="2"/>
  <c r="D763" i="2"/>
  <c r="C763" i="2"/>
  <c r="B763" i="2"/>
  <c r="A763" i="2"/>
  <c r="G1155" i="2"/>
  <c r="F1155" i="2"/>
  <c r="E1155" i="2"/>
  <c r="D1155" i="2"/>
  <c r="C1155" i="2"/>
  <c r="B1155" i="2"/>
  <c r="A1155" i="2"/>
  <c r="G903" i="2"/>
  <c r="F903" i="2"/>
  <c r="E903" i="2"/>
  <c r="D903" i="2"/>
  <c r="C903" i="2"/>
  <c r="B903" i="2"/>
  <c r="A903" i="2"/>
  <c r="G532" i="2"/>
  <c r="F532" i="2"/>
  <c r="E532" i="2"/>
  <c r="D532" i="2"/>
  <c r="C532" i="2"/>
  <c r="B532" i="2"/>
  <c r="A532" i="2"/>
  <c r="G1219" i="2"/>
  <c r="D1219" i="2"/>
  <c r="C1219" i="2"/>
  <c r="B1219" i="2"/>
  <c r="A1219" i="2"/>
  <c r="G116" i="2"/>
  <c r="F116" i="2"/>
  <c r="E116" i="2"/>
  <c r="D116" i="2"/>
  <c r="C116" i="2"/>
  <c r="B116" i="2"/>
  <c r="A116" i="2"/>
  <c r="G15" i="2"/>
  <c r="F15" i="2"/>
  <c r="E15" i="2"/>
  <c r="D15" i="2"/>
  <c r="C15" i="2"/>
  <c r="B15" i="2"/>
  <c r="A15" i="2"/>
  <c r="G715" i="2"/>
  <c r="F715" i="2"/>
  <c r="E715" i="2"/>
  <c r="D715" i="2"/>
  <c r="C715" i="2"/>
  <c r="B715" i="2"/>
  <c r="A715" i="2"/>
  <c r="G875" i="2"/>
  <c r="F875" i="2"/>
  <c r="E875" i="2"/>
  <c r="D875" i="2"/>
  <c r="C875" i="2"/>
  <c r="B875" i="2"/>
  <c r="A875" i="2"/>
  <c r="G125" i="2"/>
  <c r="F125" i="2"/>
  <c r="E125" i="2"/>
  <c r="D125" i="2"/>
  <c r="C125" i="2"/>
  <c r="B125" i="2"/>
  <c r="A125" i="2"/>
  <c r="G976" i="2"/>
  <c r="F976" i="2"/>
  <c r="E976" i="2"/>
  <c r="D976" i="2"/>
  <c r="C976" i="2"/>
  <c r="B976" i="2"/>
  <c r="A976" i="2"/>
  <c r="G232" i="2"/>
  <c r="F232" i="2"/>
  <c r="E232" i="2"/>
  <c r="D232" i="2"/>
  <c r="C232" i="2"/>
  <c r="B232" i="2"/>
  <c r="A232" i="2"/>
  <c r="G383" i="2"/>
  <c r="F383" i="2"/>
  <c r="E383" i="2"/>
  <c r="D383" i="2"/>
  <c r="C383" i="2"/>
  <c r="B383" i="2"/>
  <c r="A383" i="2"/>
  <c r="G147" i="2"/>
  <c r="F147" i="2"/>
  <c r="E147" i="2"/>
  <c r="D147" i="2"/>
  <c r="C147" i="2"/>
  <c r="B147" i="2"/>
  <c r="A147" i="2"/>
  <c r="G264" i="2"/>
  <c r="F264" i="2"/>
  <c r="E264" i="2"/>
  <c r="D264" i="2"/>
  <c r="C264" i="2"/>
  <c r="B264" i="2"/>
  <c r="A264" i="2"/>
  <c r="G410" i="2"/>
  <c r="F410" i="2"/>
  <c r="E410" i="2"/>
  <c r="D410" i="2"/>
  <c r="C410" i="2"/>
  <c r="B410" i="2"/>
  <c r="A410" i="2"/>
  <c r="G1218" i="2"/>
  <c r="D1218" i="2"/>
  <c r="C1218" i="2"/>
  <c r="B1218" i="2"/>
  <c r="A1218" i="2"/>
  <c r="G1217" i="2"/>
  <c r="D1217" i="2"/>
  <c r="C1217" i="2"/>
  <c r="B1217" i="2"/>
  <c r="A1217" i="2"/>
  <c r="G37" i="2"/>
  <c r="F37" i="2"/>
  <c r="E37" i="2"/>
  <c r="D37" i="2"/>
  <c r="C37" i="2"/>
  <c r="B37" i="2"/>
  <c r="A37" i="2"/>
  <c r="G1143" i="2"/>
  <c r="F1143" i="2"/>
  <c r="E1143" i="2"/>
  <c r="D1143" i="2"/>
  <c r="C1143" i="2"/>
  <c r="B1143" i="2"/>
  <c r="A1143" i="2"/>
  <c r="G685" i="2"/>
  <c r="F685" i="2"/>
  <c r="E685" i="2"/>
  <c r="D685" i="2"/>
  <c r="C685" i="2"/>
  <c r="B685" i="2"/>
  <c r="A685" i="2"/>
  <c r="G115" i="2"/>
  <c r="F115" i="2"/>
  <c r="E115" i="2"/>
  <c r="D115" i="2"/>
  <c r="C115" i="2"/>
  <c r="B115" i="2"/>
  <c r="A115" i="2"/>
  <c r="G1216" i="2"/>
  <c r="D1216" i="2"/>
  <c r="C1216" i="2"/>
  <c r="B1216" i="2"/>
  <c r="A1216" i="2"/>
  <c r="G62" i="2"/>
  <c r="F62" i="2"/>
  <c r="E62" i="2"/>
  <c r="D62" i="2"/>
  <c r="C62" i="2"/>
  <c r="B62" i="2"/>
  <c r="A62" i="2"/>
  <c r="G1111" i="2"/>
  <c r="F1111" i="2"/>
  <c r="E1111" i="2"/>
  <c r="D1111" i="2"/>
  <c r="C1111" i="2"/>
  <c r="B1111" i="2"/>
  <c r="A1111" i="2"/>
  <c r="G599" i="2"/>
  <c r="F599" i="2"/>
  <c r="E599" i="2"/>
  <c r="D599" i="2"/>
  <c r="C599" i="2"/>
  <c r="B599" i="2"/>
  <c r="A599" i="2"/>
  <c r="G1215" i="2"/>
  <c r="D1215" i="2"/>
  <c r="C1215" i="2"/>
  <c r="B1215" i="2"/>
  <c r="A1215" i="2"/>
  <c r="G464" i="2"/>
  <c r="F464" i="2"/>
  <c r="E464" i="2"/>
  <c r="D464" i="2"/>
  <c r="C464" i="2"/>
  <c r="B464" i="2"/>
  <c r="A464" i="2"/>
  <c r="G929" i="2"/>
  <c r="F929" i="2"/>
  <c r="E929" i="2"/>
  <c r="D929" i="2"/>
  <c r="C929" i="2"/>
  <c r="B929" i="2"/>
  <c r="A929" i="2"/>
  <c r="G424" i="2"/>
  <c r="F424" i="2"/>
  <c r="E424" i="2"/>
  <c r="D424" i="2"/>
  <c r="C424" i="2"/>
  <c r="B424" i="2"/>
  <c r="A424" i="2"/>
  <c r="G748" i="2"/>
  <c r="F748" i="2"/>
  <c r="E748" i="2"/>
  <c r="D748" i="2"/>
  <c r="C748" i="2"/>
  <c r="B748" i="2"/>
  <c r="A748" i="2"/>
  <c r="G339" i="2"/>
  <c r="F339" i="2"/>
  <c r="E339" i="2"/>
  <c r="D339" i="2"/>
  <c r="C339" i="2"/>
  <c r="B339" i="2"/>
  <c r="A339" i="2"/>
  <c r="G7" i="2"/>
  <c r="F7" i="2"/>
  <c r="E7" i="2"/>
  <c r="D7" i="2"/>
  <c r="C7" i="2"/>
  <c r="B7" i="2"/>
  <c r="A7" i="2"/>
  <c r="G110" i="2"/>
  <c r="F110" i="2"/>
  <c r="E110" i="2"/>
  <c r="D110" i="2"/>
  <c r="C110" i="2"/>
  <c r="B110" i="2"/>
  <c r="A110" i="2"/>
  <c r="G550" i="2"/>
  <c r="F550" i="2"/>
  <c r="E550" i="2"/>
  <c r="D550" i="2"/>
  <c r="C550" i="2"/>
  <c r="B550" i="2"/>
  <c r="A550" i="2"/>
  <c r="G231" i="2"/>
  <c r="F231" i="2"/>
  <c r="E231" i="2"/>
  <c r="D231" i="2"/>
  <c r="C231" i="2"/>
  <c r="B231" i="2"/>
  <c r="A231" i="2"/>
  <c r="G1028" i="2"/>
  <c r="F1028" i="2"/>
  <c r="E1028" i="2"/>
  <c r="D1028" i="2"/>
  <c r="C1028" i="2"/>
  <c r="B1028" i="2"/>
  <c r="A1028" i="2"/>
  <c r="G167" i="2"/>
  <c r="F167" i="2"/>
  <c r="E167" i="2"/>
  <c r="D167" i="2"/>
  <c r="C167" i="2"/>
  <c r="B167" i="2"/>
  <c r="A167" i="2"/>
  <c r="G519" i="2"/>
  <c r="F519" i="2"/>
  <c r="E519" i="2"/>
  <c r="D519" i="2"/>
  <c r="C519" i="2"/>
  <c r="B519" i="2"/>
  <c r="A519" i="2"/>
  <c r="G1214" i="2"/>
  <c r="D1214" i="2"/>
  <c r="C1214" i="2"/>
  <c r="B1214" i="2"/>
  <c r="A1214" i="2"/>
  <c r="G193" i="2"/>
  <c r="F193" i="2"/>
  <c r="E193" i="2"/>
  <c r="D193" i="2"/>
  <c r="C193" i="2"/>
  <c r="B193" i="2"/>
  <c r="A193" i="2"/>
  <c r="G124" i="2"/>
  <c r="F124" i="2"/>
  <c r="E124" i="2"/>
  <c r="D124" i="2"/>
  <c r="C124" i="2"/>
  <c r="B124" i="2"/>
  <c r="A124" i="2"/>
  <c r="G273" i="2"/>
  <c r="F273" i="2"/>
  <c r="E273" i="2"/>
  <c r="D273" i="2"/>
  <c r="C273" i="2"/>
  <c r="B273" i="2"/>
  <c r="A273" i="2"/>
  <c r="G1213" i="2"/>
  <c r="D1213" i="2"/>
  <c r="C1213" i="2"/>
  <c r="B1213" i="2"/>
  <c r="A1213" i="2"/>
  <c r="G1128" i="2"/>
  <c r="F1128" i="2"/>
  <c r="E1128" i="2"/>
  <c r="D1128" i="2"/>
  <c r="C1128" i="2"/>
  <c r="B1128" i="2"/>
  <c r="A1128" i="2"/>
  <c r="G1212" i="2"/>
  <c r="D1212" i="2"/>
  <c r="C1212" i="2"/>
  <c r="B1212" i="2"/>
  <c r="A1212" i="2"/>
  <c r="G1211" i="2"/>
  <c r="D1211" i="2"/>
  <c r="C1211" i="2"/>
  <c r="B1211" i="2"/>
  <c r="A1211" i="2"/>
  <c r="G379" i="2"/>
  <c r="F379" i="2"/>
  <c r="E379" i="2"/>
  <c r="D379" i="2"/>
  <c r="C379" i="2"/>
  <c r="B379" i="2"/>
  <c r="A379" i="2"/>
  <c r="G938" i="2"/>
  <c r="F938" i="2"/>
  <c r="E938" i="2"/>
  <c r="D938" i="2"/>
  <c r="C938" i="2"/>
  <c r="B938" i="2"/>
  <c r="A938" i="2"/>
  <c r="G142" i="2"/>
  <c r="F142" i="2"/>
  <c r="E142" i="2"/>
  <c r="D142" i="2"/>
  <c r="C142" i="2"/>
  <c r="B142" i="2"/>
  <c r="A142" i="2"/>
  <c r="G825" i="2"/>
  <c r="F825" i="2"/>
  <c r="E825" i="2"/>
  <c r="D825" i="2"/>
  <c r="C825" i="2"/>
  <c r="B825" i="2"/>
  <c r="A825" i="2"/>
  <c r="G1210" i="2"/>
  <c r="D1210" i="2"/>
  <c r="C1210" i="2"/>
  <c r="B1210" i="2"/>
  <c r="A1210" i="2"/>
  <c r="G270" i="2"/>
  <c r="F270" i="2"/>
  <c r="E270" i="2"/>
  <c r="D270" i="2"/>
  <c r="C270" i="2"/>
  <c r="B270" i="2"/>
  <c r="A270" i="2"/>
  <c r="G1209" i="2"/>
  <c r="D1209" i="2"/>
  <c r="C1209" i="2"/>
  <c r="B1209" i="2"/>
  <c r="A1209" i="2"/>
  <c r="G21" i="2"/>
  <c r="F21" i="2"/>
  <c r="E21" i="2"/>
  <c r="D21" i="2"/>
  <c r="C21" i="2"/>
  <c r="B21" i="2"/>
  <c r="A21" i="2"/>
  <c r="G1142" i="2"/>
  <c r="F1142" i="2"/>
  <c r="E1142" i="2"/>
  <c r="D1142" i="2"/>
  <c r="C1142" i="2"/>
  <c r="B1142" i="2"/>
  <c r="A1142" i="2"/>
  <c r="G1208" i="2"/>
  <c r="D1208" i="2"/>
  <c r="C1208" i="2"/>
  <c r="B1208" i="2"/>
  <c r="A1208" i="2"/>
  <c r="G1073" i="2"/>
  <c r="F1073" i="2"/>
  <c r="E1073" i="2"/>
  <c r="D1073" i="2"/>
  <c r="C1073" i="2"/>
  <c r="B1073" i="2"/>
  <c r="A1073" i="2"/>
  <c r="G1033" i="2"/>
  <c r="F1033" i="2"/>
  <c r="E1033" i="2"/>
  <c r="D1033" i="2"/>
  <c r="C1033" i="2"/>
  <c r="B1033" i="2"/>
  <c r="A1033" i="2"/>
  <c r="G794" i="2"/>
  <c r="F794" i="2"/>
  <c r="E794" i="2"/>
  <c r="D794" i="2"/>
  <c r="C794" i="2"/>
  <c r="B794" i="2"/>
  <c r="A794" i="2"/>
  <c r="G1207" i="2"/>
  <c r="D1207" i="2"/>
  <c r="C1207" i="2"/>
  <c r="B1207" i="2"/>
  <c r="A1207" i="2"/>
  <c r="G1164" i="2"/>
  <c r="F1164" i="2"/>
  <c r="E1164" i="2"/>
  <c r="D1164" i="2"/>
  <c r="C1164" i="2"/>
  <c r="B1164" i="2"/>
  <c r="A1164" i="2"/>
  <c r="G2" i="2"/>
  <c r="F2" i="2"/>
  <c r="E2" i="2"/>
  <c r="D2" i="2"/>
  <c r="C2" i="2"/>
  <c r="B2" i="2"/>
  <c r="A2" i="2"/>
  <c r="G1" i="2"/>
  <c r="F1" i="2"/>
  <c r="E1" i="2"/>
  <c r="A1" i="2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opLeftCell="A2" workbookViewId="0"/>
  </sheetViews>
  <sheetFormatPr defaultColWidth="12.6640625" defaultRowHeight="15.75" customHeight="1" x14ac:dyDescent="0.25"/>
  <cols>
    <col min="1" max="1" width="27" customWidth="1"/>
    <col min="2" max="2" width="46.88671875" customWidth="1"/>
    <col min="3" max="3" width="40.21875" customWidth="1"/>
  </cols>
  <sheetData>
    <row r="1" spans="1:3" ht="13.2" hidden="1" x14ac:dyDescent="0.25">
      <c r="A1" s="1" t="str">
        <f ca="1">IFERROR(__xludf.DUMMYFUNCTION("IMPORTRANGE(""https://docs.google.com/spreadsheets/d/1nvspog6LPKkcgs7a7kL_zb1516hE_j9wPCTkxy26uQ4/edit?usp=sharing"",""'Команды'!B:B"")"),"")</f>
        <v/>
      </c>
      <c r="B1" s="1" t="str">
        <f ca="1">IFERROR(__xludf.DUMMYFUNCTION("IMPORTRANGE(""https://docs.google.com/spreadsheets/d/1nvspog6LPKkcgs7a7kL_zb1516hE_j9wPCTkxy26uQ4/edit?usp=sharing"",""'Команды'!C:C"")"),"")</f>
        <v/>
      </c>
      <c r="C1" s="2" t="str">
        <f ca="1">IFERROR(__xludf.DUMMYFUNCTION("IMPORTRANGE(""https://docs.google.com/spreadsheets/d/1nvspog6LPKkcgs7a7kL_zb1516hE_j9wPCTkxy26uQ4/edit?usp=sharing"",""'Команды'!Q:Q"")"),"")</f>
        <v/>
      </c>
    </row>
    <row r="2" spans="1:3" ht="105.6" x14ac:dyDescent="0.25">
      <c r="A2" s="3" t="str">
        <f ca="1">IFERROR(__xludf.DUMMYFUNCTION("""COMPUTED_VALUE"""),"Команда")</f>
        <v>Команда</v>
      </c>
      <c r="B2" s="3" t="str">
        <f ca="1">IFERROR(__xludf.DUMMYFUNCTION("""COMPUTED_VALUE"""),"Проект")</f>
        <v>Проект</v>
      </c>
      <c r="C2" s="4" t="str">
        <f ca="1">IFERROR(__xludf.DUMMYFUNCTION("""COMPUTED_VALUE"""),"Итоговая
ЭТО ТА ОЦЕНКА КОТОРАЯ В TEAMPROJECT ВСТАНЕТ В ""ОЦЕНКА ЭКСПЕРТНОЙ КОМИССИИ"", ДАЛЕЕ УМНОЖИТСЯ НА КОЭФФИЦИЕНТ УЧАСТИЯ И У КАЖДОГО СФОРМИРУЕТСЯ УЖЕ СВОЯ ОЦЕНКА")</f>
        <v>Итоговая
ЭТО ТА ОЦЕНКА КОТОРАЯ В TEAMPROJECT ВСТАНЕТ В "ОЦЕНКА ЭКСПЕРТНОЙ КОМИССИИ", ДАЛЕЕ УМНОЖИТСЯ НА КОЭФФИЦИЕНТ УЧАСТИЯ И У КАЖДОГО СФОРМИРУЕТСЯ УЖЕ СВОЯ ОЦЕНКА</v>
      </c>
    </row>
    <row r="3" spans="1:3" ht="13.2" x14ac:dyDescent="0.25">
      <c r="A3" s="1" t="str">
        <f ca="1">IFERROR(__xludf.DUMMYFUNCTION("""COMPUTED_VALUE"""),"«ППШС»")</f>
        <v>«ППШС»</v>
      </c>
      <c r="B3" s="1" t="str">
        <f ca="1">IFERROR(__xludf.DUMMYFUNCTION("""COMPUTED_VALUE"""),"Разработка социального проекта для людей с ограниченными возможностями Карьерный портал")</f>
        <v>Разработка социального проекта для людей с ограниченными возможностями Карьерный портал</v>
      </c>
      <c r="C3" s="2">
        <f ca="1">IFERROR(__xludf.DUMMYFUNCTION("""COMPUTED_VALUE"""),92)</f>
        <v>92</v>
      </c>
    </row>
    <row r="4" spans="1:3" ht="13.2" x14ac:dyDescent="0.25">
      <c r="A4" s="1" t="str">
        <f ca="1">IFERROR(__xludf.DUMMYFUNCTION("""COMPUTED_VALUE"""),"Бибисы")</f>
        <v>Бибисы</v>
      </c>
      <c r="B4" s="1" t="str">
        <f ca="1">IFERROR(__xludf.DUMMYFUNCTION("""COMPUTED_VALUE"""),"Разработка пошаговой 2D стратегии ""Приказ: Ликвидация"" (Unity)")</f>
        <v>Разработка пошаговой 2D стратегии "Приказ: Ликвидация" (Unity)</v>
      </c>
      <c r="C4" s="2">
        <f ca="1">IFERROR(__xludf.DUMMYFUNCTION("""COMPUTED_VALUE"""),94)</f>
        <v>94</v>
      </c>
    </row>
    <row r="5" spans="1:3" ht="13.2" x14ac:dyDescent="0.25">
      <c r="A5" s="1" t="str">
        <f ca="1">IFERROR(__xludf.DUMMYFUNCTION("""COMPUTED_VALUE"""),"Дрим-тим")</f>
        <v>Дрим-тим</v>
      </c>
      <c r="B5" s="1" t="str">
        <f ca="1">IFERROR(__xludf.DUMMYFUNCTION("""COMPUTED_VALUE"""),"Создание платформы для размещения образовательных игр")</f>
        <v>Создание платформы для размещения образовательных игр</v>
      </c>
      <c r="C5" s="2">
        <f ca="1">IFERROR(__xludf.DUMMYFUNCTION("""COMPUTED_VALUE"""),85)</f>
        <v>85</v>
      </c>
    </row>
    <row r="6" spans="1:3" ht="13.2" x14ac:dyDescent="0.25">
      <c r="A6" s="1" t="str">
        <f ca="1">IFERROR(__xludf.DUMMYFUNCTION("""COMPUTED_VALUE"""),"Ийотка")</f>
        <v>Ийотка</v>
      </c>
      <c r="B6" s="1" t="str">
        <f ca="1">IFERROR(__xludf.DUMMYFUNCTION("""COMPUTED_VALUE"""),"Разработка компьютерной игры ""Struggle For Salvation""")</f>
        <v>Разработка компьютерной игры "Struggle For Salvation"</v>
      </c>
      <c r="C6" s="2">
        <f ca="1">IFERROR(__xludf.DUMMYFUNCTION("""COMPUTED_VALUE"""),95)</f>
        <v>95</v>
      </c>
    </row>
    <row r="7" spans="1:3" ht="13.2" x14ac:dyDescent="0.25">
      <c r="A7" s="1" t="str">
        <f ca="1">IFERROR(__xludf.DUMMYFUNCTION("""COMPUTED_VALUE"""),"Кабанчики")</f>
        <v>Кабанчики</v>
      </c>
      <c r="B7" s="1" t="str">
        <f ca="1">IFERROR(__xludf.DUMMYFUNCTION("""COMPUTED_VALUE"""),"Создание игры Runegeon")</f>
        <v>Создание игры Runegeon</v>
      </c>
      <c r="C7" s="2">
        <f ca="1">IFERROR(__xludf.DUMMYFUNCTION("""COMPUTED_VALUE"""),96.6666666666666)</f>
        <v>96.6666666666666</v>
      </c>
    </row>
    <row r="8" spans="1:3" ht="13.2" x14ac:dyDescent="0.25">
      <c r="A8" s="1" t="str">
        <f ca="1">IFERROR(__xludf.DUMMYFUNCTION("""COMPUTED_VALUE"""),"Клуб любителей анекдотов")</f>
        <v>Клуб любителей анекдотов</v>
      </c>
      <c r="B8" s="1" t="str">
        <f ca="1">IFERROR(__xludf.DUMMYFUNCTION("""COMPUTED_VALUE"""),"Создание нейросети Codriver, анализирующей свойства автомобильной дороги")</f>
        <v>Создание нейросети Codriver, анализирующей свойства автомобильной дороги</v>
      </c>
      <c r="C8" s="2">
        <f ca="1">IFERROR(__xludf.DUMMYFUNCTION("""COMPUTED_VALUE"""),100)</f>
        <v>100</v>
      </c>
    </row>
    <row r="9" spans="1:3" ht="13.2" x14ac:dyDescent="0.25">
      <c r="A9" s="1" t="str">
        <f ca="1">IFERROR(__xludf.DUMMYFUNCTION("""COMPUTED_VALUE"""),"Клюква")</f>
        <v>Клюква</v>
      </c>
      <c r="B9" s="1" t="str">
        <f ca="1">IFERROR(__xludf.DUMMYFUNCTION("""COMPUTED_VALUE"""),"Разработка браузерного расширения для умного поиска по странице с помощью NLP")</f>
        <v>Разработка браузерного расширения для умного поиска по странице с помощью NLP</v>
      </c>
      <c r="C9" s="2">
        <f ca="1">IFERROR(__xludf.DUMMYFUNCTION("""COMPUTED_VALUE"""),97.5)</f>
        <v>97.5</v>
      </c>
    </row>
    <row r="10" spans="1:3" ht="13.2" x14ac:dyDescent="0.25">
      <c r="A10" s="1" t="str">
        <f ca="1">IFERROR(__xludf.DUMMYFUNCTION("""COMPUTED_VALUE"""),"Команда ""Битый пиксель""")</f>
        <v>Команда "Битый пиксель"</v>
      </c>
      <c r="B10" s="1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C10" s="2">
        <f ca="1">IFERROR(__xludf.DUMMYFUNCTION("""COMPUTED_VALUE"""),100)</f>
        <v>100</v>
      </c>
    </row>
    <row r="11" spans="1:3" ht="13.2" x14ac:dyDescent="0.25">
      <c r="A11" s="1" t="str">
        <f ca="1">IFERROR(__xludf.DUMMYFUNCTION("""COMPUTED_VALUE"""),"Команда ""Kovcheg""")</f>
        <v>Команда "Kovcheg"</v>
      </c>
      <c r="B11" s="1" t="str">
        <f ca="1">IFERROR(__xludf.DUMMYFUNCTION("""COMPUTED_VALUE"""),"Разработка конструктора сайтов")</f>
        <v>Разработка конструктора сайтов</v>
      </c>
      <c r="C11" s="2">
        <f ca="1">IFERROR(__xludf.DUMMYFUNCTION("""COMPUTED_VALUE"""),80)</f>
        <v>80</v>
      </c>
    </row>
    <row r="12" spans="1:3" ht="13.2" x14ac:dyDescent="0.25">
      <c r="A12" s="1" t="str">
        <f ca="1">IFERROR(__xludf.DUMMYFUNCTION("""COMPUTED_VALUE"""),"Команда Кирен")</f>
        <v>Команда Кирен</v>
      </c>
      <c r="B12" s="1" t="str">
        <f ca="1">IFERROR(__xludf.DUMMYFUNCTION("""COMPUTED_VALUE"""),"Автопилот для игры Space Engineers")</f>
        <v>Автопилот для игры Space Engineers</v>
      </c>
      <c r="C12" s="2">
        <f ca="1">IFERROR(__xludf.DUMMYFUNCTION("""COMPUTED_VALUE"""),60)</f>
        <v>60</v>
      </c>
    </row>
    <row r="13" spans="1:3" ht="13.2" x14ac:dyDescent="0.25">
      <c r="A13" s="1" t="str">
        <f ca="1">IFERROR(__xludf.DUMMYFUNCTION("""COMPUTED_VALUE"""),"Команда HappyCode")</f>
        <v>Команда HappyCode</v>
      </c>
      <c r="B13" s="1" t="str">
        <f ca="1">IFERROR(__xludf.DUMMYFUNCTION("""COMPUTED_VALUE"""),"Разработка аналога сервиса ArGIN")</f>
        <v>Разработка аналога сервиса ArGIN</v>
      </c>
      <c r="C13" s="2">
        <f ca="1">IFERROR(__xludf.DUMMYFUNCTION("""COMPUTED_VALUE"""),85)</f>
        <v>85</v>
      </c>
    </row>
    <row r="14" spans="1:3" ht="13.2" x14ac:dyDescent="0.25">
      <c r="A14" s="1" t="str">
        <f ca="1">IFERROR(__xludf.DUMMYFUNCTION("""COMPUTED_VALUE"""),"Команда №33487")</f>
        <v>Команда №33487</v>
      </c>
      <c r="B14" s="1" t="str">
        <f ca="1">IFERROR(__xludf.DUMMYFUNCTION("""COMPUTED_VALUE"""),"Структурная биоинформатика и анализ патогенности вариантов")</f>
        <v>Структурная биоинформатика и анализ патогенности вариантов</v>
      </c>
      <c r="C14" s="2">
        <f ca="1">IFERROR(__xludf.DUMMYFUNCTION("""COMPUTED_VALUE"""),98)</f>
        <v>98</v>
      </c>
    </row>
    <row r="15" spans="1:3" ht="13.2" x14ac:dyDescent="0.25">
      <c r="A15" s="1" t="str">
        <f ca="1">IFERROR(__xludf.DUMMYFUNCTION("""COMPUTED_VALUE"""),"Команда №3664")</f>
        <v>Команда №3664</v>
      </c>
      <c r="B15" s="1" t="str">
        <f ca="1">IFERROR(__xludf.DUMMYFUNCTION("""COMPUTED_VALUE"""),"Разработка игр на Unity + Игровой арт")</f>
        <v>Разработка игр на Unity + Игровой арт</v>
      </c>
      <c r="C15" s="2">
        <f ca="1">IFERROR(__xludf.DUMMYFUNCTION("""COMPUTED_VALUE"""),97)</f>
        <v>97</v>
      </c>
    </row>
    <row r="16" spans="1:3" ht="13.2" x14ac:dyDescent="0.25">
      <c r="A16" s="1" t="str">
        <f ca="1">IFERROR(__xludf.DUMMYFUNCTION("""COMPUTED_VALUE"""),"Команда №3666")</f>
        <v>Команда №3666</v>
      </c>
      <c r="B16" s="1" t="str">
        <f ca="1">IFERROR(__xludf.DUMMYFUNCTION("""COMPUTED_VALUE"""),"Разработка системы проведения собеседований с написанием кода в реальном времени")</f>
        <v>Разработка системы проведения собеседований с написанием кода в реальном времени</v>
      </c>
      <c r="C16" s="2">
        <f ca="1">IFERROR(__xludf.DUMMYFUNCTION("""COMPUTED_VALUE"""),100)</f>
        <v>100</v>
      </c>
    </row>
    <row r="17" spans="1:3" ht="13.2" x14ac:dyDescent="0.25">
      <c r="A17" s="1" t="str">
        <f ca="1">IFERROR(__xludf.DUMMYFUNCTION("""COMPUTED_VALUE"""),"Команда №3669")</f>
        <v>Команда №3669</v>
      </c>
      <c r="B17" s="1" t="str">
        <f ca="1">IFERROR(__xludf.DUMMYFUNCTION("""COMPUTED_VALUE"""),"Разработка приложения предназначенного для структурирования предпочтений гостей при организации совместных вечеринок")</f>
        <v>Разработка приложения предназначенного для структурирования предпочтений гостей при организации совместных вечеринок</v>
      </c>
      <c r="C17" s="2">
        <f ca="1">IFERROR(__xludf.DUMMYFUNCTION("""COMPUTED_VALUE"""),87)</f>
        <v>87</v>
      </c>
    </row>
    <row r="18" spans="1:3" ht="13.2" x14ac:dyDescent="0.25">
      <c r="A18" s="1" t="str">
        <f ca="1">IFERROR(__xludf.DUMMYFUNCTION("""COMPUTED_VALUE"""),"Команда №3670")</f>
        <v>Команда №3670</v>
      </c>
      <c r="B18" s="1" t="str">
        <f ca="1">IFERROR(__xludf.DUMMYFUNCTION("""COMPUTED_VALUE"""),"Создание русификатора шрифтов")</f>
        <v>Создание русификатора шрифтов</v>
      </c>
      <c r="C18" s="2">
        <f ca="1">IFERROR(__xludf.DUMMYFUNCTION("""COMPUTED_VALUE"""),95)</f>
        <v>95</v>
      </c>
    </row>
    <row r="19" spans="1:3" ht="13.2" x14ac:dyDescent="0.25">
      <c r="A19" s="1" t="str">
        <f ca="1">IFERROR(__xludf.DUMMYFUNCTION("""COMPUTED_VALUE"""),"Команда №3671")</f>
        <v>Команда №3671</v>
      </c>
      <c r="B19" s="1" t="str">
        <f ca="1">IFERROR(__xludf.DUMMYFUNCTION("""COMPUTED_VALUE"""),"Разработка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навыков")</f>
        <v>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</v>
      </c>
      <c r="C19" s="2">
        <f ca="1">IFERROR(__xludf.DUMMYFUNCTION("""COMPUTED_VALUE"""),84)</f>
        <v>84</v>
      </c>
    </row>
    <row r="20" spans="1:3" ht="13.2" x14ac:dyDescent="0.25">
      <c r="A20" s="1" t="str">
        <f ca="1">IFERROR(__xludf.DUMMYFUNCTION("""COMPUTED_VALUE"""),"Команда №3672")</f>
        <v>Команда №3672</v>
      </c>
      <c r="B20" s="1" t="str">
        <f ca="1">IFERROR(__xludf.DUMMYFUNCTION("""COMPUTED_VALUE"""),"Разработка игрового ПО в жанре ""Quest"" (продолжение проекта)")</f>
        <v>Разработка игрового ПО в жанре "Quest" (продолжение проекта)</v>
      </c>
      <c r="C20" s="2">
        <f ca="1">IFERROR(__xludf.DUMMYFUNCTION("""COMPUTED_VALUE"""),85)</f>
        <v>85</v>
      </c>
    </row>
    <row r="21" spans="1:3" ht="13.2" x14ac:dyDescent="0.25">
      <c r="A21" s="1" t="str">
        <f ca="1">IFERROR(__xludf.DUMMYFUNCTION("""COMPUTED_VALUE"""),"Команда №3673")</f>
        <v>Команда №3673</v>
      </c>
      <c r="B21" s="1" t="str">
        <f ca="1">IFERROR(__xludf.DUMMYFUNCTION("""COMPUTED_VALUE"""),"Разработка игрового ПО в жанре ""Rogulike"" (продолжение проекта)")</f>
        <v>Разработка игрового ПО в жанре "Rogulike" (продолжение проекта)</v>
      </c>
      <c r="C21" s="2">
        <f ca="1">IFERROR(__xludf.DUMMYFUNCTION("""COMPUTED_VALUE"""),95)</f>
        <v>95</v>
      </c>
    </row>
    <row r="22" spans="1:3" ht="13.2" x14ac:dyDescent="0.25">
      <c r="A22" s="1" t="str">
        <f ca="1">IFERROR(__xludf.DUMMYFUNCTION("""COMPUTED_VALUE"""),"Команда №3674")</f>
        <v>Команда №3674</v>
      </c>
      <c r="B22" s="1" t="str">
        <f ca="1">IFERROR(__xludf.DUMMYFUNCTION("""COMPUTED_VALUE"""),"Ведение группы в контакте ""IT-09 | RTF FAMILY"". Ч.2")</f>
        <v>Ведение группы в контакте "IT-09 | RTF FAMILY". Ч.2</v>
      </c>
      <c r="C22" s="2">
        <f ca="1">IFERROR(__xludf.DUMMYFUNCTION("""COMPUTED_VALUE"""),100)</f>
        <v>100</v>
      </c>
    </row>
    <row r="23" spans="1:3" ht="13.2" x14ac:dyDescent="0.25">
      <c r="A23" s="1" t="str">
        <f ca="1">IFERROR(__xludf.DUMMYFUNCTION("""COMPUTED_VALUE"""),"Команда №3675")</f>
        <v>Команда №3675</v>
      </c>
      <c r="B23" s="1" t="str">
        <f ca="1">IFERROR(__xludf.DUMMYFUNCTION("""COMPUTED_VALUE"""),"Ведение группы в контакте ""Абитуриент ИРИТ-РТФ"". Ч. 2")</f>
        <v>Ведение группы в контакте "Абитуриент ИРИТ-РТФ". Ч. 2</v>
      </c>
      <c r="C23" s="2">
        <f ca="1">IFERROR(__xludf.DUMMYFUNCTION("""COMPUTED_VALUE"""),100)</f>
        <v>100</v>
      </c>
    </row>
    <row r="24" spans="1:3" ht="13.2" x14ac:dyDescent="0.25">
      <c r="A24" s="1" t="str">
        <f ca="1">IFERROR(__xludf.DUMMYFUNCTION("""COMPUTED_VALUE"""),"Команда №3676")</f>
        <v>Команда №3676</v>
      </c>
      <c r="B24" s="1" t="str">
        <f ca="1">IFERROR(__xludf.DUMMYFUNCTION("""COMPUTED_VALUE"""),"Разработка веб-сервиса для визуализации данных")</f>
        <v>Разработка веб-сервиса для визуализации данных</v>
      </c>
      <c r="C24" s="2">
        <f ca="1">IFERROR(__xludf.DUMMYFUNCTION("""COMPUTED_VALUE"""),70)</f>
        <v>70</v>
      </c>
    </row>
    <row r="25" spans="1:3" ht="13.2" x14ac:dyDescent="0.25">
      <c r="A25" s="1" t="str">
        <f ca="1">IFERROR(__xludf.DUMMYFUNCTION("""COMPUTED_VALUE"""),"Команда №3678")</f>
        <v>Команда №3678</v>
      </c>
      <c r="B25" s="1" t="str">
        <f ca="1">IFERROR(__xludf.DUMMYFUNCTION("""COMPUTED_VALUE"""),"Создание виртуальной 3d онлайн-лаборатории по физике")</f>
        <v>Создание виртуальной 3d онлайн-лаборатории по физике</v>
      </c>
      <c r="C25" s="2">
        <f ca="1">IFERROR(__xludf.DUMMYFUNCTION("""COMPUTED_VALUE"""),94)</f>
        <v>94</v>
      </c>
    </row>
    <row r="26" spans="1:3" ht="13.2" x14ac:dyDescent="0.25">
      <c r="A26" s="1" t="str">
        <f ca="1">IFERROR(__xludf.DUMMYFUNCTION("""COMPUTED_VALUE"""),"Команда №3680")</f>
        <v>Команда №3680</v>
      </c>
      <c r="B26" s="1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C26" s="2">
        <f ca="1">IFERROR(__xludf.DUMMYFUNCTION("""COMPUTED_VALUE"""),70)</f>
        <v>70</v>
      </c>
    </row>
    <row r="27" spans="1:3" ht="13.2" x14ac:dyDescent="0.25">
      <c r="A27" s="1" t="str">
        <f ca="1">IFERROR(__xludf.DUMMYFUNCTION("""COMPUTED_VALUE"""),"Команда №3681")</f>
        <v>Команда №3681</v>
      </c>
      <c r="B27" s="1" t="str">
        <f ca="1">IFERROR(__xludf.DUMMYFUNCTION("""COMPUTED_VALUE"""),"Разработка игр на Unity + Игровой арт")</f>
        <v>Разработка игр на Unity + Игровой арт</v>
      </c>
      <c r="C27" s="2">
        <f ca="1">IFERROR(__xludf.DUMMYFUNCTION("""COMPUTED_VALUE"""),94)</f>
        <v>94</v>
      </c>
    </row>
    <row r="28" spans="1:3" ht="13.2" x14ac:dyDescent="0.25">
      <c r="A28" s="1" t="str">
        <f ca="1">IFERROR(__xludf.DUMMYFUNCTION("""COMPUTED_VALUE"""),"Команда №3682")</f>
        <v>Команда №3682</v>
      </c>
      <c r="B28" s="1" t="str">
        <f ca="1">IFERROR(__xludf.DUMMYFUNCTION("""COMPUTED_VALUE"""),"Разработка игр на Unity + Игровой арт")</f>
        <v>Разработка игр на Unity + Игровой арт</v>
      </c>
      <c r="C28" s="2">
        <f ca="1">IFERROR(__xludf.DUMMYFUNCTION("""COMPUTED_VALUE"""),85)</f>
        <v>85</v>
      </c>
    </row>
    <row r="29" spans="1:3" ht="13.2" x14ac:dyDescent="0.25">
      <c r="A29" s="1" t="str">
        <f ca="1">IFERROR(__xludf.DUMMYFUNCTION("""COMPUTED_VALUE"""),"Команда №3683")</f>
        <v>Команда №3683</v>
      </c>
      <c r="B29" s="1" t="str">
        <f ca="1">IFERROR(__xludf.DUMMYFUNCTION("""COMPUTED_VALUE"""),"Разработка игр на Unity + Игровой арт")</f>
        <v>Разработка игр на Unity + Игровой арт</v>
      </c>
      <c r="C29" s="2">
        <f ca="1">IFERROR(__xludf.DUMMYFUNCTION("""COMPUTED_VALUE"""),85)</f>
        <v>85</v>
      </c>
    </row>
    <row r="30" spans="1:3" ht="13.2" x14ac:dyDescent="0.25">
      <c r="A30" s="1" t="str">
        <f ca="1">IFERROR(__xludf.DUMMYFUNCTION("""COMPUTED_VALUE"""),"Команда №3684")</f>
        <v>Команда №3684</v>
      </c>
      <c r="B30" s="1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C30" s="2">
        <f ca="1">IFERROR(__xludf.DUMMYFUNCTION("""COMPUTED_VALUE"""),85)</f>
        <v>85</v>
      </c>
    </row>
    <row r="31" spans="1:3" ht="13.2" x14ac:dyDescent="0.25">
      <c r="A31" s="1" t="str">
        <f ca="1">IFERROR(__xludf.DUMMYFUNCTION("""COMPUTED_VALUE"""),"Команда №3685")</f>
        <v>Команда №3685</v>
      </c>
      <c r="B31" s="1" t="str">
        <f ca="1">IFERROR(__xludf.DUMMYFUNCTION("""COMPUTED_VALUE"""),"Создание web-игры ""ViruseWar""")</f>
        <v>Создание web-игры "ViruseWar"</v>
      </c>
      <c r="C31" s="2">
        <f ca="1">IFERROR(__xludf.DUMMYFUNCTION("""COMPUTED_VALUE"""),72)</f>
        <v>72</v>
      </c>
    </row>
    <row r="32" spans="1:3" ht="13.2" x14ac:dyDescent="0.25">
      <c r="A32" s="1" t="str">
        <f ca="1">IFERROR(__xludf.DUMMYFUNCTION("""COMPUTED_VALUE"""),"Команда №3686")</f>
        <v>Команда №3686</v>
      </c>
      <c r="B32" s="1" t="str">
        <f ca="1">IFERROR(__xludf.DUMMYFUNCTION("""COMPUTED_VALUE"""),"Corpas – сервис корпоративных ассистентов в мессенджерах")</f>
        <v>Corpas – сервис корпоративных ассистентов в мессенджерах</v>
      </c>
      <c r="C32" s="2">
        <f ca="1">IFERROR(__xludf.DUMMYFUNCTION("""COMPUTED_VALUE"""),73)</f>
        <v>73</v>
      </c>
    </row>
    <row r="33" spans="1:3" ht="13.2" x14ac:dyDescent="0.25">
      <c r="A33" s="1" t="str">
        <f ca="1">IFERROR(__xludf.DUMMYFUNCTION("""COMPUTED_VALUE"""),"Команда №3687")</f>
        <v>Команда №3687</v>
      </c>
      <c r="B33" s="1" t="str">
        <f ca="1">IFERROR(__xludf.DUMMYFUNCTION("""COMPUTED_VALUE"""),"Trading bot")</f>
        <v>Trading bot</v>
      </c>
      <c r="C33" s="2">
        <f ca="1">IFERROR(__xludf.DUMMYFUNCTION("""COMPUTED_VALUE"""),40)</f>
        <v>40</v>
      </c>
    </row>
    <row r="34" spans="1:3" ht="13.2" x14ac:dyDescent="0.25">
      <c r="A34" s="1" t="str">
        <f ca="1">IFERROR(__xludf.DUMMYFUNCTION("""COMPUTED_VALUE"""),"Команда №3689")</f>
        <v>Команда №3689</v>
      </c>
      <c r="B34" s="1" t="str">
        <f ca="1">IFERROR(__xludf.DUMMYFUNCTION("""COMPUTED_VALUE"""),"Создание образовательной игры для детей c диабетом 1 типа (СД1), обучающая навыкам самоконтроля")</f>
        <v>Создание образовательной игры для детей c диабетом 1 типа (СД1), обучающая навыкам самоконтроля</v>
      </c>
      <c r="C34" s="2">
        <f ca="1">IFERROR(__xludf.DUMMYFUNCTION("""COMPUTED_VALUE"""),0)</f>
        <v>0</v>
      </c>
    </row>
    <row r="35" spans="1:3" ht="13.2" x14ac:dyDescent="0.25">
      <c r="A35" s="1" t="str">
        <f ca="1">IFERROR(__xludf.DUMMYFUNCTION("""COMPUTED_VALUE"""),"Команда №3694")</f>
        <v>Команда №3694</v>
      </c>
      <c r="B35" s="1" t="str">
        <f ca="1">IFERROR(__xludf.DUMMYFUNCTION("""COMPUTED_VALUE"""),"Telegram бот для поиска информации о ТС")</f>
        <v>Telegram бот для поиска информации о ТС</v>
      </c>
      <c r="C35" s="2">
        <f ca="1">IFERROR(__xludf.DUMMYFUNCTION("""COMPUTED_VALUE"""),50)</f>
        <v>50</v>
      </c>
    </row>
    <row r="36" spans="1:3" ht="13.2" x14ac:dyDescent="0.25">
      <c r="A36" s="1" t="str">
        <f ca="1">IFERROR(__xludf.DUMMYFUNCTION("""COMPUTED_VALUE"""),"Команда №3695")</f>
        <v>Команда №3695</v>
      </c>
      <c r="B36" s="1" t="str">
        <f ca="1">IFERROR(__xludf.DUMMYFUNCTION("""COMPUTED_VALUE"""),"Создание платформы для обучения React")</f>
        <v>Создание платформы для обучения React</v>
      </c>
      <c r="C36" s="2">
        <f ca="1">IFERROR(__xludf.DUMMYFUNCTION("""COMPUTED_VALUE"""),78)</f>
        <v>78</v>
      </c>
    </row>
    <row r="37" spans="1:3" ht="13.2" x14ac:dyDescent="0.25">
      <c r="A37" s="1" t="str">
        <f ca="1">IFERROR(__xludf.DUMMYFUNCTION("""COMPUTED_VALUE"""),"Команда №3696")</f>
        <v>Команда №3696</v>
      </c>
      <c r="B37" s="1" t="str">
        <f ca="1">IFERROR(__xludf.DUMMYFUNCTION("""COMPUTED_VALUE"""),"Создание сервиса открытых отзывов на преподавателей дисциплин УрФУ и заказчиков проектного практикума")</f>
        <v>Создание сервиса открытых отзывов на преподавателей дисциплин УрФУ и заказчиков проектного практикума</v>
      </c>
      <c r="C37" s="2">
        <f ca="1">IFERROR(__xludf.DUMMYFUNCTION("""COMPUTED_VALUE"""),76)</f>
        <v>76</v>
      </c>
    </row>
    <row r="38" spans="1:3" ht="13.2" x14ac:dyDescent="0.25">
      <c r="A38" s="1" t="str">
        <f ca="1">IFERROR(__xludf.DUMMYFUNCTION("""COMPUTED_VALUE"""),"Команда №3697")</f>
        <v>Команда №3697</v>
      </c>
      <c r="B38" s="1" t="str">
        <f ca="1">IFERROR(__xludf.DUMMYFUNCTION("""COMPUTED_VALUE"""),"Разработка инструмента информирования при управлении инцидентами Statuspage")</f>
        <v>Разработка инструмента информирования при управлении инцидентами Statuspage</v>
      </c>
      <c r="C38" s="2">
        <f ca="1">IFERROR(__xludf.DUMMYFUNCTION("""COMPUTED_VALUE"""),83)</f>
        <v>83</v>
      </c>
    </row>
    <row r="39" spans="1:3" ht="13.2" x14ac:dyDescent="0.25">
      <c r="A39" s="1" t="str">
        <f ca="1">IFERROR(__xludf.DUMMYFUNCTION("""COMPUTED_VALUE"""),"Команда №3699")</f>
        <v>Команда №3699</v>
      </c>
      <c r="B39" s="1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C39" s="2">
        <f ca="1">IFERROR(__xludf.DUMMYFUNCTION("""COMPUTED_VALUE"""),85)</f>
        <v>85</v>
      </c>
    </row>
    <row r="40" spans="1:3" ht="13.2" x14ac:dyDescent="0.25">
      <c r="A40" s="1" t="str">
        <f ca="1">IFERROR(__xludf.DUMMYFUNCTION("""COMPUTED_VALUE"""),"Команда №3700")</f>
        <v>Команда №3700</v>
      </c>
      <c r="B40" s="1" t="str">
        <f ca="1">IFERROR(__xludf.DUMMYFUNCTION("""COMPUTED_VALUE"""),"Разработка мобильного игрового приложения под маркетплейс в жанре ККИ - Tower Defence")</f>
        <v>Разработка мобильного игрового приложения под маркетплейс в жанре ККИ - Tower Defence</v>
      </c>
      <c r="C40" s="2">
        <f ca="1">IFERROR(__xludf.DUMMYFUNCTION("""COMPUTED_VALUE"""),97)</f>
        <v>97</v>
      </c>
    </row>
    <row r="41" spans="1:3" ht="13.2" x14ac:dyDescent="0.25">
      <c r="A41" s="1" t="str">
        <f ca="1">IFERROR(__xludf.DUMMYFUNCTION("""COMPUTED_VALUE"""),"Команда №3702")</f>
        <v>Команда №3702</v>
      </c>
      <c r="B41" s="1" t="str">
        <f ca="1">IFERROR(__xludf.DUMMYFUNCTION("""COMPUTED_VALUE"""),"Создание коммерческой 2D игры")</f>
        <v>Создание коммерческой 2D игры</v>
      </c>
      <c r="C41" s="2">
        <f ca="1">IFERROR(__xludf.DUMMYFUNCTION("""COMPUTED_VALUE"""),100)</f>
        <v>100</v>
      </c>
    </row>
    <row r="42" spans="1:3" ht="13.2" x14ac:dyDescent="0.25">
      <c r="A42" s="1" t="str">
        <f ca="1">IFERROR(__xludf.DUMMYFUNCTION("""COMPUTED_VALUE"""),"Команда №3703")</f>
        <v>Команда №3703</v>
      </c>
      <c r="B42" s="1" t="str">
        <f ca="1">IFERROR(__xludf.DUMMYFUNCTION("""COMPUTED_VALUE"""),"Создание MVP игры Jungle Rockets")</f>
        <v>Создание MVP игры Jungle Rockets</v>
      </c>
      <c r="C42" s="2">
        <f ca="1">IFERROR(__xludf.DUMMYFUNCTION("""COMPUTED_VALUE"""),99)</f>
        <v>99</v>
      </c>
    </row>
    <row r="43" spans="1:3" ht="13.2" x14ac:dyDescent="0.25">
      <c r="A43" s="1" t="str">
        <f ca="1">IFERROR(__xludf.DUMMYFUNCTION("""COMPUTED_VALUE"""),"Команда №3705")</f>
        <v>Команда №3705</v>
      </c>
      <c r="B43" s="1" t="str">
        <f ca="1">IFERROR(__xludf.DUMMYFUNCTION("""COMPUTED_VALUE"""),"Создание веб-сервиса-агрегатора репетиторства с возможностью интеграций различных частных организаций")</f>
        <v>Создание веб-сервиса-агрегатора репетиторства с возможностью интеграций различных частных организаций</v>
      </c>
      <c r="C43" s="2">
        <f ca="1">IFERROR(__xludf.DUMMYFUNCTION("""COMPUTED_VALUE"""),88)</f>
        <v>88</v>
      </c>
    </row>
    <row r="44" spans="1:3" ht="13.2" x14ac:dyDescent="0.25">
      <c r="A44" s="1" t="str">
        <f ca="1">IFERROR(__xludf.DUMMYFUNCTION("""COMPUTED_VALUE"""),"Команда №3710")</f>
        <v>Команда №3710</v>
      </c>
      <c r="B44" s="1" t="str">
        <f ca="1">IFERROR(__xludf.DUMMYFUNCTION("""COMPUTED_VALUE"""),"Создание наиболее эффективного способа продвижения медиапродукта и расширения аудитории.")</f>
        <v>Создание наиболее эффективного способа продвижения медиапродукта и расширения аудитории.</v>
      </c>
      <c r="C44" s="2">
        <f ca="1">IFERROR(__xludf.DUMMYFUNCTION("""COMPUTED_VALUE"""),80)</f>
        <v>80</v>
      </c>
    </row>
    <row r="45" spans="1:3" ht="13.2" x14ac:dyDescent="0.25">
      <c r="A45" s="1" t="str">
        <f ca="1">IFERROR(__xludf.DUMMYFUNCTION("""COMPUTED_VALUE"""),"Команда №3712")</f>
        <v>Команда №3712</v>
      </c>
      <c r="B45" s="1" t="str">
        <f ca="1">IFERROR(__xludf.DUMMYFUNCTION("""COMPUTED_VALUE"""),"Создание онлайн-площадки с набором сервисов для геймеров")</f>
        <v>Создание онлайн-площадки с набором сервисов для геймеров</v>
      </c>
      <c r="C45" s="2">
        <f ca="1">IFERROR(__xludf.DUMMYFUNCTION("""COMPUTED_VALUE"""),85)</f>
        <v>85</v>
      </c>
    </row>
    <row r="46" spans="1:3" ht="13.2" x14ac:dyDescent="0.25">
      <c r="A46" s="1" t="str">
        <f ca="1">IFERROR(__xludf.DUMMYFUNCTION("""COMPUTED_VALUE"""),"Команда №3713")</f>
        <v>Команда №3713</v>
      </c>
      <c r="B46" s="1" t="str">
        <f ca="1">IFERROR(__xludf.DUMMYFUNCTION("""COMPUTED_VALUE"""),"Разработка агрегатора репетиторов и иных людей, проводящих обучение, с возможностью записи на занятие")</f>
        <v>Разработка агрегатора репетиторов и иных людей, проводящих обучение, с возможностью записи на занятие</v>
      </c>
      <c r="C46" s="2">
        <f ca="1">IFERROR(__xludf.DUMMYFUNCTION("""COMPUTED_VALUE"""),70)</f>
        <v>70</v>
      </c>
    </row>
    <row r="47" spans="1:3" ht="13.2" x14ac:dyDescent="0.25">
      <c r="A47" s="1" t="str">
        <f ca="1">IFERROR(__xludf.DUMMYFUNCTION("""COMPUTED_VALUE"""),"Команда №3714")</f>
        <v>Команда №3714</v>
      </c>
      <c r="B47" s="1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C47" s="2">
        <f ca="1">IFERROR(__xludf.DUMMYFUNCTION("""COMPUTED_VALUE"""),89)</f>
        <v>89</v>
      </c>
    </row>
    <row r="48" spans="1:3" ht="13.2" x14ac:dyDescent="0.25">
      <c r="A48" s="1" t="str">
        <f ca="1">IFERROR(__xludf.DUMMYFUNCTION("""COMPUTED_VALUE"""),"Команда №3715")</f>
        <v>Команда №3715</v>
      </c>
      <c r="B48" s="1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C48" s="2">
        <f ca="1">IFERROR(__xludf.DUMMYFUNCTION("""COMPUTED_VALUE"""),95)</f>
        <v>95</v>
      </c>
    </row>
    <row r="49" spans="1:3" ht="13.2" x14ac:dyDescent="0.25">
      <c r="A49" s="1" t="str">
        <f ca="1">IFERROR(__xludf.DUMMYFUNCTION("""COMPUTED_VALUE"""),"Команда №3716")</f>
        <v>Команда №3716</v>
      </c>
      <c r="B49" s="1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C49" s="2">
        <f ca="1">IFERROR(__xludf.DUMMYFUNCTION("""COMPUTED_VALUE"""),98)</f>
        <v>98</v>
      </c>
    </row>
    <row r="50" spans="1:3" ht="13.2" x14ac:dyDescent="0.25">
      <c r="A50" s="1" t="str">
        <f ca="1">IFERROR(__xludf.DUMMYFUNCTION("""COMPUTED_VALUE"""),"Команда №3718")</f>
        <v>Команда №3718</v>
      </c>
      <c r="B50" s="1" t="str">
        <f ca="1">IFERROR(__xludf.DUMMYFUNCTION("""COMPUTED_VALUE"""),"Создание онлайн платформы для 3D-дизайнеров")</f>
        <v>Создание онлайн платформы для 3D-дизайнеров</v>
      </c>
      <c r="C50" s="2">
        <f ca="1">IFERROR(__xludf.DUMMYFUNCTION("""COMPUTED_VALUE"""),100)</f>
        <v>100</v>
      </c>
    </row>
    <row r="51" spans="1:3" ht="13.2" x14ac:dyDescent="0.25">
      <c r="A51" s="1" t="str">
        <f ca="1">IFERROR(__xludf.DUMMYFUNCTION("""COMPUTED_VALUE"""),"Команда №3719")</f>
        <v>Команда №3719</v>
      </c>
      <c r="B51" s="1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C51" s="2">
        <f ca="1">IFERROR(__xludf.DUMMYFUNCTION("""COMPUTED_VALUE"""),0)</f>
        <v>0</v>
      </c>
    </row>
    <row r="52" spans="1:3" ht="13.2" x14ac:dyDescent="0.25">
      <c r="A52" s="1" t="str">
        <f ca="1">IFERROR(__xludf.DUMMYFUNCTION("""COMPUTED_VALUE"""),"Команда №3720")</f>
        <v>Команда №3720</v>
      </c>
      <c r="B52" s="1" t="str">
        <f ca="1">IFERROR(__xludf.DUMMYFUNCTION("""COMPUTED_VALUE"""),"Ярус. Разработка модуля планирования задач для сотрудников")</f>
        <v>Ярус. Разработка модуля планирования задач для сотрудников</v>
      </c>
      <c r="C52" s="2">
        <f ca="1">IFERROR(__xludf.DUMMYFUNCTION("""COMPUTED_VALUE"""),92)</f>
        <v>92</v>
      </c>
    </row>
    <row r="53" spans="1:3" ht="13.2" x14ac:dyDescent="0.25">
      <c r="A53" s="1" t="str">
        <f ca="1">IFERROR(__xludf.DUMMYFUNCTION("""COMPUTED_VALUE"""),"Команда №3721")</f>
        <v>Команда №3721</v>
      </c>
      <c r="B53" s="1" t="str">
        <f ca="1">IFERROR(__xludf.DUMMYFUNCTION("""COMPUTED_VALUE"""),"Разработка аутсорс-платформы для осваивающих новую профессию")</f>
        <v>Разработка аутсорс-платформы для осваивающих новую профессию</v>
      </c>
      <c r="C53" s="2">
        <f ca="1">IFERROR(__xludf.DUMMYFUNCTION("""COMPUTED_VALUE"""),95)</f>
        <v>95</v>
      </c>
    </row>
    <row r="54" spans="1:3" ht="13.2" x14ac:dyDescent="0.25">
      <c r="A54" s="1" t="str">
        <f ca="1">IFERROR(__xludf.DUMMYFUNCTION("""COMPUTED_VALUE"""),"Команда №3723")</f>
        <v>Команда №3723</v>
      </c>
      <c r="B54" s="1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C54" s="2">
        <f ca="1">IFERROR(__xludf.DUMMYFUNCTION("""COMPUTED_VALUE"""),100)</f>
        <v>100</v>
      </c>
    </row>
    <row r="55" spans="1:3" ht="13.2" x14ac:dyDescent="0.25">
      <c r="A55" s="1" t="str">
        <f ca="1">IFERROR(__xludf.DUMMYFUNCTION("""COMPUTED_VALUE"""),"Команда №3724")</f>
        <v>Команда №3724</v>
      </c>
      <c r="B55" s="1" t="str">
        <f ca="1">IFERROR(__xludf.DUMMYFUNCTION("""COMPUTED_VALUE"""),"Разработка образовательного веб-сервиса")</f>
        <v>Разработка образовательного веб-сервиса</v>
      </c>
      <c r="C55" s="2">
        <f ca="1">IFERROR(__xludf.DUMMYFUNCTION("""COMPUTED_VALUE"""),84)</f>
        <v>84</v>
      </c>
    </row>
    <row r="56" spans="1:3" ht="13.2" x14ac:dyDescent="0.25">
      <c r="A56" s="1" t="str">
        <f ca="1">IFERROR(__xludf.DUMMYFUNCTION("""COMPUTED_VALUE"""),"Команда №3725")</f>
        <v>Команда №3725</v>
      </c>
      <c r="B56" s="1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C56" s="2">
        <f ca="1">IFERROR(__xludf.DUMMYFUNCTION("""COMPUTED_VALUE"""),85)</f>
        <v>85</v>
      </c>
    </row>
    <row r="57" spans="1:3" ht="13.2" x14ac:dyDescent="0.25">
      <c r="A57" s="1" t="str">
        <f ca="1">IFERROR(__xludf.DUMMYFUNCTION("""COMPUTED_VALUE"""),"Команда №3726")</f>
        <v>Команда №3726</v>
      </c>
      <c r="B57" s="1" t="str">
        <f ca="1">IFERROR(__xludf.DUMMYFUNCTION("""COMPUTED_VALUE"""),"Разработка образовательного веб-сервиса")</f>
        <v>Разработка образовательного веб-сервиса</v>
      </c>
      <c r="C57" s="2">
        <f ca="1">IFERROR(__xludf.DUMMYFUNCTION("""COMPUTED_VALUE"""),85)</f>
        <v>85</v>
      </c>
    </row>
    <row r="58" spans="1:3" ht="13.2" x14ac:dyDescent="0.25">
      <c r="A58" s="1" t="str">
        <f ca="1">IFERROR(__xludf.DUMMYFUNCTION("""COMPUTED_VALUE"""),"Команда №3727")</f>
        <v>Команда №3727</v>
      </c>
      <c r="B58" s="1" t="str">
        <f ca="1">IFERROR(__xludf.DUMMYFUNCTION("""COMPUTED_VALUE"""),"Автосервис. Разработка ландшафта и препятствий для мобильной игры")</f>
        <v>Автосервис. Разработка ландшафта и препятствий для мобильной игры</v>
      </c>
      <c r="C58" s="2">
        <f ca="1">IFERROR(__xludf.DUMMYFUNCTION("""COMPUTED_VALUE"""),97)</f>
        <v>97</v>
      </c>
    </row>
    <row r="59" spans="1:3" ht="13.2" x14ac:dyDescent="0.25">
      <c r="A59" s="1" t="str">
        <f ca="1">IFERROR(__xludf.DUMMYFUNCTION("""COMPUTED_VALUE"""),"Команда №3728")</f>
        <v>Команда №3728</v>
      </c>
      <c r="B59" s="1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C59" s="2">
        <f ca="1">IFERROR(__xludf.DUMMYFUNCTION("""COMPUTED_VALUE"""),100)</f>
        <v>100</v>
      </c>
    </row>
    <row r="60" spans="1:3" ht="13.2" x14ac:dyDescent="0.25">
      <c r="A60" s="1" t="str">
        <f ca="1">IFERROR(__xludf.DUMMYFUNCTION("""COMPUTED_VALUE"""),"Команда №3729")</f>
        <v>Команда №3729</v>
      </c>
      <c r="B60" s="1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C60" s="2">
        <f ca="1">IFERROR(__xludf.DUMMYFUNCTION("""COMPUTED_VALUE"""),85)</f>
        <v>85</v>
      </c>
    </row>
    <row r="61" spans="1:3" ht="13.2" x14ac:dyDescent="0.25">
      <c r="A61" s="1" t="str">
        <f ca="1">IFERROR(__xludf.DUMMYFUNCTION("""COMPUTED_VALUE"""),"Команда №3730")</f>
        <v>Команда №3730</v>
      </c>
      <c r="B61" s="1" t="str">
        <f ca="1">IFERROR(__xludf.DUMMYFUNCTION("""COMPUTED_VALUE"""),"Разработка системы сбора обратной связи от сотрудников")</f>
        <v>Разработка системы сбора обратной связи от сотрудников</v>
      </c>
      <c r="C61" s="2">
        <f ca="1">IFERROR(__xludf.DUMMYFUNCTION("""COMPUTED_VALUE"""),95)</f>
        <v>95</v>
      </c>
    </row>
    <row r="62" spans="1:3" ht="13.2" x14ac:dyDescent="0.25">
      <c r="A62" s="1" t="str">
        <f ca="1">IFERROR(__xludf.DUMMYFUNCTION("""COMPUTED_VALUE"""),"Команда №3731")</f>
        <v>Команда №3731</v>
      </c>
      <c r="B62" s="1" t="str">
        <f ca="1">IFERROR(__xludf.DUMMYFUNCTION("""COMPUTED_VALUE"""),"Создание сайта управления летней практикой и стажировкой")</f>
        <v>Создание сайта управления летней практикой и стажировкой</v>
      </c>
      <c r="C62" s="2">
        <f ca="1">IFERROR(__xludf.DUMMYFUNCTION("""COMPUTED_VALUE"""),85)</f>
        <v>85</v>
      </c>
    </row>
    <row r="63" spans="1:3" ht="13.2" x14ac:dyDescent="0.25">
      <c r="A63" s="1" t="str">
        <f ca="1">IFERROR(__xludf.DUMMYFUNCTION("""COMPUTED_VALUE"""),"Команда №3733")</f>
        <v>Команда №3733</v>
      </c>
      <c r="B63" s="1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C63" s="2">
        <f ca="1">IFERROR(__xludf.DUMMYFUNCTION("""COMPUTED_VALUE"""),100)</f>
        <v>100</v>
      </c>
    </row>
    <row r="64" spans="1:3" ht="13.2" x14ac:dyDescent="0.25">
      <c r="A64" s="1" t="str">
        <f ca="1">IFERROR(__xludf.DUMMYFUNCTION("""COMPUTED_VALUE"""),"Команда №3734")</f>
        <v>Команда №3734</v>
      </c>
      <c r="B64" s="1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C64" s="2">
        <f ca="1">IFERROR(__xludf.DUMMYFUNCTION("""COMPUTED_VALUE"""),85)</f>
        <v>85</v>
      </c>
    </row>
    <row r="65" spans="1:3" ht="13.2" x14ac:dyDescent="0.25">
      <c r="A65" s="1" t="str">
        <f ca="1">IFERROR(__xludf.DUMMYFUNCTION("""COMPUTED_VALUE"""),"Команда №3736")</f>
        <v>Команда №3736</v>
      </c>
      <c r="B65" s="1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C65" s="2">
        <f ca="1">IFERROR(__xludf.DUMMYFUNCTION("""COMPUTED_VALUE"""),85)</f>
        <v>85</v>
      </c>
    </row>
    <row r="66" spans="1:3" ht="13.2" x14ac:dyDescent="0.25">
      <c r="A66" s="1" t="str">
        <f ca="1">IFERROR(__xludf.DUMMYFUNCTION("""COMPUTED_VALUE"""),"Команда №3737")</f>
        <v>Команда №3737</v>
      </c>
      <c r="B66" s="1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C66" s="2">
        <f ca="1">IFERROR(__xludf.DUMMYFUNCTION("""COMPUTED_VALUE"""),95)</f>
        <v>95</v>
      </c>
    </row>
    <row r="67" spans="1:3" ht="13.2" x14ac:dyDescent="0.25">
      <c r="A67" s="1" t="str">
        <f ca="1">IFERROR(__xludf.DUMMYFUNCTION("""COMPUTED_VALUE"""),"Команда №3738")</f>
        <v>Команда №3738</v>
      </c>
      <c r="B67" s="1" t="str">
        <f ca="1">IFERROR(__xludf.DUMMYFUNCTION("""COMPUTED_VALUE"""),"Создание сервисов UDV-Store, U-Store, U-Travel.")</f>
        <v>Создание сервисов UDV-Store, U-Store, U-Travel.</v>
      </c>
      <c r="C67" s="2">
        <f ca="1">IFERROR(__xludf.DUMMYFUNCTION("""COMPUTED_VALUE"""),92)</f>
        <v>92</v>
      </c>
    </row>
    <row r="68" spans="1:3" ht="13.2" x14ac:dyDescent="0.25">
      <c r="A68" s="1" t="str">
        <f ca="1">IFERROR(__xludf.DUMMYFUNCTION("""COMPUTED_VALUE"""),"Команда №3739")</f>
        <v>Команда №3739</v>
      </c>
      <c r="B68" s="1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C68" s="2">
        <f ca="1">IFERROR(__xludf.DUMMYFUNCTION("""COMPUTED_VALUE"""),87)</f>
        <v>87</v>
      </c>
    </row>
    <row r="69" spans="1:3" ht="13.2" x14ac:dyDescent="0.25">
      <c r="A69" s="1" t="str">
        <f ca="1">IFERROR(__xludf.DUMMYFUNCTION("""COMPUTED_VALUE"""),"Команда №3740")</f>
        <v>Команда №3740</v>
      </c>
      <c r="B69" s="1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C69" s="2">
        <f ca="1">IFERROR(__xludf.DUMMYFUNCTION("""COMPUTED_VALUE"""),85)</f>
        <v>85</v>
      </c>
    </row>
    <row r="70" spans="1:3" ht="13.2" x14ac:dyDescent="0.25">
      <c r="A70" s="1" t="str">
        <f ca="1">IFERROR(__xludf.DUMMYFUNCTION("""COMPUTED_VALUE"""),"Команда №3741")</f>
        <v>Команда №3741</v>
      </c>
      <c r="B70" s="1" t="str">
        <f ca="1">IFERROR(__xludf.DUMMYFUNCTION("""COMPUTED_VALUE"""),"Создание личного кабинета студента-стажёра (развитие функционала).")</f>
        <v>Создание личного кабинета студента-стажёра (развитие функционала).</v>
      </c>
      <c r="C70" s="2">
        <f ca="1">IFERROR(__xludf.DUMMYFUNCTION("""COMPUTED_VALUE"""),89)</f>
        <v>89</v>
      </c>
    </row>
    <row r="71" spans="1:3" ht="13.2" x14ac:dyDescent="0.25">
      <c r="A71" s="1" t="str">
        <f ca="1">IFERROR(__xludf.DUMMYFUNCTION("""COMPUTED_VALUE"""),"Команда №3742")</f>
        <v>Команда №3742</v>
      </c>
      <c r="B71" s="1" t="str">
        <f ca="1">IFERROR(__xludf.DUMMYFUNCTION("""COMPUTED_VALUE"""),"Интеллектуальный анализ структуры документа")</f>
        <v>Интеллектуальный анализ структуры документа</v>
      </c>
      <c r="C71" s="2">
        <f ca="1">IFERROR(__xludf.DUMMYFUNCTION("""COMPUTED_VALUE"""),86)</f>
        <v>86</v>
      </c>
    </row>
    <row r="72" spans="1:3" ht="13.2" x14ac:dyDescent="0.25">
      <c r="A72" s="1" t="str">
        <f ca="1">IFERROR(__xludf.DUMMYFUNCTION("""COMPUTED_VALUE"""),"Команда №3746")</f>
        <v>Команда №3746</v>
      </c>
      <c r="B72" s="1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C72" s="2">
        <f ca="1">IFERROR(__xludf.DUMMYFUNCTION("""COMPUTED_VALUE"""),82)</f>
        <v>82</v>
      </c>
    </row>
    <row r="73" spans="1:3" ht="13.2" x14ac:dyDescent="0.25">
      <c r="A73" s="1" t="str">
        <f ca="1">IFERROR(__xludf.DUMMYFUNCTION("""COMPUTED_VALUE"""),"Команда №3747")</f>
        <v>Команда №3747</v>
      </c>
      <c r="B73" s="1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C73" s="2">
        <f ca="1">IFERROR(__xludf.DUMMYFUNCTION("""COMPUTED_VALUE"""),88)</f>
        <v>88</v>
      </c>
    </row>
    <row r="74" spans="1:3" ht="13.2" x14ac:dyDescent="0.25">
      <c r="A74" s="1" t="str">
        <f ca="1">IFERROR(__xludf.DUMMYFUNCTION("""COMPUTED_VALUE"""),"Команда №3750")</f>
        <v>Команда №3750</v>
      </c>
      <c r="B74" s="1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C74" s="2">
        <f ca="1">IFERROR(__xludf.DUMMYFUNCTION("""COMPUTED_VALUE"""),70)</f>
        <v>70</v>
      </c>
    </row>
    <row r="75" spans="1:3" ht="13.2" x14ac:dyDescent="0.25">
      <c r="A75" s="1" t="str">
        <f ca="1">IFERROR(__xludf.DUMMYFUNCTION("""COMPUTED_VALUE"""),"Команда №3751")</f>
        <v>Команда №3751</v>
      </c>
      <c r="B75" s="1" t="str">
        <f ca="1">IFERROR(__xludf.DUMMYFUNCTION("""COMPUTED_VALUE"""),"Разработка системы постановки задач, направленная на достижение жизненного баланса с детальной аналитикой")</f>
        <v>Разработка системы постановки задач, направленная на достижение жизненного баланса с детальной аналитикой</v>
      </c>
      <c r="C75" s="2">
        <f ca="1">IFERROR(__xludf.DUMMYFUNCTION("""COMPUTED_VALUE"""),85)</f>
        <v>85</v>
      </c>
    </row>
    <row r="76" spans="1:3" ht="13.2" x14ac:dyDescent="0.25">
      <c r="A76" s="1" t="str">
        <f ca="1">IFERROR(__xludf.DUMMYFUNCTION("""COMPUTED_VALUE"""),"Команда №3753")</f>
        <v>Команда №3753</v>
      </c>
      <c r="B76" s="1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C76" s="2">
        <f ca="1">IFERROR(__xludf.DUMMYFUNCTION("""COMPUTED_VALUE"""),84)</f>
        <v>84</v>
      </c>
    </row>
    <row r="77" spans="1:3" ht="13.2" x14ac:dyDescent="0.25">
      <c r="A77" s="1" t="str">
        <f ca="1">IFERROR(__xludf.DUMMYFUNCTION("""COMPUTED_VALUE"""),"Команда №3755")</f>
        <v>Команда №3755</v>
      </c>
      <c r="B77" s="1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C77" s="2">
        <f ca="1">IFERROR(__xludf.DUMMYFUNCTION("""COMPUTED_VALUE"""),80)</f>
        <v>80</v>
      </c>
    </row>
    <row r="78" spans="1:3" ht="13.2" x14ac:dyDescent="0.25">
      <c r="A78" s="1" t="str">
        <f ca="1">IFERROR(__xludf.DUMMYFUNCTION("""COMPUTED_VALUE"""),"Команда №3756")</f>
        <v>Команда №3756</v>
      </c>
      <c r="B78" s="1" t="str">
        <f ca="1">IFERROR(__xludf.DUMMYFUNCTION("""COMPUTED_VALUE"""),"Разработка сервисов по распознаванию рукописных текстов")</f>
        <v>Разработка сервисов по распознаванию рукописных текстов</v>
      </c>
      <c r="C78" s="2">
        <f ca="1">IFERROR(__xludf.DUMMYFUNCTION("""COMPUTED_VALUE"""),98)</f>
        <v>98</v>
      </c>
    </row>
    <row r="79" spans="1:3" ht="13.2" x14ac:dyDescent="0.25">
      <c r="A79" s="1" t="str">
        <f ca="1">IFERROR(__xludf.DUMMYFUNCTION("""COMPUTED_VALUE"""),"Команда №3757")</f>
        <v>Команда №3757</v>
      </c>
      <c r="B79" s="1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C79" s="2">
        <f ca="1">IFERROR(__xludf.DUMMYFUNCTION("""COMPUTED_VALUE"""),85)</f>
        <v>85</v>
      </c>
    </row>
    <row r="80" spans="1:3" ht="13.2" x14ac:dyDescent="0.25">
      <c r="A80" s="1" t="str">
        <f ca="1">IFERROR(__xludf.DUMMYFUNCTION("""COMPUTED_VALUE"""),"Команда №3765")</f>
        <v>Команда №3765</v>
      </c>
      <c r="B80" s="1" t="str">
        <f ca="1">IFERROR(__xludf.DUMMYFUNCTION("""COMPUTED_VALUE"""),"Создание закрытой онлайн платформы для обучения IT-дисциплинам.")</f>
        <v>Создание закрытой онлайн платформы для обучения IT-дисциплинам.</v>
      </c>
      <c r="C80" s="2">
        <f ca="1">IFERROR(__xludf.DUMMYFUNCTION("""COMPUTED_VALUE"""),89)</f>
        <v>89</v>
      </c>
    </row>
    <row r="81" spans="1:3" ht="13.2" x14ac:dyDescent="0.25">
      <c r="A81" s="1" t="str">
        <f ca="1">IFERROR(__xludf.DUMMYFUNCTION("""COMPUTED_VALUE"""),"Команда №3792")</f>
        <v>Команда №3792</v>
      </c>
      <c r="B81" s="1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C81" s="2">
        <f ca="1">IFERROR(__xludf.DUMMYFUNCTION("""COMPUTED_VALUE"""),85)</f>
        <v>85</v>
      </c>
    </row>
    <row r="82" spans="1:3" ht="13.2" x14ac:dyDescent="0.25">
      <c r="A82" s="1" t="str">
        <f ca="1">IFERROR(__xludf.DUMMYFUNCTION("""COMPUTED_VALUE"""),"Команда №3796")</f>
        <v>Команда №3796</v>
      </c>
      <c r="B82" s="1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C82" s="2">
        <f ca="1">IFERROR(__xludf.DUMMYFUNCTION("""COMPUTED_VALUE"""),85)</f>
        <v>85</v>
      </c>
    </row>
    <row r="83" spans="1:3" ht="13.2" x14ac:dyDescent="0.25">
      <c r="A83" s="1" t="str">
        <f ca="1">IFERROR(__xludf.DUMMYFUNCTION("""COMPUTED_VALUE"""),"Команда №3823")</f>
        <v>Команда №3823</v>
      </c>
      <c r="B83" s="1" t="str">
        <f ca="1">IFERROR(__xludf.DUMMYFUNCTION("""COMPUTED_VALUE"""),"Разработка приложения по адаптации для сотрудников АО ""ОЭЗ ""Титановая долина""")</f>
        <v>Разработка приложения по адаптации для сотрудников АО "ОЭЗ "Титановая долина"</v>
      </c>
      <c r="C83" s="2">
        <f ca="1">IFERROR(__xludf.DUMMYFUNCTION("""COMPUTED_VALUE"""),85)</f>
        <v>85</v>
      </c>
    </row>
    <row r="84" spans="1:3" ht="13.2" x14ac:dyDescent="0.25">
      <c r="A84" s="1" t="str">
        <f ca="1">IFERROR(__xludf.DUMMYFUNCTION("""COMPUTED_VALUE"""),"Команда №3825")</f>
        <v>Команда №3825</v>
      </c>
      <c r="B84" s="1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C84" s="2">
        <f ca="1">IFERROR(__xludf.DUMMYFUNCTION("""COMPUTED_VALUE"""),85)</f>
        <v>85</v>
      </c>
    </row>
    <row r="85" spans="1:3" ht="13.2" x14ac:dyDescent="0.25">
      <c r="A85" s="1" t="str">
        <f ca="1">IFERROR(__xludf.DUMMYFUNCTION("""COMPUTED_VALUE"""),"Команда №3826")</f>
        <v>Команда №3826</v>
      </c>
      <c r="B85" s="1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C85" s="2">
        <f ca="1">IFERROR(__xludf.DUMMYFUNCTION("""COMPUTED_VALUE"""),80)</f>
        <v>80</v>
      </c>
    </row>
    <row r="86" spans="1:3" ht="13.2" x14ac:dyDescent="0.25">
      <c r="A86" s="1" t="str">
        <f ca="1">IFERROR(__xludf.DUMMYFUNCTION("""COMPUTED_VALUE"""),"Команда №3827")</f>
        <v>Команда №3827</v>
      </c>
      <c r="B86" s="1" t="str">
        <f ca="1">IFERROR(__xludf.DUMMYFUNCTION("""COMPUTED_VALUE"""),"Human Voice Data Transmission: An Investigation Using Machine Learning.")</f>
        <v>Human Voice Data Transmission: An Investigation Using Machine Learning.</v>
      </c>
      <c r="C86" s="2">
        <f ca="1">IFERROR(__xludf.DUMMYFUNCTION("""COMPUTED_VALUE"""),97)</f>
        <v>97</v>
      </c>
    </row>
    <row r="87" spans="1:3" ht="13.2" x14ac:dyDescent="0.25">
      <c r="A87" s="1" t="str">
        <f ca="1">IFERROR(__xludf.DUMMYFUNCTION("""COMPUTED_VALUE"""),"Команда №3828")</f>
        <v>Команда №3828</v>
      </c>
      <c r="B87" s="1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C87" s="2">
        <f ca="1">IFERROR(__xludf.DUMMYFUNCTION("""COMPUTED_VALUE"""),83)</f>
        <v>83</v>
      </c>
    </row>
    <row r="88" spans="1:3" ht="13.2" x14ac:dyDescent="0.25">
      <c r="A88" s="1" t="str">
        <f ca="1">IFERROR(__xludf.DUMMYFUNCTION("""COMPUTED_VALUE"""),"Команда №3829")</f>
        <v>Команда №3829</v>
      </c>
      <c r="B88" s="1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C88" s="2">
        <f ca="1">IFERROR(__xludf.DUMMYFUNCTION("""COMPUTED_VALUE"""),91)</f>
        <v>91</v>
      </c>
    </row>
    <row r="89" spans="1:3" ht="13.2" x14ac:dyDescent="0.25">
      <c r="A89" s="1" t="str">
        <f ca="1">IFERROR(__xludf.DUMMYFUNCTION("""COMPUTED_VALUE"""),"Команда №3830 (detouche)")</f>
        <v>Команда №3830 (detouche)</v>
      </c>
      <c r="B89" s="1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C89" s="2">
        <f ca="1">IFERROR(__xludf.DUMMYFUNCTION("""COMPUTED_VALUE"""),100)</f>
        <v>100</v>
      </c>
    </row>
    <row r="90" spans="1:3" ht="13.2" x14ac:dyDescent="0.25">
      <c r="A90" s="1" t="str">
        <f ca="1">IFERROR(__xludf.DUMMYFUNCTION("""COMPUTED_VALUE"""),"Команда №3831")</f>
        <v>Команда №3831</v>
      </c>
      <c r="B90" s="1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C90" s="2">
        <f ca="1">IFERROR(__xludf.DUMMYFUNCTION("""COMPUTED_VALUE"""),80)</f>
        <v>80</v>
      </c>
    </row>
    <row r="91" spans="1:3" ht="13.2" x14ac:dyDescent="0.25">
      <c r="A91" s="1" t="str">
        <f ca="1">IFERROR(__xludf.DUMMYFUNCTION("""COMPUTED_VALUE"""),"Команда №3832")</f>
        <v>Команда №3832</v>
      </c>
      <c r="B91" s="1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C91" s="2">
        <f ca="1">IFERROR(__xludf.DUMMYFUNCTION("""COMPUTED_VALUE"""),85)</f>
        <v>85</v>
      </c>
    </row>
    <row r="92" spans="1:3" ht="13.2" x14ac:dyDescent="0.25">
      <c r="A92" s="1" t="str">
        <f ca="1">IFERROR(__xludf.DUMMYFUNCTION("""COMPUTED_VALUE"""),"Команда №3834")</f>
        <v>Команда №3834</v>
      </c>
      <c r="B92" s="1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C92" s="2">
        <f ca="1">IFERROR(__xludf.DUMMYFUNCTION("""COMPUTED_VALUE"""),91)</f>
        <v>91</v>
      </c>
    </row>
    <row r="93" spans="1:3" ht="13.2" x14ac:dyDescent="0.25">
      <c r="A93" s="1" t="str">
        <f ca="1">IFERROR(__xludf.DUMMYFUNCTION("""COMPUTED_VALUE"""),"Команда №3835")</f>
        <v>Команда №3835</v>
      </c>
      <c r="B93" s="1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C93" s="2">
        <f ca="1">IFERROR(__xludf.DUMMYFUNCTION("""COMPUTED_VALUE"""),85)</f>
        <v>85</v>
      </c>
    </row>
    <row r="94" spans="1:3" ht="13.2" x14ac:dyDescent="0.25">
      <c r="A94" s="1" t="str">
        <f ca="1">IFERROR(__xludf.DUMMYFUNCTION("""COMPUTED_VALUE"""),"Команда №3836")</f>
        <v>Команда №3836</v>
      </c>
      <c r="B94" s="1" t="str">
        <f ca="1">IFERROR(__xludf.DUMMYFUNCTION("""COMPUTED_VALUE"""),"Создание АСУТП котельной, состоящей из двух контроллеров (котлов) и контроллера общего котельного оборудования")</f>
        <v>Создание АСУТП котельной, состоящей из двух контроллеров (котлов) и контроллера общего котельного оборудования</v>
      </c>
      <c r="C94" s="2">
        <f ca="1">IFERROR(__xludf.DUMMYFUNCTION("""COMPUTED_VALUE"""),63)</f>
        <v>63</v>
      </c>
    </row>
    <row r="95" spans="1:3" ht="13.2" x14ac:dyDescent="0.25">
      <c r="A95" s="1" t="str">
        <f ca="1">IFERROR(__xludf.DUMMYFUNCTION("""COMPUTED_VALUE"""),"Команда №3839")</f>
        <v>Команда №3839</v>
      </c>
      <c r="B95" s="1" t="str">
        <f ca="1">IFERROR(__xludf.DUMMYFUNCTION("""COMPUTED_VALUE"""),"Сайт для записи в прачечную комнату")</f>
        <v>Сайт для записи в прачечную комнату</v>
      </c>
      <c r="C95" s="2">
        <f ca="1">IFERROR(__xludf.DUMMYFUNCTION("""COMPUTED_VALUE"""),70)</f>
        <v>70</v>
      </c>
    </row>
    <row r="96" spans="1:3" ht="13.2" x14ac:dyDescent="0.25">
      <c r="A96" s="1" t="str">
        <f ca="1">IFERROR(__xludf.DUMMYFUNCTION("""COMPUTED_VALUE"""),"Команда №3840")</f>
        <v>Команда №3840</v>
      </c>
      <c r="B96" s="1" t="str">
        <f ca="1">IFERROR(__xludf.DUMMYFUNCTION("""COMPUTED_VALUE"""),"Цифровизация союза студентов УрФУ, создание функциональной админ-панели")</f>
        <v>Цифровизация союза студентов УрФУ, создание функциональной админ-панели</v>
      </c>
      <c r="C96" s="2">
        <f ca="1">IFERROR(__xludf.DUMMYFUNCTION("""COMPUTED_VALUE"""),80)</f>
        <v>80</v>
      </c>
    </row>
    <row r="97" spans="1:3" ht="13.2" x14ac:dyDescent="0.25">
      <c r="A97" s="1" t="str">
        <f ca="1">IFERROR(__xludf.DUMMYFUNCTION("""COMPUTED_VALUE"""),"Команда №3843")</f>
        <v>Команда №3843</v>
      </c>
      <c r="B97" s="1" t="str">
        <f ca="1">IFERROR(__xludf.DUMMYFUNCTION("""COMPUTED_VALUE"""),"Разработка 3D-игры в жанре “Научной-фантастики” на Unity")</f>
        <v>Разработка 3D-игры в жанре “Научной-фантастики” на Unity</v>
      </c>
      <c r="C97" s="2">
        <f ca="1">IFERROR(__xludf.DUMMYFUNCTION("""COMPUTED_VALUE"""),88)</f>
        <v>88</v>
      </c>
    </row>
    <row r="98" spans="1:3" ht="13.2" x14ac:dyDescent="0.25">
      <c r="A98" s="1" t="str">
        <f ca="1">IFERROR(__xludf.DUMMYFUNCTION("""COMPUTED_VALUE"""),"Команда №3845")</f>
        <v>Команда №3845</v>
      </c>
      <c r="B98" s="1" t="str">
        <f ca="1">IFERROR(__xludf.DUMMYFUNCTION("""COMPUTED_VALUE"""),"Разработка 2D-игры на Unity")</f>
        <v>Разработка 2D-игры на Unity</v>
      </c>
      <c r="C98" s="2">
        <f ca="1">IFERROR(__xludf.DUMMYFUNCTION("""COMPUTED_VALUE"""),80)</f>
        <v>80</v>
      </c>
    </row>
    <row r="99" spans="1:3" ht="13.2" x14ac:dyDescent="0.25">
      <c r="A99" s="1" t="str">
        <f ca="1">IFERROR(__xludf.DUMMYFUNCTION("""COMPUTED_VALUE"""),"Команда №3846")</f>
        <v>Команда №3846</v>
      </c>
      <c r="B99" s="1" t="str">
        <f ca="1">IFERROR(__xludf.DUMMYFUNCTION("""COMPUTED_VALUE"""),"Разработка web-тренажера для развития интеллекта StaySmart")</f>
        <v>Разработка web-тренажера для развития интеллекта StaySmart</v>
      </c>
      <c r="C99" s="2">
        <f ca="1">IFERROR(__xludf.DUMMYFUNCTION("""COMPUTED_VALUE"""),80)</f>
        <v>80</v>
      </c>
    </row>
    <row r="100" spans="1:3" ht="13.2" x14ac:dyDescent="0.25">
      <c r="A100" s="1" t="str">
        <f ca="1">IFERROR(__xludf.DUMMYFUNCTION("""COMPUTED_VALUE"""),"Команда №3847")</f>
        <v>Команда №3847</v>
      </c>
      <c r="B100" s="1" t="str">
        <f ca="1">IFERROR(__xludf.DUMMYFUNCTION("""COMPUTED_VALUE"""),"Разработка образовательной веб-платформы")</f>
        <v>Разработка образовательной веб-платформы</v>
      </c>
      <c r="C100" s="2">
        <f ca="1">IFERROR(__xludf.DUMMYFUNCTION("""COMPUTED_VALUE"""),76)</f>
        <v>76</v>
      </c>
    </row>
    <row r="101" spans="1:3" ht="13.2" x14ac:dyDescent="0.25">
      <c r="A101" s="1" t="str">
        <f ca="1">IFERROR(__xludf.DUMMYFUNCTION("""COMPUTED_VALUE"""),"Команда №3849")</f>
        <v>Команда №3849</v>
      </c>
      <c r="B101" s="1" t="str">
        <f ca="1">IFERROR(__xludf.DUMMYFUNCTION("""COMPUTED_VALUE"""),"Разработка VR-игры в жанре puzzle(головоломка)")</f>
        <v>Разработка VR-игры в жанре puzzle(головоломка)</v>
      </c>
      <c r="C101" s="2">
        <f ca="1">IFERROR(__xludf.DUMMYFUNCTION("""COMPUTED_VALUE"""),89)</f>
        <v>89</v>
      </c>
    </row>
    <row r="102" spans="1:3" ht="13.2" x14ac:dyDescent="0.25">
      <c r="A102" s="1" t="str">
        <f ca="1">IFERROR(__xludf.DUMMYFUNCTION("""COMPUTED_VALUE"""),"Команда №3850")</f>
        <v>Команда №3850</v>
      </c>
      <c r="B102" s="1" t="str">
        <f ca="1">IFERROR(__xludf.DUMMYFUNCTION("""COMPUTED_VALUE"""),"Создание 3D-модели района Уралмаш")</f>
        <v>Создание 3D-модели района Уралмаш</v>
      </c>
      <c r="C102" s="2">
        <f ca="1">IFERROR(__xludf.DUMMYFUNCTION("""COMPUTED_VALUE"""),96)</f>
        <v>96</v>
      </c>
    </row>
    <row r="103" spans="1:3" ht="13.2" x14ac:dyDescent="0.25">
      <c r="A103" s="1" t="str">
        <f ca="1">IFERROR(__xludf.DUMMYFUNCTION("""COMPUTED_VALUE"""),"Команда №3853")</f>
        <v>Команда №3853</v>
      </c>
      <c r="B103" s="1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C103" s="2">
        <f ca="1">IFERROR(__xludf.DUMMYFUNCTION("""COMPUTED_VALUE"""),85)</f>
        <v>85</v>
      </c>
    </row>
    <row r="104" spans="1:3" ht="13.2" x14ac:dyDescent="0.25">
      <c r="A104" s="1" t="str">
        <f ca="1">IFERROR(__xludf.DUMMYFUNCTION("""COMPUTED_VALUE"""),"Команда №3854")</f>
        <v>Команда №3854</v>
      </c>
      <c r="B104" s="1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C104" s="2">
        <f ca="1">IFERROR(__xludf.DUMMYFUNCTION("""COMPUTED_VALUE"""),81)</f>
        <v>81</v>
      </c>
    </row>
    <row r="105" spans="1:3" ht="13.2" x14ac:dyDescent="0.25">
      <c r="A105" s="1" t="str">
        <f ca="1">IFERROR(__xludf.DUMMYFUNCTION("""COMPUTED_VALUE"""),"Команда №3856")</f>
        <v>Команда №3856</v>
      </c>
      <c r="B105" s="1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C105" s="2">
        <f ca="1">IFERROR(__xludf.DUMMYFUNCTION("""COMPUTED_VALUE"""),85)</f>
        <v>85</v>
      </c>
    </row>
    <row r="106" spans="1:3" ht="13.2" x14ac:dyDescent="0.25">
      <c r="A106" s="1" t="str">
        <f ca="1">IFERROR(__xludf.DUMMYFUNCTION("""COMPUTED_VALUE"""),"Команда №3857")</f>
        <v>Команда №3857</v>
      </c>
      <c r="B106" s="1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C106" s="2">
        <f ca="1">IFERROR(__xludf.DUMMYFUNCTION("""COMPUTED_VALUE"""),96)</f>
        <v>96</v>
      </c>
    </row>
    <row r="107" spans="1:3" ht="13.2" x14ac:dyDescent="0.25">
      <c r="A107" s="1" t="str">
        <f ca="1">IFERROR(__xludf.DUMMYFUNCTION("""COMPUTED_VALUE"""),"Команда №3861")</f>
        <v>Команда №3861</v>
      </c>
      <c r="B107" s="1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C107" s="2">
        <f ca="1">IFERROR(__xludf.DUMMYFUNCTION("""COMPUTED_VALUE"""),85)</f>
        <v>85</v>
      </c>
    </row>
    <row r="108" spans="1:3" ht="13.2" x14ac:dyDescent="0.25">
      <c r="A108" s="1" t="str">
        <f ca="1">IFERROR(__xludf.DUMMYFUNCTION("""COMPUTED_VALUE"""),"Команда №3863")</f>
        <v>Команда №3863</v>
      </c>
      <c r="B108" s="1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C108" s="2">
        <f ca="1">IFERROR(__xludf.DUMMYFUNCTION("""COMPUTED_VALUE"""),100)</f>
        <v>100</v>
      </c>
    </row>
    <row r="109" spans="1:3" ht="13.2" x14ac:dyDescent="0.25">
      <c r="A109" s="1" t="str">
        <f ca="1">IFERROR(__xludf.DUMMYFUNCTION("""COMPUTED_VALUE"""),"Команда №3865")</f>
        <v>Команда №3865</v>
      </c>
      <c r="B109" s="1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C109" s="2">
        <f ca="1">IFERROR(__xludf.DUMMYFUNCTION("""COMPUTED_VALUE"""),99)</f>
        <v>99</v>
      </c>
    </row>
    <row r="110" spans="1:3" ht="13.2" x14ac:dyDescent="0.25">
      <c r="A110" s="1" t="str">
        <f ca="1">IFERROR(__xludf.DUMMYFUNCTION("""COMPUTED_VALUE"""),"Команда №3868")</f>
        <v>Команда №3868</v>
      </c>
      <c r="B110" s="1" t="str">
        <f ca="1">IFERROR(__xludf.DUMMYFUNCTION("""COMPUTED_VALUE"""),"Система автоматизации ""Умный дом""")</f>
        <v>Система автоматизации "Умный дом"</v>
      </c>
      <c r="C110" s="2">
        <f ca="1">IFERROR(__xludf.DUMMYFUNCTION("""COMPUTED_VALUE"""),100)</f>
        <v>100</v>
      </c>
    </row>
    <row r="111" spans="1:3" ht="13.2" x14ac:dyDescent="0.25">
      <c r="A111" s="1" t="str">
        <f ca="1">IFERROR(__xludf.DUMMYFUNCTION("""COMPUTED_VALUE"""),"Команда №3874")</f>
        <v>Команда №3874</v>
      </c>
      <c r="B111" s="1" t="str">
        <f ca="1">IFERROR(__xludf.DUMMYFUNCTION("""COMPUTED_VALUE"""),"Разработка сайта музея Л.Н. Когана")</f>
        <v>Разработка сайта музея Л.Н. Когана</v>
      </c>
      <c r="C111" s="2">
        <f ca="1">IFERROR(__xludf.DUMMYFUNCTION("""COMPUTED_VALUE"""),88)</f>
        <v>88</v>
      </c>
    </row>
    <row r="112" spans="1:3" ht="13.2" x14ac:dyDescent="0.25">
      <c r="A112" s="1" t="str">
        <f ca="1">IFERROR(__xludf.DUMMYFUNCTION("""COMPUTED_VALUE"""),"Команда №3880")</f>
        <v>Команда №3880</v>
      </c>
      <c r="B112" s="1" t="str">
        <f ca="1">IFERROR(__xludf.DUMMYFUNCTION("""COMPUTED_VALUE"""),"Разработка веб-сервиса агрегатора образовательных игр")</f>
        <v>Разработка веб-сервиса агрегатора образовательных игр</v>
      </c>
      <c r="C112" s="2">
        <f ca="1">IFERROR(__xludf.DUMMYFUNCTION("""COMPUTED_VALUE"""),85)</f>
        <v>85</v>
      </c>
    </row>
    <row r="113" spans="1:3" ht="13.2" x14ac:dyDescent="0.25">
      <c r="A113" s="1" t="str">
        <f ca="1">IFERROR(__xludf.DUMMYFUNCTION("""COMPUTED_VALUE"""),"Команда №3888")</f>
        <v>Команда №3888</v>
      </c>
      <c r="B113" s="1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C113" s="2">
        <f ca="1">IFERROR(__xludf.DUMMYFUNCTION("""COMPUTED_VALUE"""),92)</f>
        <v>92</v>
      </c>
    </row>
    <row r="114" spans="1:3" ht="13.2" x14ac:dyDescent="0.25">
      <c r="A114" s="1" t="str">
        <f ca="1">IFERROR(__xludf.DUMMYFUNCTION("""COMPUTED_VALUE"""),"Команда №3897")</f>
        <v>Команда №3897</v>
      </c>
      <c r="B114" s="1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C114" s="2">
        <f ca="1">IFERROR(__xludf.DUMMYFUNCTION("""COMPUTED_VALUE"""),99)</f>
        <v>99</v>
      </c>
    </row>
    <row r="115" spans="1:3" ht="13.2" x14ac:dyDescent="0.25">
      <c r="A115" s="1" t="str">
        <f ca="1">IFERROR(__xludf.DUMMYFUNCTION("""COMPUTED_VALUE"""),"Команда №3898")</f>
        <v>Команда №3898</v>
      </c>
      <c r="B115" s="1" t="str">
        <f ca="1">IFERROR(__xludf.DUMMYFUNCTION("""COMPUTED_VALUE"""),"Разработка образовательного веб-сервиса")</f>
        <v>Разработка образовательного веб-сервиса</v>
      </c>
      <c r="C115" s="2">
        <f ca="1">IFERROR(__xludf.DUMMYFUNCTION("""COMPUTED_VALUE"""),85)</f>
        <v>85</v>
      </c>
    </row>
    <row r="116" spans="1:3" ht="13.2" x14ac:dyDescent="0.25">
      <c r="A116" s="1" t="str">
        <f ca="1">IFERROR(__xludf.DUMMYFUNCTION("""COMPUTED_VALUE"""),"Команда №3902")</f>
        <v>Команда №3902</v>
      </c>
      <c r="B116" s="1" t="str">
        <f ca="1">IFERROR(__xludf.DUMMYFUNCTION("""COMPUTED_VALUE"""),"Создание игрового ПО для ПК в жанре экшен адвентюре.")</f>
        <v>Создание игрового ПО для ПК в жанре экшен адвентюре.</v>
      </c>
      <c r="C116" s="2">
        <f ca="1">IFERROR(__xludf.DUMMYFUNCTION("""COMPUTED_VALUE"""),70)</f>
        <v>70</v>
      </c>
    </row>
    <row r="117" spans="1:3" ht="13.2" x14ac:dyDescent="0.25">
      <c r="A117" s="1" t="str">
        <f ca="1">IFERROR(__xludf.DUMMYFUNCTION("""COMPUTED_VALUE"""),"Команда №3908")</f>
        <v>Команда №3908</v>
      </c>
      <c r="B117" s="1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C117" s="2">
        <f ca="1">IFERROR(__xludf.DUMMYFUNCTION("""COMPUTED_VALUE"""),55)</f>
        <v>55</v>
      </c>
    </row>
    <row r="118" spans="1:3" ht="13.2" x14ac:dyDescent="0.25">
      <c r="A118" s="1" t="str">
        <f ca="1">IFERROR(__xludf.DUMMYFUNCTION("""COMPUTED_VALUE"""),"Команда №3916")</f>
        <v>Команда №3916</v>
      </c>
      <c r="B118" s="1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C118" s="2">
        <f ca="1">IFERROR(__xludf.DUMMYFUNCTION("""COMPUTED_VALUE"""),96)</f>
        <v>96</v>
      </c>
    </row>
    <row r="119" spans="1:3" ht="13.2" x14ac:dyDescent="0.25">
      <c r="A119" s="1" t="str">
        <f ca="1">IFERROR(__xludf.DUMMYFUNCTION("""COMPUTED_VALUE"""),"Команда №3920")</f>
        <v>Команда №3920</v>
      </c>
      <c r="B119" s="1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C119" s="2">
        <f ca="1">IFERROR(__xludf.DUMMYFUNCTION("""COMPUTED_VALUE"""),100)</f>
        <v>100</v>
      </c>
    </row>
    <row r="120" spans="1:3" ht="13.2" x14ac:dyDescent="0.25">
      <c r="A120" s="1" t="str">
        <f ca="1">IFERROR(__xludf.DUMMYFUNCTION("""COMPUTED_VALUE"""),"Команда №3926")</f>
        <v>Команда №3926</v>
      </c>
      <c r="B120" s="1" t="str">
        <f ca="1">IFERROR(__xludf.DUMMYFUNCTION("""COMPUTED_VALUE"""),"Разработка мобильного приложения для механиков. Автосервис.")</f>
        <v>Разработка мобильного приложения для механиков. Автосервис.</v>
      </c>
      <c r="C120" s="2">
        <f ca="1">IFERROR(__xludf.DUMMYFUNCTION("""COMPUTED_VALUE"""),85)</f>
        <v>85</v>
      </c>
    </row>
    <row r="121" spans="1:3" ht="13.2" x14ac:dyDescent="0.25">
      <c r="A121" s="1" t="str">
        <f ca="1">IFERROR(__xludf.DUMMYFUNCTION("""COMPUTED_VALUE"""),"Команда №3928")</f>
        <v>Команда №3928</v>
      </c>
      <c r="B121" s="1" t="str">
        <f ca="1">IFERROR(__xludf.DUMMYFUNCTION("""COMPUTED_VALUE"""),"Улучшение уже существующей модели прогнозирование телесмотрения")</f>
        <v>Улучшение уже существующей модели прогнозирование телесмотрения</v>
      </c>
      <c r="C121" s="2">
        <f ca="1">IFERROR(__xludf.DUMMYFUNCTION("""COMPUTED_VALUE"""),94)</f>
        <v>94</v>
      </c>
    </row>
    <row r="122" spans="1:3" ht="13.2" x14ac:dyDescent="0.25">
      <c r="A122" s="1" t="str">
        <f ca="1">IFERROR(__xludf.DUMMYFUNCTION("""COMPUTED_VALUE"""),"Команда №3938")</f>
        <v>Команда №3938</v>
      </c>
      <c r="B122" s="1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C122" s="2">
        <f ca="1">IFERROR(__xludf.DUMMYFUNCTION("""COMPUTED_VALUE"""),85)</f>
        <v>85</v>
      </c>
    </row>
    <row r="123" spans="1:3" ht="13.2" x14ac:dyDescent="0.25">
      <c r="A123" s="1" t="str">
        <f ca="1">IFERROR(__xludf.DUMMYFUNCTION("""COMPUTED_VALUE"""),"Команда №3942")</f>
        <v>Команда №3942</v>
      </c>
      <c r="B123" s="1" t="str">
        <f ca="1">IFERROR(__xludf.DUMMYFUNCTION("""COMPUTED_VALUE"""),"Создание игрового ПО для ПК в в мультижанровом стиле.")</f>
        <v>Создание игрового ПО для ПК в в мультижанровом стиле.</v>
      </c>
      <c r="C123" s="2">
        <f ca="1">IFERROR(__xludf.DUMMYFUNCTION("""COMPUTED_VALUE"""),97)</f>
        <v>97</v>
      </c>
    </row>
    <row r="124" spans="1:3" ht="13.2" x14ac:dyDescent="0.25">
      <c r="A124" s="1" t="str">
        <f ca="1">IFERROR(__xludf.DUMMYFUNCTION("""COMPUTED_VALUE"""),"Команда №3943")</f>
        <v>Команда №3943</v>
      </c>
      <c r="B124" s="1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C124" s="2">
        <f ca="1">IFERROR(__xludf.DUMMYFUNCTION("""COMPUTED_VALUE"""),100)</f>
        <v>100</v>
      </c>
    </row>
    <row r="125" spans="1:3" ht="13.2" x14ac:dyDescent="0.25">
      <c r="A125" s="1" t="str">
        <f ca="1">IFERROR(__xludf.DUMMYFUNCTION("""COMPUTED_VALUE"""),"Команда №3952")</f>
        <v>Команда №3952</v>
      </c>
      <c r="B125" s="1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C125" s="2">
        <f ca="1">IFERROR(__xludf.DUMMYFUNCTION("""COMPUTED_VALUE"""),85)</f>
        <v>85</v>
      </c>
    </row>
    <row r="126" spans="1:3" ht="13.2" x14ac:dyDescent="0.25">
      <c r="A126" s="1" t="str">
        <f ca="1">IFERROR(__xludf.DUMMYFUNCTION("""COMPUTED_VALUE"""),"Команда №3954")</f>
        <v>Команда №3954</v>
      </c>
      <c r="B126" s="1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C126" s="2">
        <f ca="1">IFERROR(__xludf.DUMMYFUNCTION("""COMPUTED_VALUE"""),85)</f>
        <v>85</v>
      </c>
    </row>
    <row r="127" spans="1:3" ht="13.2" x14ac:dyDescent="0.25">
      <c r="A127" s="1" t="str">
        <f ca="1">IFERROR(__xludf.DUMMYFUNCTION("""COMPUTED_VALUE"""),"Команда №3957")</f>
        <v>Команда №3957</v>
      </c>
      <c r="B127" s="1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C127" s="2">
        <f ca="1">IFERROR(__xludf.DUMMYFUNCTION("""COMPUTED_VALUE"""),98)</f>
        <v>98</v>
      </c>
    </row>
    <row r="128" spans="1:3" ht="13.2" x14ac:dyDescent="0.25">
      <c r="A128" s="1" t="str">
        <f ca="1">IFERROR(__xludf.DUMMYFUNCTION("""COMPUTED_VALUE"""),"Команда №3958")</f>
        <v>Команда №3958</v>
      </c>
      <c r="B128" s="1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C128" s="2">
        <f ca="1">IFERROR(__xludf.DUMMYFUNCTION("""COMPUTED_VALUE"""),98)</f>
        <v>98</v>
      </c>
    </row>
    <row r="129" spans="1:3" ht="13.2" x14ac:dyDescent="0.25">
      <c r="A129" s="1" t="str">
        <f ca="1">IFERROR(__xludf.DUMMYFUNCTION("""COMPUTED_VALUE"""),"Команда №3959")</f>
        <v>Команда №3959</v>
      </c>
      <c r="B129" s="1" t="str">
        <f ca="1">IFERROR(__xludf.DUMMYFUNCTION("""COMPUTED_VALUE"""),"Разработка алгоритма, позволяющего обнаружить фейковые сайты в публичном доступе")</f>
        <v>Разработка алгоритма, позволяющего обнаружить фейковые сайты в публичном доступе</v>
      </c>
      <c r="C129" s="2">
        <f ca="1">IFERROR(__xludf.DUMMYFUNCTION("""COMPUTED_VALUE"""),98)</f>
        <v>98</v>
      </c>
    </row>
    <row r="130" spans="1:3" ht="13.2" x14ac:dyDescent="0.25">
      <c r="A130" s="1" t="str">
        <f ca="1">IFERROR(__xludf.DUMMYFUNCTION("""COMPUTED_VALUE"""),"Команда №3964(StackTakeTeam)")</f>
        <v>Команда №3964(StackTakeTeam)</v>
      </c>
      <c r="B130" s="1" t="str">
        <f ca="1">IFERROR(__xludf.DUMMYFUNCTION("""COMPUTED_VALUE"""),"Разработка информационной системы для инвентаризации вычислительных устройств")</f>
        <v>Разработка информационной системы для инвентаризации вычислительных устройств</v>
      </c>
      <c r="C130" s="2">
        <f ca="1">IFERROR(__xludf.DUMMYFUNCTION("""COMPUTED_VALUE"""),85)</f>
        <v>85</v>
      </c>
    </row>
    <row r="131" spans="1:3" ht="13.2" x14ac:dyDescent="0.25">
      <c r="A131" s="1" t="str">
        <f ca="1">IFERROR(__xludf.DUMMYFUNCTION("""COMPUTED_VALUE"""),"Команда №3968")</f>
        <v>Команда №3968</v>
      </c>
      <c r="B131" s="1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C131" s="2">
        <f ca="1">IFERROR(__xludf.DUMMYFUNCTION("""COMPUTED_VALUE"""),85)</f>
        <v>85</v>
      </c>
    </row>
    <row r="132" spans="1:3" ht="13.2" x14ac:dyDescent="0.25">
      <c r="A132" s="1" t="str">
        <f ca="1">IFERROR(__xludf.DUMMYFUNCTION("""COMPUTED_VALUE"""),"Команда №3970")</f>
        <v>Команда №3970</v>
      </c>
      <c r="B132" s="1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C132" s="2">
        <f ca="1">IFERROR(__xludf.DUMMYFUNCTION("""COMPUTED_VALUE"""),85)</f>
        <v>85</v>
      </c>
    </row>
    <row r="133" spans="1:3" ht="13.2" x14ac:dyDescent="0.25">
      <c r="A133" s="1" t="str">
        <f ca="1">IFERROR(__xludf.DUMMYFUNCTION("""COMPUTED_VALUE"""),"Команда №3971")</f>
        <v>Команда №3971</v>
      </c>
      <c r="B133" s="1" t="str">
        <f ca="1">IFERROR(__xludf.DUMMYFUNCTION("""COMPUTED_VALUE"""),"Разработка образовательного веб-сервиса")</f>
        <v>Разработка образовательного веб-сервиса</v>
      </c>
      <c r="C133" s="2">
        <f ca="1">IFERROR(__xludf.DUMMYFUNCTION("""COMPUTED_VALUE"""),72)</f>
        <v>72</v>
      </c>
    </row>
    <row r="134" spans="1:3" ht="13.2" x14ac:dyDescent="0.25">
      <c r="A134" s="1" t="str">
        <f ca="1">IFERROR(__xludf.DUMMYFUNCTION("""COMPUTED_VALUE"""),"Команда №3975")</f>
        <v>Команда №3975</v>
      </c>
      <c r="B134" s="1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C134" s="2">
        <f ca="1">IFERROR(__xludf.DUMMYFUNCTION("""COMPUTED_VALUE"""),85)</f>
        <v>85</v>
      </c>
    </row>
    <row r="135" spans="1:3" ht="13.2" x14ac:dyDescent="0.25">
      <c r="A135" s="1" t="str">
        <f ca="1">IFERROR(__xludf.DUMMYFUNCTION("""COMPUTED_VALUE"""),"Команда №3980")</f>
        <v>Команда №3980</v>
      </c>
      <c r="B135" s="1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C135" s="2">
        <f ca="1">IFERROR(__xludf.DUMMYFUNCTION("""COMPUTED_VALUE"""),41)</f>
        <v>41</v>
      </c>
    </row>
    <row r="136" spans="1:3" ht="13.2" x14ac:dyDescent="0.25">
      <c r="A136" s="1" t="str">
        <f ca="1">IFERROR(__xludf.DUMMYFUNCTION("""COMPUTED_VALUE"""),"Команда №3982")</f>
        <v>Команда №3982</v>
      </c>
      <c r="B136" s="1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C136" s="2">
        <f ca="1">IFERROR(__xludf.DUMMYFUNCTION("""COMPUTED_VALUE"""),0)</f>
        <v>0</v>
      </c>
    </row>
    <row r="137" spans="1:3" ht="13.2" x14ac:dyDescent="0.25">
      <c r="A137" s="1" t="str">
        <f ca="1">IFERROR(__xludf.DUMMYFUNCTION("""COMPUTED_VALUE"""),"Команда №3983")</f>
        <v>Команда №3983</v>
      </c>
      <c r="B137" s="1" t="str">
        <f ca="1">IFERROR(__xludf.DUMMYFUNCTION("""COMPUTED_VALUE"""),"Создание игрового ПО для ПК в жанре аркада.")</f>
        <v>Создание игрового ПО для ПК в жанре аркада.</v>
      </c>
      <c r="C137" s="2">
        <f ca="1">IFERROR(__xludf.DUMMYFUNCTION("""COMPUTED_VALUE"""),99)</f>
        <v>99</v>
      </c>
    </row>
    <row r="138" spans="1:3" ht="13.2" x14ac:dyDescent="0.25">
      <c r="A138" s="1" t="str">
        <f ca="1">IFERROR(__xludf.DUMMYFUNCTION("""COMPUTED_VALUE"""),"Команда №3984")</f>
        <v>Команда №3984</v>
      </c>
      <c r="B138" s="1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C138" s="2">
        <f ca="1">IFERROR(__xludf.DUMMYFUNCTION("""COMPUTED_VALUE"""),85)</f>
        <v>85</v>
      </c>
    </row>
    <row r="139" spans="1:3" ht="13.2" x14ac:dyDescent="0.25">
      <c r="A139" s="1" t="str">
        <f ca="1">IFERROR(__xludf.DUMMYFUNCTION("""COMPUTED_VALUE"""),"Команда №3991")</f>
        <v>Команда №3991</v>
      </c>
      <c r="B139" s="1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C139" s="2">
        <f ca="1">IFERROR(__xludf.DUMMYFUNCTION("""COMPUTED_VALUE"""),85)</f>
        <v>85</v>
      </c>
    </row>
    <row r="140" spans="1:3" ht="13.2" x14ac:dyDescent="0.25">
      <c r="A140" s="1" t="str">
        <f ca="1">IFERROR(__xludf.DUMMYFUNCTION("""COMPUTED_VALUE"""),"Команда №3996")</f>
        <v>Команда №3996</v>
      </c>
      <c r="B140" s="1" t="str">
        <f ca="1">IFERROR(__xludf.DUMMYFUNCTION("""COMPUTED_VALUE"""),"Разработка веб-сервиса для редактирования и визуализации графов")</f>
        <v>Разработка веб-сервиса для редактирования и визуализации графов</v>
      </c>
      <c r="C140" s="2">
        <f ca="1">IFERROR(__xludf.DUMMYFUNCTION("""COMPUTED_VALUE"""),85)</f>
        <v>85</v>
      </c>
    </row>
    <row r="141" spans="1:3" ht="13.2" x14ac:dyDescent="0.25">
      <c r="A141" s="1" t="str">
        <f ca="1">IFERROR(__xludf.DUMMYFUNCTION("""COMPUTED_VALUE"""),"Команда №4004")</f>
        <v>Команда №4004</v>
      </c>
      <c r="B141" s="1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C141" s="2">
        <f ca="1">IFERROR(__xludf.DUMMYFUNCTION("""COMPUTED_VALUE"""),70)</f>
        <v>70</v>
      </c>
    </row>
    <row r="142" spans="1:3" ht="13.2" x14ac:dyDescent="0.25">
      <c r="A142" s="1" t="str">
        <f ca="1">IFERROR(__xludf.DUMMYFUNCTION("""COMPUTED_VALUE"""),"Команда №4006")</f>
        <v>Команда №4006</v>
      </c>
      <c r="B142" s="1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C142" s="2">
        <f ca="1">IFERROR(__xludf.DUMMYFUNCTION("""COMPUTED_VALUE"""),85)</f>
        <v>85</v>
      </c>
    </row>
    <row r="143" spans="1:3" ht="13.2" x14ac:dyDescent="0.25">
      <c r="A143" s="1" t="str">
        <f ca="1">IFERROR(__xludf.DUMMYFUNCTION("""COMPUTED_VALUE"""),"Команда №4009")</f>
        <v>Команда №4009</v>
      </c>
      <c r="B143" s="1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C143" s="2">
        <f ca="1">IFERROR(__xludf.DUMMYFUNCTION("""COMPUTED_VALUE"""),75)</f>
        <v>75</v>
      </c>
    </row>
    <row r="144" spans="1:3" ht="13.2" x14ac:dyDescent="0.25">
      <c r="A144" s="1" t="str">
        <f ca="1">IFERROR(__xludf.DUMMYFUNCTION("""COMPUTED_VALUE"""),"Команда №4010")</f>
        <v>Команда №4010</v>
      </c>
      <c r="B144" s="1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C144" s="2">
        <f ca="1">IFERROR(__xludf.DUMMYFUNCTION("""COMPUTED_VALUE"""),85)</f>
        <v>85</v>
      </c>
    </row>
    <row r="145" spans="1:3" ht="13.2" x14ac:dyDescent="0.25">
      <c r="A145" s="1" t="str">
        <f ca="1">IFERROR(__xludf.DUMMYFUNCTION("""COMPUTED_VALUE"""),"Команда №4018")</f>
        <v>Команда №4018</v>
      </c>
      <c r="B145" s="1" t="str">
        <f ca="1">IFERROR(__xludf.DUMMYFUNCTION("""COMPUTED_VALUE"""),"Создание калькулятора оценок в Teamproject")</f>
        <v>Создание калькулятора оценок в Teamproject</v>
      </c>
      <c r="C145" s="2">
        <f ca="1">IFERROR(__xludf.DUMMYFUNCTION("""COMPUTED_VALUE"""),90)</f>
        <v>90</v>
      </c>
    </row>
    <row r="146" spans="1:3" ht="13.2" x14ac:dyDescent="0.25">
      <c r="A146" s="1" t="str">
        <f ca="1">IFERROR(__xludf.DUMMYFUNCTION("""COMPUTED_VALUE"""),"Команда №4024")</f>
        <v>Команда №4024</v>
      </c>
      <c r="B146" s="1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C146" s="2">
        <f ca="1">IFERROR(__xludf.DUMMYFUNCTION("""COMPUTED_VALUE"""),85)</f>
        <v>85</v>
      </c>
    </row>
    <row r="147" spans="1:3" ht="13.2" x14ac:dyDescent="0.25">
      <c r="A147" s="1" t="str">
        <f ca="1">IFERROR(__xludf.DUMMYFUNCTION("""COMPUTED_VALUE"""),"Команда №4029")</f>
        <v>Команда №4029</v>
      </c>
      <c r="B147" s="1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C147" s="2">
        <f ca="1">IFERROR(__xludf.DUMMYFUNCTION("""COMPUTED_VALUE"""),85)</f>
        <v>85</v>
      </c>
    </row>
    <row r="148" spans="1:3" ht="13.2" x14ac:dyDescent="0.25">
      <c r="A148" s="1" t="str">
        <f ca="1">IFERROR(__xludf.DUMMYFUNCTION("""COMPUTED_VALUE"""),"Команда №4039")</f>
        <v>Команда №4039</v>
      </c>
      <c r="B148" s="1" t="str">
        <f ca="1">IFERROR(__xludf.DUMMYFUNCTION("""COMPUTED_VALUE"""),"Создание приложения для смартфона")</f>
        <v>Создание приложения для смартфона</v>
      </c>
      <c r="C148" s="2">
        <f ca="1">IFERROR(__xludf.DUMMYFUNCTION("""COMPUTED_VALUE"""),85)</f>
        <v>85</v>
      </c>
    </row>
    <row r="149" spans="1:3" ht="13.2" x14ac:dyDescent="0.25">
      <c r="A149" s="1" t="str">
        <f ca="1">IFERROR(__xludf.DUMMYFUNCTION("""COMPUTED_VALUE"""),"Команда №4040")</f>
        <v>Команда №4040</v>
      </c>
      <c r="B149" s="1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C149" s="2">
        <f ca="1">IFERROR(__xludf.DUMMYFUNCTION("""COMPUTED_VALUE"""),85)</f>
        <v>85</v>
      </c>
    </row>
    <row r="150" spans="1:3" ht="13.2" x14ac:dyDescent="0.25">
      <c r="A150" s="1" t="str">
        <f ca="1">IFERROR(__xludf.DUMMYFUNCTION("""COMPUTED_VALUE"""),"Команда №4041")</f>
        <v>Команда №4041</v>
      </c>
      <c r="B150" s="1" t="str">
        <f ca="1">IFERROR(__xludf.DUMMYFUNCTION("""COMPUTED_VALUE"""),"Доработка программы учета контингента слушателей подготовительного отделения УрФУ")</f>
        <v>Доработка программы учета контингента слушателей подготовительного отделения УрФУ</v>
      </c>
      <c r="C150" s="2">
        <f ca="1">IFERROR(__xludf.DUMMYFUNCTION("""COMPUTED_VALUE"""),100)</f>
        <v>100</v>
      </c>
    </row>
    <row r="151" spans="1:3" ht="13.2" x14ac:dyDescent="0.25">
      <c r="A151" s="1" t="str">
        <f ca="1">IFERROR(__xludf.DUMMYFUNCTION("""COMPUTED_VALUE"""),"Команда №4047")</f>
        <v>Команда №4047</v>
      </c>
      <c r="B151" s="1" t="str">
        <f ca="1">IFERROR(__xludf.DUMMYFUNCTION("""COMPUTED_VALUE"""),"Разработка цифрового города")</f>
        <v>Разработка цифрового города</v>
      </c>
      <c r="C151" s="2">
        <f ca="1">IFERROR(__xludf.DUMMYFUNCTION("""COMPUTED_VALUE"""),85)</f>
        <v>85</v>
      </c>
    </row>
    <row r="152" spans="1:3" ht="13.2" x14ac:dyDescent="0.25">
      <c r="A152" s="1" t="str">
        <f ca="1">IFERROR(__xludf.DUMMYFUNCTION("""COMPUTED_VALUE"""),"Команда №4049")</f>
        <v>Команда №4049</v>
      </c>
      <c r="B152" s="1" t="str">
        <f ca="1">IFERROR(__xludf.DUMMYFUNCTION("""COMPUTED_VALUE"""),"Разработка цифрового города")</f>
        <v>Разработка цифрового города</v>
      </c>
      <c r="C152" s="2">
        <f ca="1">IFERROR(__xludf.DUMMYFUNCTION("""COMPUTED_VALUE"""),80)</f>
        <v>80</v>
      </c>
    </row>
    <row r="153" spans="1:3" ht="13.2" x14ac:dyDescent="0.25">
      <c r="A153" s="1" t="str">
        <f ca="1">IFERROR(__xludf.DUMMYFUNCTION("""COMPUTED_VALUE"""),"Команда №4053")</f>
        <v>Команда №4053</v>
      </c>
      <c r="B153" s="1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C153" s="2">
        <f ca="1">IFERROR(__xludf.DUMMYFUNCTION("""COMPUTED_VALUE"""),100)</f>
        <v>100</v>
      </c>
    </row>
    <row r="154" spans="1:3" ht="13.2" x14ac:dyDescent="0.25">
      <c r="A154" s="1" t="str">
        <f ca="1">IFERROR(__xludf.DUMMYFUNCTION("""COMPUTED_VALUE"""),"Команда №4054")</f>
        <v>Команда №4054</v>
      </c>
      <c r="B154" s="1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C154" s="2">
        <f ca="1">IFERROR(__xludf.DUMMYFUNCTION("""COMPUTED_VALUE"""),85)</f>
        <v>85</v>
      </c>
    </row>
    <row r="155" spans="1:3" ht="13.2" x14ac:dyDescent="0.25">
      <c r="A155" s="1" t="str">
        <f ca="1">IFERROR(__xludf.DUMMYFUNCTION("""COMPUTED_VALUE"""),"Команда №4055")</f>
        <v>Команда №4055</v>
      </c>
      <c r="B155" s="1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C155" s="2">
        <f ca="1">IFERROR(__xludf.DUMMYFUNCTION("""COMPUTED_VALUE"""),82)</f>
        <v>82</v>
      </c>
    </row>
    <row r="156" spans="1:3" ht="13.2" x14ac:dyDescent="0.25">
      <c r="A156" s="1" t="str">
        <f ca="1">IFERROR(__xludf.DUMMYFUNCTION("""COMPUTED_VALUE"""),"Команда №4057")</f>
        <v>Команда №4057</v>
      </c>
      <c r="B156" s="1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C156" s="2">
        <f ca="1">IFERROR(__xludf.DUMMYFUNCTION("""COMPUTED_VALUE"""),70)</f>
        <v>70</v>
      </c>
    </row>
    <row r="157" spans="1:3" ht="13.2" x14ac:dyDescent="0.25">
      <c r="A157" s="1" t="str">
        <f ca="1">IFERROR(__xludf.DUMMYFUNCTION("""COMPUTED_VALUE"""),"Команда №4059")</f>
        <v>Команда №4059</v>
      </c>
      <c r="B157" s="1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C157" s="2">
        <f ca="1">IFERROR(__xludf.DUMMYFUNCTION("""COMPUTED_VALUE"""),85)</f>
        <v>85</v>
      </c>
    </row>
    <row r="158" spans="1:3" ht="13.2" x14ac:dyDescent="0.25">
      <c r="A158" s="1" t="str">
        <f ca="1">IFERROR(__xludf.DUMMYFUNCTION("""COMPUTED_VALUE"""),"Команда №4061")</f>
        <v>Команда №4061</v>
      </c>
      <c r="B158" s="1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C158" s="2">
        <f ca="1">IFERROR(__xludf.DUMMYFUNCTION("""COMPUTED_VALUE"""),50)</f>
        <v>50</v>
      </c>
    </row>
    <row r="159" spans="1:3" ht="13.2" x14ac:dyDescent="0.25">
      <c r="A159" s="1" t="str">
        <f ca="1">IFERROR(__xludf.DUMMYFUNCTION("""COMPUTED_VALUE"""),"Команда №4065")</f>
        <v>Команда №4065</v>
      </c>
      <c r="B159" s="1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C159" s="2">
        <f ca="1">IFERROR(__xludf.DUMMYFUNCTION("""COMPUTED_VALUE"""),0)</f>
        <v>0</v>
      </c>
    </row>
    <row r="160" spans="1:3" ht="13.2" x14ac:dyDescent="0.25">
      <c r="A160" s="1" t="str">
        <f ca="1">IFERROR(__xludf.DUMMYFUNCTION("""COMPUTED_VALUE"""),"Команда №4066")</f>
        <v>Команда №4066</v>
      </c>
      <c r="B160" s="1" t="str">
        <f ca="1">IFERROR(__xludf.DUMMYFUNCTION("""COMPUTED_VALUE"""),"Создание интерактивной карты «Итинерарии (передвижение) французского короля Карла IX Валуа по источникам из российских архивных собраний»")</f>
        <v>Создание интерактивной карты «Итинерарии (передвижение) французского короля Карла IX Валуа по источникам из российских архивных собраний»</v>
      </c>
      <c r="C160" s="2">
        <f ca="1">IFERROR(__xludf.DUMMYFUNCTION("""COMPUTED_VALUE"""),100)</f>
        <v>100</v>
      </c>
    </row>
    <row r="161" spans="1:3" ht="13.2" x14ac:dyDescent="0.25">
      <c r="A161" s="1" t="str">
        <f ca="1">IFERROR(__xludf.DUMMYFUNCTION("""COMPUTED_VALUE"""),"Команда №4067")</f>
        <v>Команда №4067</v>
      </c>
      <c r="B161" s="1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C161" s="2">
        <f ca="1">IFERROR(__xludf.DUMMYFUNCTION("""COMPUTED_VALUE"""),89)</f>
        <v>89</v>
      </c>
    </row>
    <row r="162" spans="1:3" ht="13.2" x14ac:dyDescent="0.25">
      <c r="A162" s="1" t="str">
        <f ca="1">IFERROR(__xludf.DUMMYFUNCTION("""COMPUTED_VALUE"""),"Команда №4071")</f>
        <v>Команда №4071</v>
      </c>
      <c r="B162" s="1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C162" s="2">
        <f ca="1">IFERROR(__xludf.DUMMYFUNCTION("""COMPUTED_VALUE"""),85)</f>
        <v>85</v>
      </c>
    </row>
    <row r="163" spans="1:3" ht="13.2" x14ac:dyDescent="0.25">
      <c r="A163" s="1" t="str">
        <f ca="1">IFERROR(__xludf.DUMMYFUNCTION("""COMPUTED_VALUE"""),"Команда №4075")</f>
        <v>Команда №4075</v>
      </c>
      <c r="B163" s="1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C163" s="2">
        <f ca="1">IFERROR(__xludf.DUMMYFUNCTION("""COMPUTED_VALUE"""),85)</f>
        <v>85</v>
      </c>
    </row>
    <row r="164" spans="1:3" ht="13.2" x14ac:dyDescent="0.25">
      <c r="A164" s="1" t="str">
        <f ca="1">IFERROR(__xludf.DUMMYFUNCTION("""COMPUTED_VALUE"""),"Команда №4104")</f>
        <v>Команда №4104</v>
      </c>
      <c r="B164" s="1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C164" s="2">
        <f ca="1">IFERROR(__xludf.DUMMYFUNCTION("""COMPUTED_VALUE"""),0)</f>
        <v>0</v>
      </c>
    </row>
    <row r="165" spans="1:3" ht="13.2" x14ac:dyDescent="0.25">
      <c r="A165" s="1" t="str">
        <f ca="1">IFERROR(__xludf.DUMMYFUNCTION("""COMPUTED_VALUE"""),"Команда №4105")</f>
        <v>Команда №4105</v>
      </c>
      <c r="B165" s="1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C165" s="2">
        <f ca="1">IFERROR(__xludf.DUMMYFUNCTION("""COMPUTED_VALUE"""),85)</f>
        <v>85</v>
      </c>
    </row>
    <row r="166" spans="1:3" ht="13.2" x14ac:dyDescent="0.25">
      <c r="A166" s="1" t="str">
        <f ca="1">IFERROR(__xludf.DUMMYFUNCTION("""COMPUTED_VALUE"""),"Команда №4111")</f>
        <v>Команда №4111</v>
      </c>
      <c r="B166" s="1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C166" s="2">
        <f ca="1">IFERROR(__xludf.DUMMYFUNCTION("""COMPUTED_VALUE"""),100)</f>
        <v>100</v>
      </c>
    </row>
    <row r="167" spans="1:3" ht="13.2" x14ac:dyDescent="0.25">
      <c r="A167" s="1" t="str">
        <f ca="1">IFERROR(__xludf.DUMMYFUNCTION("""COMPUTED_VALUE"""),"Команда №4118")</f>
        <v>Команда №4118</v>
      </c>
      <c r="B167" s="1" t="str">
        <f ca="1">IFERROR(__xludf.DUMMYFUNCTION("""COMPUTED_VALUE"""),"Разработка виртуальных контестов на timus.online")</f>
        <v>Разработка виртуальных контестов на timus.online</v>
      </c>
      <c r="C167" s="2">
        <f ca="1">IFERROR(__xludf.DUMMYFUNCTION("""COMPUTED_VALUE"""),85)</f>
        <v>85</v>
      </c>
    </row>
    <row r="168" spans="1:3" ht="13.2" x14ac:dyDescent="0.25">
      <c r="A168" s="1" t="str">
        <f ca="1">IFERROR(__xludf.DUMMYFUNCTION("""COMPUTED_VALUE"""),"Команда №4127")</f>
        <v>Команда №4127</v>
      </c>
      <c r="B168" s="1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C168" s="2">
        <f ca="1">IFERROR(__xludf.DUMMYFUNCTION("""COMPUTED_VALUE"""),80)</f>
        <v>80</v>
      </c>
    </row>
    <row r="169" spans="1:3" ht="13.2" x14ac:dyDescent="0.25">
      <c r="A169" s="1" t="str">
        <f ca="1">IFERROR(__xludf.DUMMYFUNCTION("""COMPUTED_VALUE"""),"Команда №4135")</f>
        <v>Команда №4135</v>
      </c>
      <c r="B169" s="1" t="str">
        <f ca="1">IFERROR(__xludf.DUMMYFUNCTION("""COMPUTED_VALUE"""),"Создание веб-сервиса, показывающего оптимальную траекторию (или пакет траекторий) по заданному графу знаний и целевым вершинам")</f>
        <v>Создание веб-сервиса, показывающего оптимальную траекторию (или пакет траекторий) по заданному графу знаний и целевым вершинам</v>
      </c>
      <c r="C169" s="2">
        <f ca="1">IFERROR(__xludf.DUMMYFUNCTION("""COMPUTED_VALUE"""),0)</f>
        <v>0</v>
      </c>
    </row>
    <row r="170" spans="1:3" ht="13.2" x14ac:dyDescent="0.25">
      <c r="A170" s="1" t="str">
        <f ca="1">IFERROR(__xludf.DUMMYFUNCTION("""COMPUTED_VALUE"""),"Команда №4138")</f>
        <v>Команда №4138</v>
      </c>
      <c r="B170" s="1" t="str">
        <f ca="1">IFERROR(__xludf.DUMMYFUNCTION("""COMPUTED_VALUE"""),"Автосервис. Разработка дизайна и UI мобильной игры на unity")</f>
        <v>Автосервис. Разработка дизайна и UI мобильной игры на unity</v>
      </c>
      <c r="C170" s="2">
        <f ca="1">IFERROR(__xludf.DUMMYFUNCTION("""COMPUTED_VALUE"""),100)</f>
        <v>100</v>
      </c>
    </row>
    <row r="171" spans="1:3" ht="13.2" x14ac:dyDescent="0.25">
      <c r="A171" s="1" t="str">
        <f ca="1">IFERROR(__xludf.DUMMYFUNCTION("""COMPUTED_VALUE"""),"Команда №4148")</f>
        <v>Команда №4148</v>
      </c>
      <c r="B171" s="1" t="str">
        <f ca="1">IFERROR(__xludf.DUMMYFUNCTION("""COMPUTED_VALUE"""),"Разработка цифрового города")</f>
        <v>Разработка цифрового города</v>
      </c>
      <c r="C171" s="2">
        <f ca="1">IFERROR(__xludf.DUMMYFUNCTION("""COMPUTED_VALUE"""),80)</f>
        <v>80</v>
      </c>
    </row>
    <row r="172" spans="1:3" ht="13.2" x14ac:dyDescent="0.25">
      <c r="A172" s="1" t="str">
        <f ca="1">IFERROR(__xludf.DUMMYFUNCTION("""COMPUTED_VALUE"""),"Команда №4167")</f>
        <v>Команда №4167</v>
      </c>
      <c r="B172" s="1" t="str">
        <f ca="1">IFERROR(__xludf.DUMMYFUNCTION("""COMPUTED_VALUE"""),"Создание игрового ПО для ПК в жанре стратегия реального времени.")</f>
        <v>Создание игрового ПО для ПК в жанре стратегия реального времени.</v>
      </c>
      <c r="C172" s="2">
        <f ca="1">IFERROR(__xludf.DUMMYFUNCTION("""COMPUTED_VALUE"""),85)</f>
        <v>85</v>
      </c>
    </row>
    <row r="173" spans="1:3" ht="13.2" x14ac:dyDescent="0.25">
      <c r="A173" s="1" t="str">
        <f ca="1">IFERROR(__xludf.DUMMYFUNCTION("""COMPUTED_VALUE"""),"Команда №4168")</f>
        <v>Команда №4168</v>
      </c>
      <c r="B173" s="1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C173" s="2">
        <f ca="1">IFERROR(__xludf.DUMMYFUNCTION("""COMPUTED_VALUE"""),78)</f>
        <v>78</v>
      </c>
    </row>
    <row r="174" spans="1:3" ht="13.2" x14ac:dyDescent="0.25">
      <c r="A174" s="1" t="str">
        <f ca="1">IFERROR(__xludf.DUMMYFUNCTION("""COMPUTED_VALUE"""),"Команда №4238")</f>
        <v>Команда №4238</v>
      </c>
      <c r="B174" s="1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C174" s="2">
        <f ca="1">IFERROR(__xludf.DUMMYFUNCTION("""COMPUTED_VALUE"""),85)</f>
        <v>85</v>
      </c>
    </row>
    <row r="175" spans="1:3" ht="13.2" x14ac:dyDescent="0.25">
      <c r="A175" s="1" t="str">
        <f ca="1">IFERROR(__xludf.DUMMYFUNCTION("""COMPUTED_VALUE"""),"Команда №4250")</f>
        <v>Команда №4250</v>
      </c>
      <c r="B175" s="1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C175" s="2">
        <f ca="1">IFERROR(__xludf.DUMMYFUNCTION("""COMPUTED_VALUE"""),40)</f>
        <v>40</v>
      </c>
    </row>
    <row r="176" spans="1:3" ht="13.2" x14ac:dyDescent="0.25">
      <c r="A176" s="1" t="str">
        <f ca="1">IFERROR(__xludf.DUMMYFUNCTION("""COMPUTED_VALUE"""),"Команда №4255")</f>
        <v>Команда №4255</v>
      </c>
      <c r="B176" s="1" t="str">
        <f ca="1">IFERROR(__xludf.DUMMYFUNCTION("""COMPUTED_VALUE"""),"Автосервис. Разработка механики движения автомобилей для мобильной игры")</f>
        <v>Автосервис. Разработка механики движения автомобилей для мобильной игры</v>
      </c>
      <c r="C176" s="2">
        <f ca="1">IFERROR(__xludf.DUMMYFUNCTION("""COMPUTED_VALUE"""),0)</f>
        <v>0</v>
      </c>
    </row>
    <row r="177" spans="1:3" ht="13.2" x14ac:dyDescent="0.25">
      <c r="A177" s="1" t="str">
        <f ca="1">IFERROR(__xludf.DUMMYFUNCTION("""COMPUTED_VALUE"""),"Команда №4256")</f>
        <v>Команда №4256</v>
      </c>
      <c r="B177" s="1" t="str">
        <f ca="1">IFERROR(__xludf.DUMMYFUNCTION("""COMPUTED_VALUE"""),"Система автоматизации ""Умный дом""")</f>
        <v>Система автоматизации "Умный дом"</v>
      </c>
      <c r="C177" s="2">
        <f ca="1">IFERROR(__xludf.DUMMYFUNCTION("""COMPUTED_VALUE"""),89)</f>
        <v>89</v>
      </c>
    </row>
    <row r="178" spans="1:3" ht="13.2" x14ac:dyDescent="0.25">
      <c r="A178" s="1" t="str">
        <f ca="1">IFERROR(__xludf.DUMMYFUNCTION("""COMPUTED_VALUE"""),"Команда №4260")</f>
        <v>Команда №4260</v>
      </c>
      <c r="B178" s="1" t="str">
        <f ca="1">IFERROR(__xludf.DUMMYFUNCTION("""COMPUTED_VALUE"""),"Разработка алгоритма расчета сроков оплаты по договорам.")</f>
        <v>Разработка алгоритма расчета сроков оплаты по договорам.</v>
      </c>
      <c r="C178" s="2">
        <f ca="1">IFERROR(__xludf.DUMMYFUNCTION("""COMPUTED_VALUE"""),85)</f>
        <v>85</v>
      </c>
    </row>
    <row r="179" spans="1:3" ht="13.2" x14ac:dyDescent="0.25">
      <c r="A179" s="1" t="str">
        <f ca="1">IFERROR(__xludf.DUMMYFUNCTION("""COMPUTED_VALUE"""),"Команда №4262")</f>
        <v>Команда №4262</v>
      </c>
      <c r="B179" s="1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C179" s="2">
        <f ca="1">IFERROR(__xludf.DUMMYFUNCTION("""COMPUTED_VALUE"""),85)</f>
        <v>85</v>
      </c>
    </row>
    <row r="180" spans="1:3" ht="13.2" x14ac:dyDescent="0.25">
      <c r="A180" s="1" t="str">
        <f ca="1">IFERROR(__xludf.DUMMYFUNCTION("""COMPUTED_VALUE"""),"Команда №4266")</f>
        <v>Команда №4266</v>
      </c>
      <c r="B180" s="1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C180" s="2">
        <f ca="1">IFERROR(__xludf.DUMMYFUNCTION("""COMPUTED_VALUE"""),0)</f>
        <v>0</v>
      </c>
    </row>
    <row r="181" spans="1:3" ht="13.2" x14ac:dyDescent="0.25">
      <c r="A181" s="1" t="str">
        <f ca="1">IFERROR(__xludf.DUMMYFUNCTION("""COMPUTED_VALUE"""),"Команда №4270")</f>
        <v>Команда №4270</v>
      </c>
      <c r="B181" s="1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C181" s="2">
        <f ca="1">IFERROR(__xludf.DUMMYFUNCTION("""COMPUTED_VALUE"""),80)</f>
        <v>80</v>
      </c>
    </row>
    <row r="182" spans="1:3" ht="13.2" x14ac:dyDescent="0.25">
      <c r="A182" s="1" t="str">
        <f ca="1">IFERROR(__xludf.DUMMYFUNCTION("""COMPUTED_VALUE"""),"Команда №4283")</f>
        <v>Команда №4283</v>
      </c>
      <c r="B182" s="1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C182" s="2">
        <f ca="1">IFERROR(__xludf.DUMMYFUNCTION("""COMPUTED_VALUE"""),0)</f>
        <v>0</v>
      </c>
    </row>
    <row r="183" spans="1:3" ht="13.2" x14ac:dyDescent="0.25">
      <c r="A183" s="1" t="str">
        <f ca="1">IFERROR(__xludf.DUMMYFUNCTION("""COMPUTED_VALUE"""),"Команда №4290")</f>
        <v>Команда №4290</v>
      </c>
      <c r="B183" s="1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C183" s="2">
        <f ca="1">IFERROR(__xludf.DUMMYFUNCTION("""COMPUTED_VALUE"""),85)</f>
        <v>85</v>
      </c>
    </row>
    <row r="184" spans="1:3" ht="13.2" x14ac:dyDescent="0.25">
      <c r="A184" s="1" t="str">
        <f ca="1">IFERROR(__xludf.DUMMYFUNCTION("""COMPUTED_VALUE"""),"Команда №4302")</f>
        <v>Команда №4302</v>
      </c>
      <c r="B184" s="1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C184" s="2">
        <f ca="1">IFERROR(__xludf.DUMMYFUNCTION("""COMPUTED_VALUE"""),55)</f>
        <v>55</v>
      </c>
    </row>
    <row r="185" spans="1:3" ht="13.2" x14ac:dyDescent="0.25">
      <c r="A185" s="1" t="str">
        <f ca="1">IFERROR(__xludf.DUMMYFUNCTION("""COMPUTED_VALUE"""),"Команда №4304")</f>
        <v>Команда №4304</v>
      </c>
      <c r="B185" s="1" t="str">
        <f ca="1">IFERROR(__xludf.DUMMYFUNCTION("""COMPUTED_VALUE"""),"Создание хранилища внешних отчетов и обработок")</f>
        <v>Создание хранилища внешних отчетов и обработок</v>
      </c>
      <c r="C185" s="2">
        <f ca="1">IFERROR(__xludf.DUMMYFUNCTION("""COMPUTED_VALUE"""),90)</f>
        <v>90</v>
      </c>
    </row>
    <row r="186" spans="1:3" ht="13.2" x14ac:dyDescent="0.25">
      <c r="A186" s="1" t="str">
        <f ca="1">IFERROR(__xludf.DUMMYFUNCTION("""COMPUTED_VALUE"""),"Команда №4306")</f>
        <v>Команда №4306</v>
      </c>
      <c r="B186" s="1" t="str">
        <f ca="1">IFERROR(__xludf.DUMMYFUNCTION("""COMPUTED_VALUE"""),"Создание автоматизированного штатива для создание фото 360")</f>
        <v>Создание автоматизированного штатива для создание фото 360</v>
      </c>
      <c r="C186" s="2">
        <f ca="1">IFERROR(__xludf.DUMMYFUNCTION("""COMPUTED_VALUE"""),40)</f>
        <v>40</v>
      </c>
    </row>
    <row r="187" spans="1:3" ht="13.2" x14ac:dyDescent="0.25">
      <c r="A187" s="1" t="str">
        <f ca="1">IFERROR(__xludf.DUMMYFUNCTION("""COMPUTED_VALUE"""),"Команда №4308")</f>
        <v>Команда №4308</v>
      </c>
      <c r="B187" s="1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C187" s="2">
        <f ca="1">IFERROR(__xludf.DUMMYFUNCTION("""COMPUTED_VALUE"""),65)</f>
        <v>65</v>
      </c>
    </row>
    <row r="188" spans="1:3" ht="13.2" x14ac:dyDescent="0.25">
      <c r="A188" s="1" t="str">
        <f ca="1">IFERROR(__xludf.DUMMYFUNCTION("""COMPUTED_VALUE"""),"Команда №4310")</f>
        <v>Команда №4310</v>
      </c>
      <c r="B188" s="1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C188" s="2">
        <f ca="1">IFERROR(__xludf.DUMMYFUNCTION("""COMPUTED_VALUE"""),90)</f>
        <v>90</v>
      </c>
    </row>
    <row r="189" spans="1:3" ht="13.2" x14ac:dyDescent="0.25">
      <c r="A189" s="1" t="str">
        <f ca="1">IFERROR(__xludf.DUMMYFUNCTION("""COMPUTED_VALUE"""),"Команда №4314")</f>
        <v>Команда №4314</v>
      </c>
      <c r="B189" s="1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C189" s="2">
        <f ca="1">IFERROR(__xludf.DUMMYFUNCTION("""COMPUTED_VALUE"""),0)</f>
        <v>0</v>
      </c>
    </row>
    <row r="190" spans="1:3" ht="13.2" x14ac:dyDescent="0.25">
      <c r="A190" s="1" t="str">
        <f ca="1">IFERROR(__xludf.DUMMYFUNCTION("""COMPUTED_VALUE"""),"Команда №4323")</f>
        <v>Команда №4323</v>
      </c>
      <c r="B190" s="1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C190" s="2">
        <f ca="1">IFERROR(__xludf.DUMMYFUNCTION("""COMPUTED_VALUE"""),45)</f>
        <v>45</v>
      </c>
    </row>
    <row r="191" spans="1:3" ht="13.2" x14ac:dyDescent="0.25">
      <c r="A191" s="1" t="str">
        <f ca="1">IFERROR(__xludf.DUMMYFUNCTION("""COMPUTED_VALUE"""),"Команда №4327")</f>
        <v>Команда №4327</v>
      </c>
      <c r="B191" s="1" t="str">
        <f ca="1">IFERROR(__xludf.DUMMYFUNCTION("""COMPUTED_VALUE"""),"Разработка образовательного веб-сервиса")</f>
        <v>Разработка образовательного веб-сервиса</v>
      </c>
      <c r="C191" s="2">
        <f ca="1">IFERROR(__xludf.DUMMYFUNCTION("""COMPUTED_VALUE"""),80)</f>
        <v>80</v>
      </c>
    </row>
    <row r="192" spans="1:3" ht="13.2" x14ac:dyDescent="0.25">
      <c r="A192" s="1" t="str">
        <f ca="1">IFERROR(__xludf.DUMMYFUNCTION("""COMPUTED_VALUE"""),"Команда №4336")</f>
        <v>Команда №4336</v>
      </c>
      <c r="B192" s="1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C192" s="2">
        <f ca="1">IFERROR(__xludf.DUMMYFUNCTION("""COMPUTED_VALUE"""),70)</f>
        <v>70</v>
      </c>
    </row>
    <row r="193" spans="1:3" ht="13.2" x14ac:dyDescent="0.25">
      <c r="A193" s="1" t="str">
        <f ca="1">IFERROR(__xludf.DUMMYFUNCTION("""COMPUTED_VALUE"""),"Команда №4337")</f>
        <v>Команда №4337</v>
      </c>
      <c r="B193" s="1" t="str">
        <f ca="1">IFERROR(__xludf.DUMMYFUNCTION("""COMPUTED_VALUE"""),"Создание механизма обработки данных по сотрудникам компании")</f>
        <v>Создание механизма обработки данных по сотрудникам компании</v>
      </c>
      <c r="C193" s="2">
        <f ca="1">IFERROR(__xludf.DUMMYFUNCTION("""COMPUTED_VALUE"""),92)</f>
        <v>92</v>
      </c>
    </row>
    <row r="194" spans="1:3" ht="13.2" x14ac:dyDescent="0.25">
      <c r="A194" s="1" t="str">
        <f ca="1">IFERROR(__xludf.DUMMYFUNCTION("""COMPUTED_VALUE"""),"Команда №4343")</f>
        <v>Команда №4343</v>
      </c>
      <c r="B194" s="1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C194" s="2">
        <f ca="1">IFERROR(__xludf.DUMMYFUNCTION("""COMPUTED_VALUE"""),85)</f>
        <v>85</v>
      </c>
    </row>
    <row r="195" spans="1:3" ht="13.2" x14ac:dyDescent="0.25">
      <c r="A195" s="1" t="str">
        <f ca="1">IFERROR(__xludf.DUMMYFUNCTION("""COMPUTED_VALUE"""),"Команда №4362")</f>
        <v>Команда №4362</v>
      </c>
      <c r="B195" s="1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C195" s="2">
        <f ca="1">IFERROR(__xludf.DUMMYFUNCTION("""COMPUTED_VALUE"""),95)</f>
        <v>95</v>
      </c>
    </row>
    <row r="196" spans="1:3" ht="13.2" x14ac:dyDescent="0.25">
      <c r="A196" s="1" t="str">
        <f ca="1">IFERROR(__xludf.DUMMYFUNCTION("""COMPUTED_VALUE"""),"Команда №4363")</f>
        <v>Команда №4363</v>
      </c>
      <c r="B196" s="1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C196" s="2">
        <f ca="1">IFERROR(__xludf.DUMMYFUNCTION("""COMPUTED_VALUE"""),85)</f>
        <v>85</v>
      </c>
    </row>
    <row r="197" spans="1:3" ht="13.2" x14ac:dyDescent="0.25">
      <c r="A197" s="1" t="str">
        <f ca="1">IFERROR(__xludf.DUMMYFUNCTION("""COMPUTED_VALUE"""),"Команда №4368")</f>
        <v>Команда №4368</v>
      </c>
      <c r="B197" s="1" t="str">
        <f ca="1">IFERROR(__xludf.DUMMYFUNCTION("""COMPUTED_VALUE"""),"Разработка аналога сервиса ArGIN")</f>
        <v>Разработка аналога сервиса ArGIN</v>
      </c>
      <c r="C197" s="2">
        <f ca="1">IFERROR(__xludf.DUMMYFUNCTION("""COMPUTED_VALUE"""),0)</f>
        <v>0</v>
      </c>
    </row>
    <row r="198" spans="1:3" ht="13.2" x14ac:dyDescent="0.25">
      <c r="A198" s="1" t="str">
        <f ca="1">IFERROR(__xludf.DUMMYFUNCTION("""COMPUTED_VALUE"""),"Команда №4371")</f>
        <v>Команда №4371</v>
      </c>
      <c r="B198" s="1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C198" s="2">
        <f ca="1">IFERROR(__xludf.DUMMYFUNCTION("""COMPUTED_VALUE"""),90)</f>
        <v>90</v>
      </c>
    </row>
    <row r="199" spans="1:3" ht="13.2" x14ac:dyDescent="0.25">
      <c r="A199" s="1" t="str">
        <f ca="1">IFERROR(__xludf.DUMMYFUNCTION("""COMPUTED_VALUE"""),"Команда №4372")</f>
        <v>Команда №4372</v>
      </c>
      <c r="B199" s="1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C199" s="2">
        <f ca="1">IFERROR(__xludf.DUMMYFUNCTION("""COMPUTED_VALUE"""),99)</f>
        <v>99</v>
      </c>
    </row>
    <row r="200" spans="1:3" ht="13.2" x14ac:dyDescent="0.25">
      <c r="A200" s="1" t="str">
        <f ca="1">IFERROR(__xludf.DUMMYFUNCTION("""COMPUTED_VALUE"""),"Команда №4373")</f>
        <v>Команда №4373</v>
      </c>
      <c r="B200" s="1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C200" s="2">
        <f ca="1">IFERROR(__xludf.DUMMYFUNCTION("""COMPUTED_VALUE"""),85)</f>
        <v>85</v>
      </c>
    </row>
    <row r="201" spans="1:3" ht="13.2" x14ac:dyDescent="0.25">
      <c r="A201" s="1" t="str">
        <f ca="1">IFERROR(__xludf.DUMMYFUNCTION("""COMPUTED_VALUE"""),"Команда №4377")</f>
        <v>Команда №4377</v>
      </c>
      <c r="B201" s="1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C201" s="2">
        <f ca="1">IFERROR(__xludf.DUMMYFUNCTION("""COMPUTED_VALUE"""),84)</f>
        <v>84</v>
      </c>
    </row>
    <row r="202" spans="1:3" ht="13.2" x14ac:dyDescent="0.25">
      <c r="A202" s="1" t="str">
        <f ca="1">IFERROR(__xludf.DUMMYFUNCTION("""COMPUTED_VALUE"""),"Команда №4380")</f>
        <v>Команда №4380</v>
      </c>
      <c r="B202" s="1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C202" s="2">
        <f ca="1">IFERROR(__xludf.DUMMYFUNCTION("""COMPUTED_VALUE"""),88)</f>
        <v>88</v>
      </c>
    </row>
    <row r="203" spans="1:3" ht="13.2" x14ac:dyDescent="0.25">
      <c r="A203" s="1" t="str">
        <f ca="1">IFERROR(__xludf.DUMMYFUNCTION("""COMPUTED_VALUE"""),"Команда №4383")</f>
        <v>Команда №4383</v>
      </c>
      <c r="B203" s="1" t="str">
        <f ca="1">IFERROR(__xludf.DUMMYFUNCTION("""COMPUTED_VALUE"""),"Создание системы визуального контроля и мониторинга оборудования «Умного месторождения»")</f>
        <v>Создание системы визуального контроля и мониторинга оборудования «Умного месторождения»</v>
      </c>
      <c r="C203" s="2">
        <f ca="1">IFERROR(__xludf.DUMMYFUNCTION("""COMPUTED_VALUE"""),60)</f>
        <v>60</v>
      </c>
    </row>
    <row r="204" spans="1:3" ht="13.2" x14ac:dyDescent="0.25">
      <c r="A204" s="1" t="str">
        <f ca="1">IFERROR(__xludf.DUMMYFUNCTION("""COMPUTED_VALUE"""),"Команда №4392")</f>
        <v>Команда №4392</v>
      </c>
      <c r="B204" s="1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C204" s="2">
        <f ca="1">IFERROR(__xludf.DUMMYFUNCTION("""COMPUTED_VALUE"""),100)</f>
        <v>100</v>
      </c>
    </row>
    <row r="205" spans="1:3" ht="13.2" x14ac:dyDescent="0.25">
      <c r="A205" s="1" t="str">
        <f ca="1">IFERROR(__xludf.DUMMYFUNCTION("""COMPUTED_VALUE"""),"Команда №4393")</f>
        <v>Команда №4393</v>
      </c>
      <c r="B205" s="1" t="str">
        <f ca="1">IFERROR(__xludf.DUMMYFUNCTION("""COMPUTED_VALUE"""),"Подготовка данных для расчета резерва на залежалые остатки полуфабрикатов")</f>
        <v>Подготовка данных для расчета резерва на залежалые остатки полуфабрикатов</v>
      </c>
      <c r="C205" s="2">
        <f ca="1">IFERROR(__xludf.DUMMYFUNCTION("""COMPUTED_VALUE"""),0)</f>
        <v>0</v>
      </c>
    </row>
    <row r="206" spans="1:3" ht="13.2" x14ac:dyDescent="0.25">
      <c r="A206" s="1" t="str">
        <f ca="1">IFERROR(__xludf.DUMMYFUNCTION("""COMPUTED_VALUE"""),"Команда №4394")</f>
        <v>Команда №4394</v>
      </c>
      <c r="B206" s="1" t="str">
        <f ca="1">IFERROR(__xludf.DUMMYFUNCTION("""COMPUTED_VALUE"""),"Создание 3D-модели рельефа и городского пейзажа")</f>
        <v>Создание 3D-модели рельефа и городского пейзажа</v>
      </c>
      <c r="C206" s="2">
        <f ca="1">IFERROR(__xludf.DUMMYFUNCTION("""COMPUTED_VALUE"""),0)</f>
        <v>0</v>
      </c>
    </row>
    <row r="207" spans="1:3" ht="13.2" x14ac:dyDescent="0.25">
      <c r="A207" s="1" t="str">
        <f ca="1">IFERROR(__xludf.DUMMYFUNCTION("""COMPUTED_VALUE"""),"Команда №4397")</f>
        <v>Команда №4397</v>
      </c>
      <c r="B207" s="1" t="str">
        <f ca="1">IFERROR(__xludf.DUMMYFUNCTION("""COMPUTED_VALUE"""),"Система автоматизации ""Умный дом""")</f>
        <v>Система автоматизации "Умный дом"</v>
      </c>
      <c r="C207" s="2">
        <f ca="1">IFERROR(__xludf.DUMMYFUNCTION("""COMPUTED_VALUE"""),40)</f>
        <v>40</v>
      </c>
    </row>
    <row r="208" spans="1:3" ht="13.2" x14ac:dyDescent="0.25">
      <c r="A208" s="1" t="str">
        <f ca="1">IFERROR(__xludf.DUMMYFUNCTION("""COMPUTED_VALUE"""),"Команда №4402")</f>
        <v>Команда №4402</v>
      </c>
      <c r="B208" s="1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C208" s="2">
        <f ca="1">IFERROR(__xludf.DUMMYFUNCTION("""COMPUTED_VALUE"""),85)</f>
        <v>85</v>
      </c>
    </row>
    <row r="209" spans="1:3" ht="13.2" x14ac:dyDescent="0.25">
      <c r="A209" s="1" t="str">
        <f ca="1">IFERROR(__xludf.DUMMYFUNCTION("""COMPUTED_VALUE"""),"Команда №4403")</f>
        <v>Команда №4403</v>
      </c>
      <c r="B209" s="1" t="str">
        <f ca="1">IFERROR(__xludf.DUMMYFUNCTION("""COMPUTED_VALUE"""),"Создать учебное пособие по наборам компании MGBOT")</f>
        <v>Создать учебное пособие по наборам компании MGBOT</v>
      </c>
      <c r="C209" s="2">
        <f ca="1">IFERROR(__xludf.DUMMYFUNCTION("""COMPUTED_VALUE"""),75)</f>
        <v>75</v>
      </c>
    </row>
    <row r="210" spans="1:3" ht="13.2" x14ac:dyDescent="0.25">
      <c r="A210" s="1" t="str">
        <f ca="1">IFERROR(__xludf.DUMMYFUNCTION("""COMPUTED_VALUE"""),"Команда №4411")</f>
        <v>Команда №4411</v>
      </c>
      <c r="B210" s="1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C210" s="2">
        <f ca="1">IFERROR(__xludf.DUMMYFUNCTION("""COMPUTED_VALUE"""),50)</f>
        <v>50</v>
      </c>
    </row>
    <row r="211" spans="1:3" ht="13.2" x14ac:dyDescent="0.25">
      <c r="A211" s="1" t="str">
        <f ca="1">IFERROR(__xludf.DUMMYFUNCTION("""COMPUTED_VALUE"""),"Команда №4414")</f>
        <v>Команда №4414</v>
      </c>
      <c r="B211" s="1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C211" s="2">
        <f ca="1">IFERROR(__xludf.DUMMYFUNCTION("""COMPUTED_VALUE"""),89)</f>
        <v>89</v>
      </c>
    </row>
    <row r="212" spans="1:3" ht="13.2" x14ac:dyDescent="0.25">
      <c r="A212" s="1" t="str">
        <f ca="1">IFERROR(__xludf.DUMMYFUNCTION("""COMPUTED_VALUE"""),"Команда №4418")</f>
        <v>Команда №4418</v>
      </c>
      <c r="B212" s="1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C212" s="2">
        <f ca="1">IFERROR(__xludf.DUMMYFUNCTION("""COMPUTED_VALUE"""),85)</f>
        <v>85</v>
      </c>
    </row>
    <row r="213" spans="1:3" ht="13.2" x14ac:dyDescent="0.25">
      <c r="A213" s="1" t="str">
        <f ca="1">IFERROR(__xludf.DUMMYFUNCTION("""COMPUTED_VALUE"""),"Команда №4419")</f>
        <v>Команда №4419</v>
      </c>
      <c r="B213" s="1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C213" s="2">
        <f ca="1">IFERROR(__xludf.DUMMYFUNCTION("""COMPUTED_VALUE"""),95)</f>
        <v>95</v>
      </c>
    </row>
    <row r="214" spans="1:3" ht="13.2" x14ac:dyDescent="0.25">
      <c r="A214" s="1" t="str">
        <f ca="1">IFERROR(__xludf.DUMMYFUNCTION("""COMPUTED_VALUE"""),"Команда №4420")</f>
        <v>Команда №4420</v>
      </c>
      <c r="B214" s="1" t="str">
        <f ca="1">IFERROR(__xludf.DUMMYFUNCTION("""COMPUTED_VALUE"""),"Разработка веб-приложения по тайм менеджменту")</f>
        <v>Разработка веб-приложения по тайм менеджменту</v>
      </c>
      <c r="C214" s="2">
        <f ca="1">IFERROR(__xludf.DUMMYFUNCTION("""COMPUTED_VALUE"""),77)</f>
        <v>77</v>
      </c>
    </row>
    <row r="215" spans="1:3" ht="13.2" x14ac:dyDescent="0.25">
      <c r="A215" s="1" t="str">
        <f ca="1">IFERROR(__xludf.DUMMYFUNCTION("""COMPUTED_VALUE"""),"Команда №4425")</f>
        <v>Команда №4425</v>
      </c>
      <c r="B215" s="1" t="str">
        <f ca="1">IFERROR(__xludf.DUMMYFUNCTION("""COMPUTED_VALUE"""),"Разработка программы генерации полифонной (многоголосной) музыкальной композиции")</f>
        <v>Разработка программы генерации полифонной (многоголосной) музыкальной композиции</v>
      </c>
      <c r="C215" s="2">
        <f ca="1">IFERROR(__xludf.DUMMYFUNCTION("""COMPUTED_VALUE"""),62)</f>
        <v>62</v>
      </c>
    </row>
    <row r="216" spans="1:3" ht="13.2" x14ac:dyDescent="0.25">
      <c r="A216" s="1" t="str">
        <f ca="1">IFERROR(__xludf.DUMMYFUNCTION("""COMPUTED_VALUE"""),"Команда №4426")</f>
        <v>Команда №4426</v>
      </c>
      <c r="B216" s="1" t="str">
        <f ca="1">IFERROR(__xludf.DUMMYFUNCTION("""COMPUTED_VALUE"""),"Трансформация ТЗ на проектирование от заказчика в адаптированную информацию для BIM ПО.")</f>
        <v>Трансформация ТЗ на проектирование от заказчика в адаптированную информацию для BIM ПО.</v>
      </c>
      <c r="C216" s="2">
        <f ca="1">IFERROR(__xludf.DUMMYFUNCTION("""COMPUTED_VALUE"""),40)</f>
        <v>40</v>
      </c>
    </row>
    <row r="217" spans="1:3" ht="13.2" x14ac:dyDescent="0.25">
      <c r="A217" s="1" t="str">
        <f ca="1">IFERROR(__xludf.DUMMYFUNCTION("""COMPUTED_VALUE"""),"Команда №4429")</f>
        <v>Команда №4429</v>
      </c>
      <c r="B217" s="1" t="str">
        <f ca="1">IFERROR(__xludf.DUMMYFUNCTION("""COMPUTED_VALUE"""),"Разработка 2D-платформера на Unity")</f>
        <v>Разработка 2D-платформера на Unity</v>
      </c>
      <c r="C217" s="2">
        <f ca="1">IFERROR(__xludf.DUMMYFUNCTION("""COMPUTED_VALUE"""),95)</f>
        <v>95</v>
      </c>
    </row>
    <row r="218" spans="1:3" ht="13.2" x14ac:dyDescent="0.25">
      <c r="A218" s="1" t="str">
        <f ca="1">IFERROR(__xludf.DUMMYFUNCTION("""COMPUTED_VALUE"""),"Команда №4430")</f>
        <v>Команда №4430</v>
      </c>
      <c r="B218" s="1" t="str">
        <f ca="1">IFERROR(__xludf.DUMMYFUNCTION("""COMPUTED_VALUE"""),"Разработка 3 на 3 онлайн игры на Unity")</f>
        <v>Разработка 3 на 3 онлайн игры на Unity</v>
      </c>
      <c r="C218" s="2">
        <f ca="1">IFERROR(__xludf.DUMMYFUNCTION("""COMPUTED_VALUE"""),85)</f>
        <v>85</v>
      </c>
    </row>
    <row r="219" spans="1:3" ht="13.2" x14ac:dyDescent="0.25">
      <c r="A219" s="1" t="str">
        <f ca="1">IFERROR(__xludf.DUMMYFUNCTION("""COMPUTED_VALUE"""),"Команда №4431")</f>
        <v>Команда №4431</v>
      </c>
      <c r="B219" s="1" t="str">
        <f ca="1">IFERROR(__xludf.DUMMYFUNCTION("""COMPUTED_VALUE"""),"Создание CRM-системы «Школы». Backend")</f>
        <v>Создание CRM-системы «Школы». Backend</v>
      </c>
      <c r="C219" s="2">
        <f ca="1">IFERROR(__xludf.DUMMYFUNCTION("""COMPUTED_VALUE"""),84)</f>
        <v>84</v>
      </c>
    </row>
    <row r="220" spans="1:3" ht="13.2" x14ac:dyDescent="0.25">
      <c r="A220" s="1" t="str">
        <f ca="1">IFERROR(__xludf.DUMMYFUNCTION("""COMPUTED_VALUE"""),"Команда №4432")</f>
        <v>Команда №4432</v>
      </c>
      <c r="B220" s="1" t="str">
        <f ca="1">IFERROR(__xludf.DUMMYFUNCTION("""COMPUTED_VALUE"""),"Создание CRM-системы «Школы». Frontend")</f>
        <v>Создание CRM-системы «Школы». Frontend</v>
      </c>
      <c r="C220" s="2">
        <f ca="1">IFERROR(__xludf.DUMMYFUNCTION("""COMPUTED_VALUE"""),85)</f>
        <v>85</v>
      </c>
    </row>
    <row r="221" spans="1:3" ht="13.2" x14ac:dyDescent="0.25">
      <c r="A221" s="1" t="str">
        <f ca="1">IFERROR(__xludf.DUMMYFUNCTION("""COMPUTED_VALUE"""),"Команда №4433")</f>
        <v>Команда №4433</v>
      </c>
      <c r="B221" s="1" t="str">
        <f ca="1">IFERROR(__xludf.DUMMYFUNCTION("""COMPUTED_VALUE"""),"Создание CRM-системы «Школы». Mobile")</f>
        <v>Создание CRM-системы «Школы». Mobile</v>
      </c>
      <c r="C221" s="2">
        <f ca="1">IFERROR(__xludf.DUMMYFUNCTION("""COMPUTED_VALUE"""),85)</f>
        <v>85</v>
      </c>
    </row>
    <row r="222" spans="1:3" ht="13.2" x14ac:dyDescent="0.25">
      <c r="A222" s="1" t="str">
        <f ca="1">IFERROR(__xludf.DUMMYFUNCTION("""COMPUTED_VALUE"""),"Команда №4436")</f>
        <v>Команда №4436</v>
      </c>
      <c r="B222" s="1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C222" s="2">
        <f ca="1">IFERROR(__xludf.DUMMYFUNCTION("""COMPUTED_VALUE"""),90)</f>
        <v>90</v>
      </c>
    </row>
    <row r="223" spans="1:3" ht="13.2" x14ac:dyDescent="0.25">
      <c r="A223" s="1" t="str">
        <f ca="1">IFERROR(__xludf.DUMMYFUNCTION("""COMPUTED_VALUE"""),"Команда №4437")</f>
        <v>Команда №4437</v>
      </c>
      <c r="B223" s="1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C223" s="2">
        <f ca="1">IFERROR(__xludf.DUMMYFUNCTION("""COMPUTED_VALUE"""),100)</f>
        <v>100</v>
      </c>
    </row>
    <row r="224" spans="1:3" ht="13.2" x14ac:dyDescent="0.25">
      <c r="A224" s="1" t="str">
        <f ca="1">IFERROR(__xludf.DUMMYFUNCTION("""COMPUTED_VALUE"""),"Команда №4440")</f>
        <v>Команда №4440</v>
      </c>
      <c r="B224" s="1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C224" s="2">
        <f ca="1">IFERROR(__xludf.DUMMYFUNCTION("""COMPUTED_VALUE"""),85)</f>
        <v>85</v>
      </c>
    </row>
    <row r="225" spans="1:3" ht="13.2" x14ac:dyDescent="0.25">
      <c r="A225" s="1" t="str">
        <f ca="1">IFERROR(__xludf.DUMMYFUNCTION("""COMPUTED_VALUE"""),"Команда №4442")</f>
        <v>Команда №4442</v>
      </c>
      <c r="B225" s="1" t="str">
        <f ca="1">IFERROR(__xludf.DUMMYFUNCTION("""COMPUTED_VALUE"""),"Разработка алгоритма таджикско-персидской ""транслитерации""")</f>
        <v>Разработка алгоритма таджикско-персидской "транслитерации"</v>
      </c>
      <c r="C225" s="2">
        <f ca="1">IFERROR(__xludf.DUMMYFUNCTION("""COMPUTED_VALUE"""),85)</f>
        <v>85</v>
      </c>
    </row>
    <row r="226" spans="1:3" ht="13.2" x14ac:dyDescent="0.25">
      <c r="A226" s="1" t="str">
        <f ca="1">IFERROR(__xludf.DUMMYFUNCTION("""COMPUTED_VALUE"""),"Команда №4443")</f>
        <v>Команда №4443</v>
      </c>
      <c r="B226" s="1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C226" s="2">
        <f ca="1">IFERROR(__xludf.DUMMYFUNCTION("""COMPUTED_VALUE"""),95)</f>
        <v>95</v>
      </c>
    </row>
    <row r="227" spans="1:3" ht="13.2" x14ac:dyDescent="0.25">
      <c r="A227" s="1" t="str">
        <f ca="1">IFERROR(__xludf.DUMMYFUNCTION("""COMPUTED_VALUE"""),"Команда №4444")</f>
        <v>Команда №4444</v>
      </c>
      <c r="B227" s="1" t="str">
        <f ca="1">IFERROR(__xludf.DUMMYFUNCTION("""COMPUTED_VALUE"""),"Разработка онлайн курса по разделам высшей математики для студентов")</f>
        <v>Разработка онлайн курса по разделам высшей математики для студентов</v>
      </c>
      <c r="C227" s="2">
        <f ca="1">IFERROR(__xludf.DUMMYFUNCTION("""COMPUTED_VALUE"""),40)</f>
        <v>40</v>
      </c>
    </row>
    <row r="228" spans="1:3" ht="13.2" x14ac:dyDescent="0.25">
      <c r="A228" s="1" t="str">
        <f ca="1">IFERROR(__xludf.DUMMYFUNCTION("""COMPUTED_VALUE"""),"Команда №4448")</f>
        <v>Команда №4448</v>
      </c>
      <c r="B228" s="1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C228" s="2">
        <f ca="1">IFERROR(__xludf.DUMMYFUNCTION("""COMPUTED_VALUE"""),85)</f>
        <v>85</v>
      </c>
    </row>
    <row r="229" spans="1:3" ht="13.2" x14ac:dyDescent="0.25">
      <c r="A229" s="1" t="str">
        <f ca="1">IFERROR(__xludf.DUMMYFUNCTION("""COMPUTED_VALUE"""),"Команда №4449")</f>
        <v>Команда №4449</v>
      </c>
      <c r="B229" s="1" t="str">
        <f ca="1">IFERROR(__xludf.DUMMYFUNCTION("""COMPUTED_VALUE"""),"Human Voice Data Transmission: An Investigation Using Machine Learning.")</f>
        <v>Human Voice Data Transmission: An Investigation Using Machine Learning.</v>
      </c>
      <c r="C229" s="2">
        <f ca="1">IFERROR(__xludf.DUMMYFUNCTION("""COMPUTED_VALUE"""),97)</f>
        <v>97</v>
      </c>
    </row>
    <row r="230" spans="1:3" ht="13.2" x14ac:dyDescent="0.25">
      <c r="A230" s="1" t="str">
        <f ca="1">IFERROR(__xludf.DUMMYFUNCTION("""COMPUTED_VALUE"""),"Команда №4464")</f>
        <v>Команда №4464</v>
      </c>
      <c r="B230" s="1" t="str">
        <f ca="1">IFERROR(__xludf.DUMMYFUNCTION("""COMPUTED_VALUE"""),"Разработка интерактивных, динамически наполняемых комплексных экранов на базе Grafana")</f>
        <v>Разработка интерактивных, динамически наполняемых комплексных экранов на базе Grafana</v>
      </c>
      <c r="C230" s="2">
        <f ca="1">IFERROR(__xludf.DUMMYFUNCTION("""COMPUTED_VALUE"""),80)</f>
        <v>80</v>
      </c>
    </row>
    <row r="231" spans="1:3" ht="13.2" x14ac:dyDescent="0.25">
      <c r="A231" s="1" t="str">
        <f ca="1">IFERROR(__xludf.DUMMYFUNCTION("""COMPUTED_VALUE"""),"Команда №4466")</f>
        <v>Команда №4466</v>
      </c>
      <c r="B231" s="1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C231" s="2">
        <f ca="1">IFERROR(__xludf.DUMMYFUNCTION("""COMPUTED_VALUE"""),66)</f>
        <v>66</v>
      </c>
    </row>
    <row r="232" spans="1:3" ht="13.2" x14ac:dyDescent="0.25">
      <c r="A232" s="1" t="str">
        <f ca="1">IFERROR(__xludf.DUMMYFUNCTION("""COMPUTED_VALUE"""),"Команда №4467")</f>
        <v>Команда №4467</v>
      </c>
      <c r="B232" s="1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C232" s="2">
        <f ca="1">IFERROR(__xludf.DUMMYFUNCTION("""COMPUTED_VALUE"""),80)</f>
        <v>80</v>
      </c>
    </row>
    <row r="233" spans="1:3" ht="13.2" x14ac:dyDescent="0.25">
      <c r="A233" s="1" t="str">
        <f ca="1">IFERROR(__xludf.DUMMYFUNCTION("""COMPUTED_VALUE"""),"Команда №4468")</f>
        <v>Команда №4468</v>
      </c>
      <c r="B233" s="1" t="str">
        <f ca="1">IFERROR(__xludf.DUMMYFUNCTION("""COMPUTED_VALUE"""),"Разработка сервиса, позволяющая перевести 2D чертеж в BIM модель")</f>
        <v>Разработка сервиса, позволяющая перевести 2D чертеж в BIM модель</v>
      </c>
      <c r="C233" s="2">
        <f ca="1">IFERROR(__xludf.DUMMYFUNCTION("""COMPUTED_VALUE"""),0)</f>
        <v>0</v>
      </c>
    </row>
    <row r="234" spans="1:3" ht="13.2" x14ac:dyDescent="0.25">
      <c r="A234" s="1" t="str">
        <f ca="1">IFERROR(__xludf.DUMMYFUNCTION("""COMPUTED_VALUE"""),"Команда №4469")</f>
        <v>Команда №4469</v>
      </c>
      <c r="B234" s="1" t="str">
        <f ca="1">IFERROR(__xludf.DUMMYFUNCTION("""COMPUTED_VALUE"""),"Подготовка данных массива источников грязеобразования в Екатеринбурге к анализу")</f>
        <v>Подготовка данных массива источников грязеобразования в Екатеринбурге к анализу</v>
      </c>
      <c r="C234" s="2">
        <f ca="1">IFERROR(__xludf.DUMMYFUNCTION("""COMPUTED_VALUE"""),87)</f>
        <v>87</v>
      </c>
    </row>
    <row r="235" spans="1:3" ht="13.2" x14ac:dyDescent="0.25">
      <c r="A235" s="1" t="str">
        <f ca="1">IFERROR(__xludf.DUMMYFUNCTION("""COMPUTED_VALUE"""),"Команда №4472")</f>
        <v>Команда №4472</v>
      </c>
      <c r="B235" s="1" t="str">
        <f ca="1">IFERROR(__xludf.DUMMYFUNCTION("""COMPUTED_VALUE"""),"Создание модели распределения поверхностных грязевых наносов на жилой территории города")</f>
        <v>Создание модели распределения поверхностных грязевых наносов на жилой территории города</v>
      </c>
      <c r="C235" s="2">
        <f ca="1">IFERROR(__xludf.DUMMYFUNCTION("""COMPUTED_VALUE"""),78)</f>
        <v>78</v>
      </c>
    </row>
    <row r="236" spans="1:3" ht="13.2" x14ac:dyDescent="0.25">
      <c r="A236" s="1" t="str">
        <f ca="1">IFERROR(__xludf.DUMMYFUNCTION("""COMPUTED_VALUE"""),"Команда №4474")</f>
        <v>Команда №4474</v>
      </c>
      <c r="B236" s="1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C236" s="2">
        <f ca="1">IFERROR(__xludf.DUMMYFUNCTION("""COMPUTED_VALUE"""),85)</f>
        <v>85</v>
      </c>
    </row>
    <row r="237" spans="1:3" ht="13.2" x14ac:dyDescent="0.25">
      <c r="A237" s="1" t="str">
        <f ca="1">IFERROR(__xludf.DUMMYFUNCTION("""COMPUTED_VALUE"""),"Команда №4475")</f>
        <v>Команда №4475</v>
      </c>
      <c r="B237" s="1" t="str">
        <f ca="1">IFERROR(__xludf.DUMMYFUNCTION("""COMPUTED_VALUE"""),"Разработка плагина для ImageJ/Fiji")</f>
        <v>Разработка плагина для ImageJ/Fiji</v>
      </c>
      <c r="C237" s="2">
        <f ca="1">IFERROR(__xludf.DUMMYFUNCTION("""COMPUTED_VALUE"""),0)</f>
        <v>0</v>
      </c>
    </row>
    <row r="238" spans="1:3" ht="13.2" x14ac:dyDescent="0.25">
      <c r="A238" s="1" t="str">
        <f ca="1">IFERROR(__xludf.DUMMYFUNCTION("""COMPUTED_VALUE"""),"Команда №4476")</f>
        <v>Команда №4476</v>
      </c>
      <c r="B238" s="1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C238" s="2">
        <f ca="1">IFERROR(__xludf.DUMMYFUNCTION("""COMPUTED_VALUE"""),95)</f>
        <v>95</v>
      </c>
    </row>
    <row r="239" spans="1:3" ht="13.2" x14ac:dyDescent="0.25">
      <c r="A239" s="1" t="str">
        <f ca="1">IFERROR(__xludf.DUMMYFUNCTION("""COMPUTED_VALUE"""),"Команда №4477")</f>
        <v>Команда №4477</v>
      </c>
      <c r="B239" s="1" t="str">
        <f ca="1">IFERROR(__xludf.DUMMYFUNCTION("""COMPUTED_VALUE"""),"Создание универсального конструктор лендингов. Ярус.")</f>
        <v>Создание универсального конструктор лендингов. Ярус.</v>
      </c>
      <c r="C239" s="2">
        <f ca="1">IFERROR(__xludf.DUMMYFUNCTION("""COMPUTED_VALUE"""),83)</f>
        <v>83</v>
      </c>
    </row>
    <row r="240" spans="1:3" ht="13.2" x14ac:dyDescent="0.25">
      <c r="A240" s="1" t="str">
        <f ca="1">IFERROR(__xludf.DUMMYFUNCTION("""COMPUTED_VALUE"""),"Команда №4481")</f>
        <v>Команда №4481</v>
      </c>
      <c r="B240" s="1" t="str">
        <f ca="1">IFERROR(__xludf.DUMMYFUNCTION("""COMPUTED_VALUE"""),"Развёртывание существующих решений по ИБ IoT")</f>
        <v>Развёртывание существующих решений по ИБ IoT</v>
      </c>
      <c r="C240" s="2">
        <f ca="1">IFERROR(__xludf.DUMMYFUNCTION("""COMPUTED_VALUE"""),98)</f>
        <v>98</v>
      </c>
    </row>
    <row r="241" spans="1:3" ht="13.2" x14ac:dyDescent="0.25">
      <c r="A241" s="1" t="str">
        <f ca="1">IFERROR(__xludf.DUMMYFUNCTION("""COMPUTED_VALUE"""),"Команда №4482")</f>
        <v>Команда №4482</v>
      </c>
      <c r="B241" s="1" t="str">
        <f ca="1">IFERROR(__xludf.DUMMYFUNCTION("""COMPUTED_VALUE"""),"Создание АСУТП котельной, состоящей из двух контроллеров (котлов) и контроллера общего котельного оборудования")</f>
        <v>Создание АСУТП котельной, состоящей из двух контроллеров (котлов) и контроллера общего котельного оборудования</v>
      </c>
      <c r="C241" s="2">
        <f ca="1">IFERROR(__xludf.DUMMYFUNCTION("""COMPUTED_VALUE"""),0)</f>
        <v>0</v>
      </c>
    </row>
    <row r="242" spans="1:3" ht="13.2" x14ac:dyDescent="0.25">
      <c r="A242" s="1" t="str">
        <f ca="1">IFERROR(__xludf.DUMMYFUNCTION("""COMPUTED_VALUE"""),"Команда №4483")</f>
        <v>Команда №4483</v>
      </c>
      <c r="B242" s="1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C242" s="2">
        <f ca="1">IFERROR(__xludf.DUMMYFUNCTION("""COMPUTED_VALUE"""),82)</f>
        <v>82</v>
      </c>
    </row>
    <row r="243" spans="1:3" ht="13.2" x14ac:dyDescent="0.25">
      <c r="A243" s="1" t="str">
        <f ca="1">IFERROR(__xludf.DUMMYFUNCTION("""COMPUTED_VALUE"""),"Команда №4486")</f>
        <v>Команда №4486</v>
      </c>
      <c r="B243" s="1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C243" s="2">
        <f ca="1">IFERROR(__xludf.DUMMYFUNCTION("""COMPUTED_VALUE"""),70)</f>
        <v>70</v>
      </c>
    </row>
    <row r="244" spans="1:3" ht="13.2" x14ac:dyDescent="0.25">
      <c r="A244" s="1" t="str">
        <f ca="1">IFERROR(__xludf.DUMMYFUNCTION("""COMPUTED_VALUE"""),"Команда №4487")</f>
        <v>Команда №4487</v>
      </c>
      <c r="B244" s="1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C244" s="2">
        <f ca="1">IFERROR(__xludf.DUMMYFUNCTION("""COMPUTED_VALUE"""),80)</f>
        <v>80</v>
      </c>
    </row>
    <row r="245" spans="1:3" ht="13.2" x14ac:dyDescent="0.25">
      <c r="A245" s="1" t="str">
        <f ca="1">IFERROR(__xludf.DUMMYFUNCTION("""COMPUTED_VALUE"""),"Команда №4503")</f>
        <v>Команда №4503</v>
      </c>
      <c r="B245" s="1" t="str">
        <f ca="1">IFERROR(__xludf.DUMMYFUNCTION("""COMPUTED_VALUE"""),"Создание модели поведения пользователя для поиска аномалий")</f>
        <v>Создание модели поведения пользователя для поиска аномалий</v>
      </c>
      <c r="C245" s="2">
        <f ca="1">IFERROR(__xludf.DUMMYFUNCTION("""COMPUTED_VALUE"""),0)</f>
        <v>0</v>
      </c>
    </row>
    <row r="246" spans="1:3" ht="13.2" x14ac:dyDescent="0.25">
      <c r="A246" s="1" t="str">
        <f ca="1">IFERROR(__xludf.DUMMYFUNCTION("""COMPUTED_VALUE"""),"Команда №4511")</f>
        <v>Команда №4511</v>
      </c>
      <c r="B246" s="1" t="str">
        <f ca="1">IFERROR(__xludf.DUMMYFUNCTION("""COMPUTED_VALUE"""),"Разработка микросервиса, позволяющего провести анализ траекторий посетителей на основании видео")</f>
        <v>Разработка микросервиса, позволяющего провести анализ траекторий посетителей на основании видео</v>
      </c>
      <c r="C246" s="2">
        <f ca="1">IFERROR(__xludf.DUMMYFUNCTION("""COMPUTED_VALUE"""),90)</f>
        <v>90</v>
      </c>
    </row>
    <row r="247" spans="1:3" ht="13.2" x14ac:dyDescent="0.25">
      <c r="A247" s="1" t="str">
        <f ca="1">IFERROR(__xludf.DUMMYFUNCTION("""COMPUTED_VALUE"""),"Команда №4513")</f>
        <v>Команда №4513</v>
      </c>
      <c r="B247" s="1" t="str">
        <f ca="1">IFERROR(__xludf.DUMMYFUNCTION("""COMPUTED_VALUE"""),"Создание системы автоматического проведения интервью")</f>
        <v>Создание системы автоматического проведения интервью</v>
      </c>
      <c r="C247" s="2">
        <f ca="1">IFERROR(__xludf.DUMMYFUNCTION("""COMPUTED_VALUE"""),0)</f>
        <v>0</v>
      </c>
    </row>
    <row r="248" spans="1:3" ht="13.2" x14ac:dyDescent="0.25">
      <c r="A248" s="1" t="str">
        <f ca="1">IFERROR(__xludf.DUMMYFUNCTION("""COMPUTED_VALUE"""),"Команда №4515")</f>
        <v>Команда №4515</v>
      </c>
      <c r="B248" s="1" t="str">
        <f ca="1">IFERROR(__xludf.DUMMYFUNCTION("""COMPUTED_VALUE"""),"Защищенная беспроводная сеть на территории «Умного месторождения»")</f>
        <v>Защищенная беспроводная сеть на территории «Умного месторождения»</v>
      </c>
      <c r="C248" s="2">
        <f ca="1">IFERROR(__xludf.DUMMYFUNCTION("""COMPUTED_VALUE"""),61)</f>
        <v>61</v>
      </c>
    </row>
    <row r="249" spans="1:3" ht="13.2" x14ac:dyDescent="0.25">
      <c r="A249" s="1" t="str">
        <f ca="1">IFERROR(__xludf.DUMMYFUNCTION("""COMPUTED_VALUE"""),"Команда №4516")</f>
        <v>Команда №4516</v>
      </c>
      <c r="B249" s="1" t="str">
        <f ca="1">IFERROR(__xludf.DUMMYFUNCTION("""COMPUTED_VALUE"""),"Human Voice Data Transmission: An Investigation Using Machine Learning.")</f>
        <v>Human Voice Data Transmission: An Investigation Using Machine Learning.</v>
      </c>
      <c r="C249" s="2">
        <f ca="1">IFERROR(__xludf.DUMMYFUNCTION("""COMPUTED_VALUE"""),100)</f>
        <v>100</v>
      </c>
    </row>
    <row r="250" spans="1:3" ht="13.2" x14ac:dyDescent="0.25">
      <c r="A250" s="1" t="str">
        <f ca="1">IFERROR(__xludf.DUMMYFUNCTION("""COMPUTED_VALUE"""),"Команда №4553")</f>
        <v>Команда №4553</v>
      </c>
      <c r="B250" s="1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C250" s="2">
        <f ca="1">IFERROR(__xludf.DUMMYFUNCTION("""COMPUTED_VALUE"""),0)</f>
        <v>0</v>
      </c>
    </row>
    <row r="251" spans="1:3" ht="13.2" x14ac:dyDescent="0.25">
      <c r="A251" s="1" t="str">
        <f ca="1">IFERROR(__xludf.DUMMYFUNCTION("""COMPUTED_VALUE"""),"Команда №4563")</f>
        <v>Команда №4563</v>
      </c>
      <c r="B251" s="1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C251" s="2">
        <f ca="1">IFERROR(__xludf.DUMMYFUNCTION("""COMPUTED_VALUE"""),0)</f>
        <v>0</v>
      </c>
    </row>
    <row r="252" spans="1:3" ht="13.2" x14ac:dyDescent="0.25">
      <c r="A252" s="1" t="str">
        <f ca="1">IFERROR(__xludf.DUMMYFUNCTION("""COMPUTED_VALUE"""),"Команда №4564")</f>
        <v>Команда №4564</v>
      </c>
      <c r="B252" s="1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C252" s="2">
        <f ca="1">IFERROR(__xludf.DUMMYFUNCTION("""COMPUTED_VALUE"""),70)</f>
        <v>70</v>
      </c>
    </row>
    <row r="253" spans="1:3" ht="13.2" x14ac:dyDescent="0.25">
      <c r="A253" s="1" t="str">
        <f ca="1">IFERROR(__xludf.DUMMYFUNCTION("""COMPUTED_VALUE"""),"Команда №7777")</f>
        <v>Команда №7777</v>
      </c>
      <c r="B253" s="1" t="str">
        <f ca="1">IFERROR(__xludf.DUMMYFUNCTION("""COMPUTED_VALUE"""),"Создание тепловой карты региона РФ для визуализации данных об уровне удовлетворенности граждан")</f>
        <v>Создание тепловой карты региона РФ для визуализации данных об уровне удовлетворенности граждан</v>
      </c>
      <c r="C253" s="2">
        <f ca="1">IFERROR(__xludf.DUMMYFUNCTION("""COMPUTED_VALUE"""),95)</f>
        <v>95</v>
      </c>
    </row>
    <row r="254" spans="1:3" ht="13.2" x14ac:dyDescent="0.25">
      <c r="A254" s="1" t="str">
        <f ca="1">IFERROR(__xludf.DUMMYFUNCTION("""COMPUTED_VALUE"""),"ПоLEGOн")</f>
        <v>ПоLEGOн</v>
      </c>
      <c r="B254" s="1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C254" s="2">
        <f ca="1">IFERROR(__xludf.DUMMYFUNCTION("""COMPUTED_VALUE"""),85)</f>
        <v>85</v>
      </c>
    </row>
    <row r="255" spans="1:3" ht="13.2" x14ac:dyDescent="0.25">
      <c r="A255" s="1" t="str">
        <f ca="1">IFERROR(__xludf.DUMMYFUNCTION("""COMPUTED_VALUE"""),"ПУШКА")</f>
        <v>ПУШКА</v>
      </c>
      <c r="B255" s="1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C255" s="2">
        <f ca="1">IFERROR(__xludf.DUMMYFUNCTION("""COMPUTED_VALUE"""),100)</f>
        <v>100</v>
      </c>
    </row>
    <row r="256" spans="1:3" ht="13.2" x14ac:dyDescent="0.25">
      <c r="A256" s="1" t="str">
        <f ca="1">IFERROR(__xludf.DUMMYFUNCTION("""COMPUTED_VALUE"""),"Солевары 4413")</f>
        <v>Солевары 4413</v>
      </c>
      <c r="B256" s="1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C256" s="2">
        <f ca="1">IFERROR(__xludf.DUMMYFUNCTION("""COMPUTED_VALUE"""),85)</f>
        <v>85</v>
      </c>
    </row>
    <row r="257" spans="1:3" ht="13.2" x14ac:dyDescent="0.25">
      <c r="A257" s="1" t="str">
        <f ca="1">IFERROR(__xludf.DUMMYFUNCTION("""COMPUTED_VALUE"""),"Черепашки и Эйприл")</f>
        <v>Черепашки и Эйприл</v>
      </c>
      <c r="B257" s="1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C257" s="2">
        <f ca="1">IFERROR(__xludf.DUMMYFUNCTION("""COMPUTED_VALUE"""),97)</f>
        <v>97</v>
      </c>
    </row>
    <row r="258" spans="1:3" ht="13.2" x14ac:dyDescent="0.25">
      <c r="A258" s="1" t="str">
        <f ca="1">IFERROR(__xludf.DUMMYFUNCTION("""COMPUTED_VALUE"""),"Четверка жезлов")</f>
        <v>Четверка жезлов</v>
      </c>
      <c r="B258" s="1" t="str">
        <f ca="1">IFERROR(__xludf.DUMMYFUNCTION("""COMPUTED_VALUE"""),"Создание геймифицированного корпоративного портала «VSE В ПЛЮСЕ»")</f>
        <v>Создание геймифицированного корпоративного портала «VSE В ПЛЮСЕ»</v>
      </c>
      <c r="C258" s="2">
        <f ca="1">IFERROR(__xludf.DUMMYFUNCTION("""COMPUTED_VALUE"""),84)</f>
        <v>84</v>
      </c>
    </row>
    <row r="259" spans="1:3" ht="13.2" x14ac:dyDescent="0.25">
      <c r="A259" s="1" t="str">
        <f ca="1">IFERROR(__xludf.DUMMYFUNCTION("""COMPUTED_VALUE"""),"ЧИКИ ПИКИ")</f>
        <v>ЧИКИ ПИКИ</v>
      </c>
      <c r="B259" s="1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C259" s="2">
        <f ca="1">IFERROR(__xludf.DUMMYFUNCTION("""COMPUTED_VALUE"""),85)</f>
        <v>85</v>
      </c>
    </row>
    <row r="260" spans="1:3" ht="13.2" x14ac:dyDescent="0.25">
      <c r="A260" s="1" t="str">
        <f ca="1">IFERROR(__xludf.DUMMYFUNCTION("""COMPUTED_VALUE"""),"ANDROID ARE TRAVELERS")</f>
        <v>ANDROID ARE TRAVELERS</v>
      </c>
      <c r="B260" s="1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C260" s="2">
        <f ca="1">IFERROR(__xludf.DUMMYFUNCTION("""COMPUTED_VALUE"""),90)</f>
        <v>90</v>
      </c>
    </row>
    <row r="261" spans="1:3" ht="13.2" x14ac:dyDescent="0.25">
      <c r="A261" s="1" t="str">
        <f ca="1">IFERROR(__xludf.DUMMYFUNCTION("""COMPUTED_VALUE"""),"AnyKeyers")</f>
        <v>AnyKeyers</v>
      </c>
      <c r="B261" s="1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C261" s="2">
        <f ca="1">IFERROR(__xludf.DUMMYFUNCTION("""COMPUTED_VALUE"""),80)</f>
        <v>80</v>
      </c>
    </row>
    <row r="262" spans="1:3" ht="13.2" x14ac:dyDescent="0.25">
      <c r="A262" s="1" t="str">
        <f ca="1">IFERROR(__xludf.DUMMYFUNCTION("""COMPUTED_VALUE"""),"Arenda")</f>
        <v>Arenda</v>
      </c>
      <c r="B262" s="1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C262" s="2">
        <f ca="1">IFERROR(__xludf.DUMMYFUNCTION("""COMPUTED_VALUE"""),80)</f>
        <v>80</v>
      </c>
    </row>
    <row r="263" spans="1:3" ht="13.2" x14ac:dyDescent="0.25">
      <c r="A263" s="1" t="str">
        <f ca="1">IFERROR(__xludf.DUMMYFUNCTION("""COMPUTED_VALUE"""),"Astartes")</f>
        <v>Astartes</v>
      </c>
      <c r="B263" s="1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C263" s="2">
        <f ca="1">IFERROR(__xludf.DUMMYFUNCTION("""COMPUTED_VALUE"""),91)</f>
        <v>91</v>
      </c>
    </row>
    <row r="264" spans="1:3" ht="13.2" x14ac:dyDescent="0.25">
      <c r="A264" s="1" t="str">
        <f ca="1">IFERROR(__xludf.DUMMYFUNCTION("""COMPUTED_VALUE"""),"DemoDreams")</f>
        <v>DemoDreams</v>
      </c>
      <c r="B264" s="1" t="str">
        <f ca="1">IFERROR(__xludf.DUMMYFUNCTION("""COMPUTED_VALUE"""),"Разработка прототипа Action-RPG игры")</f>
        <v>Разработка прототипа Action-RPG игры</v>
      </c>
      <c r="C264" s="2">
        <f ca="1">IFERROR(__xludf.DUMMYFUNCTION("""COMPUTED_VALUE"""),60)</f>
        <v>60</v>
      </c>
    </row>
    <row r="265" spans="1:3" ht="13.2" x14ac:dyDescent="0.25">
      <c r="A265" s="1" t="str">
        <f ca="1">IFERROR(__xludf.DUMMYFUNCTION("""COMPUTED_VALUE"""),"ExpTeam")</f>
        <v>ExpTeam</v>
      </c>
      <c r="B265" s="1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C265" s="2">
        <f ca="1">IFERROR(__xludf.DUMMYFUNCTION("""COMPUTED_VALUE"""),100)</f>
        <v>100</v>
      </c>
    </row>
    <row r="266" spans="1:3" ht="13.2" x14ac:dyDescent="0.25">
      <c r="A266" s="1" t="str">
        <f ca="1">IFERROR(__xludf.DUMMYFUNCTION("""COMPUTED_VALUE"""),"Gang Bros")</f>
        <v>Gang Bros</v>
      </c>
      <c r="B266" s="1" t="str">
        <f ca="1">IFERROR(__xludf.DUMMYFUNCTION("""COMPUTED_VALUE"""),"Human Voice Data Transmission: An Investigation Using Machine Learning.")</f>
        <v>Human Voice Data Transmission: An Investigation Using Machine Learning.</v>
      </c>
      <c r="C266" s="2">
        <f ca="1">IFERROR(__xludf.DUMMYFUNCTION("""COMPUTED_VALUE"""),97)</f>
        <v>97</v>
      </c>
    </row>
    <row r="267" spans="1:3" ht="13.2" x14ac:dyDescent="0.25">
      <c r="A267" s="1" t="str">
        <f ca="1">IFERROR(__xludf.DUMMYFUNCTION("""COMPUTED_VALUE"""),"Gervel Team")</f>
        <v>Gervel Team</v>
      </c>
      <c r="B267" s="1" t="str">
        <f ca="1">IFERROR(__xludf.DUMMYFUNCTION("""COMPUTED_VALUE"""),"Разработка модели прогнозирования спроса покупателей для вендинговых автоматов")</f>
        <v>Разработка модели прогнозирования спроса покупателей для вендинговых автоматов</v>
      </c>
      <c r="C267" s="2">
        <f ca="1">IFERROR(__xludf.DUMMYFUNCTION("""COMPUTED_VALUE"""),90)</f>
        <v>90</v>
      </c>
    </row>
    <row r="268" spans="1:3" ht="13.2" x14ac:dyDescent="0.25">
      <c r="A268" s="1" t="str">
        <f ca="1">IFERROR(__xludf.DUMMYFUNCTION("""COMPUTED_VALUE"""),"GOLDEN RATIO")</f>
        <v>GOLDEN RATIO</v>
      </c>
      <c r="B268" s="1" t="str">
        <f ca="1">IFERROR(__xludf.DUMMYFUNCTION("""COMPUTED_VALUE"""),"Разработка игры в жанре Tower Defence")</f>
        <v>Разработка игры в жанре Tower Defence</v>
      </c>
      <c r="C268" s="2">
        <f ca="1">IFERROR(__xludf.DUMMYFUNCTION("""COMPUTED_VALUE"""),83)</f>
        <v>83</v>
      </c>
    </row>
    <row r="269" spans="1:3" ht="13.2" x14ac:dyDescent="0.25">
      <c r="A269" s="1" t="str">
        <f ca="1">IFERROR(__xludf.DUMMYFUNCTION("""COMPUTED_VALUE"""),"HELP?")</f>
        <v>HELP?</v>
      </c>
      <c r="B269" s="1" t="str">
        <f ca="1">IFERROR(__xludf.DUMMYFUNCTION("""COMPUTED_VALUE"""),"Разработка 3D-навигатора по УрФУ")</f>
        <v>Разработка 3D-навигатора по УрФУ</v>
      </c>
      <c r="C269" s="2">
        <f ca="1">IFERROR(__xludf.DUMMYFUNCTION("""COMPUTED_VALUE"""),70)</f>
        <v>70</v>
      </c>
    </row>
    <row r="270" spans="1:3" ht="13.2" x14ac:dyDescent="0.25">
      <c r="A270" s="1" t="str">
        <f ca="1">IFERROR(__xludf.DUMMYFUNCTION("""COMPUTED_VALUE"""),"ITальянцы")</f>
        <v>ITальянцы</v>
      </c>
      <c r="B270" s="1" t="str">
        <f ca="1">IFERROR(__xludf.DUMMYFUNCTION("""COMPUTED_VALUE"""),"Разработка сервисс для упрощения выбора кулинарных рецептов.")</f>
        <v>Разработка сервисс для упрощения выбора кулинарных рецептов.</v>
      </c>
      <c r="C270" s="2">
        <f ca="1">IFERROR(__xludf.DUMMYFUNCTION("""COMPUTED_VALUE"""),94)</f>
        <v>94</v>
      </c>
    </row>
    <row r="271" spans="1:3" ht="13.2" x14ac:dyDescent="0.25">
      <c r="A271" s="1" t="str">
        <f ca="1">IFERROR(__xludf.DUMMYFUNCTION("""COMPUTED_VALUE"""),"M.I.N.D")</f>
        <v>M.I.N.D</v>
      </c>
      <c r="B271" s="1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C271" s="2">
        <f ca="1">IFERROR(__xludf.DUMMYFUNCTION("""COMPUTED_VALUE"""),90)</f>
        <v>90</v>
      </c>
    </row>
    <row r="272" spans="1:3" ht="13.2" x14ac:dyDescent="0.25">
      <c r="A272" s="1" t="str">
        <f ca="1">IFERROR(__xludf.DUMMYFUNCTION("""COMPUTED_VALUE"""),"Mæa Softworks")</f>
        <v>Mæa Softworks</v>
      </c>
      <c r="B272" s="1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C272" s="2">
        <f ca="1">IFERROR(__xludf.DUMMYFUNCTION("""COMPUTED_VALUE"""),100)</f>
        <v>100</v>
      </c>
    </row>
    <row r="273" spans="1:3" ht="13.2" x14ac:dyDescent="0.25">
      <c r="A273" s="1" t="str">
        <f ca="1">IFERROR(__xludf.DUMMYFUNCTION("""COMPUTED_VALUE"""),"Monkiflip Games")</f>
        <v>Monkiflip Games</v>
      </c>
      <c r="B273" s="1" t="str">
        <f ca="1">IFERROR(__xludf.DUMMYFUNCTION("""COMPUTED_VALUE"""),"Разработка игр на Unity + Игровой арт")</f>
        <v>Разработка игр на Unity + Игровой арт</v>
      </c>
      <c r="C273" s="2">
        <f ca="1">IFERROR(__xludf.DUMMYFUNCTION("""COMPUTED_VALUE"""),100)</f>
        <v>100</v>
      </c>
    </row>
    <row r="274" spans="1:3" ht="13.2" x14ac:dyDescent="0.25">
      <c r="A274" s="1" t="str">
        <f ca="1">IFERROR(__xludf.DUMMYFUNCTION("""COMPUTED_VALUE"""),"RINEYA")</f>
        <v>RINEYA</v>
      </c>
      <c r="B274" s="1" t="str">
        <f ca="1">IFERROR(__xludf.DUMMYFUNCTION("""COMPUTED_VALUE"""),"Создание игрового ПО для ПК в жанре puzzle (головоломка)")</f>
        <v>Создание игрового ПО для ПК в жанре puzzle (головоломка)</v>
      </c>
      <c r="C274" s="2">
        <f ca="1">IFERROR(__xludf.DUMMYFUNCTION("""COMPUTED_VALUE"""),85)</f>
        <v>85</v>
      </c>
    </row>
    <row r="275" spans="1:3" ht="13.2" x14ac:dyDescent="0.25">
      <c r="A275" s="1" t="str">
        <f ca="1">IFERROR(__xludf.DUMMYFUNCTION("""COMPUTED_VALUE"""),"RTF_RANGERS")</f>
        <v>RTF_RANGERS</v>
      </c>
      <c r="B275" s="1" t="str">
        <f ca="1">IFERROR(__xludf.DUMMYFUNCTION("""COMPUTED_VALUE"""),"Создание эволюционной модели возникновения интеллекта")</f>
        <v>Создание эволюционной модели возникновения интеллекта</v>
      </c>
      <c r="C275" s="2">
        <f ca="1">IFERROR(__xludf.DUMMYFUNCTION("""COMPUTED_VALUE"""),92)</f>
        <v>92</v>
      </c>
    </row>
    <row r="276" spans="1:3" ht="13.2" x14ac:dyDescent="0.25">
      <c r="A276" s="1" t="str">
        <f ca="1">IFERROR(__xludf.DUMMYFUNCTION("""COMPUTED_VALUE"""),"Sliva Entertainment")</f>
        <v>Sliva Entertainment</v>
      </c>
      <c r="B276" s="1" t="str">
        <f ca="1">IFERROR(__xludf.DUMMYFUNCTION("""COMPUTED_VALUE"""),"Создание компьютерной игры")</f>
        <v>Создание компьютерной игры</v>
      </c>
      <c r="C276" s="2">
        <f ca="1">IFERROR(__xludf.DUMMYFUNCTION("""COMPUTED_VALUE"""),90)</f>
        <v>90</v>
      </c>
    </row>
    <row r="277" spans="1:3" ht="13.2" x14ac:dyDescent="0.25">
      <c r="A277" s="1" t="str">
        <f ca="1">IFERROR(__xludf.DUMMYFUNCTION("""COMPUTED_VALUE"""),"Snedson")</f>
        <v>Snedson</v>
      </c>
      <c r="B277" s="1" t="str">
        <f ca="1">IFERROR(__xludf.DUMMYFUNCTION("""COMPUTED_VALUE"""),"Разработка школьного агрегатора Snotra")</f>
        <v>Разработка школьного агрегатора Snotra</v>
      </c>
      <c r="C277" s="2">
        <f ca="1">IFERROR(__xludf.DUMMYFUNCTION("""COMPUTED_VALUE"""),83)</f>
        <v>83</v>
      </c>
    </row>
    <row r="278" spans="1:3" ht="13.2" x14ac:dyDescent="0.25">
      <c r="A278" s="1" t="str">
        <f ca="1">IFERROR(__xludf.DUMMYFUNCTION("""COMPUTED_VALUE"""),"Sons Of Sparda")</f>
        <v>Sons Of Sparda</v>
      </c>
      <c r="B278" s="1" t="str">
        <f ca="1">IFERROR(__xludf.DUMMYFUNCTION("""COMPUTED_VALUE"""),"Разработка игры Dungeon Crawler")</f>
        <v>Разработка игры Dungeon Crawler</v>
      </c>
      <c r="C278" s="2">
        <f ca="1">IFERROR(__xludf.DUMMYFUNCTION("""COMPUTED_VALUE"""),70)</f>
        <v>70</v>
      </c>
    </row>
    <row r="279" spans="1:3" ht="13.2" x14ac:dyDescent="0.25">
      <c r="A279" s="1" t="str">
        <f ca="1">IFERROR(__xludf.DUMMYFUNCTION("""COMPUTED_VALUE"""),"Temporary Pony Team")</f>
        <v>Temporary Pony Team</v>
      </c>
      <c r="B279" s="1" t="str">
        <f ca="1">IFERROR(__xludf.DUMMYFUNCTION("""COMPUTED_VALUE"""),"Разработка игр на Unity + Игровой арт")</f>
        <v>Разработка игр на Unity + Игровой арт</v>
      </c>
      <c r="C279" s="2">
        <f ca="1">IFERROR(__xludf.DUMMYFUNCTION("""COMPUTED_VALUE"""),100)</f>
        <v>100</v>
      </c>
    </row>
    <row r="280" spans="1:3" ht="13.2" x14ac:dyDescent="0.25">
      <c r="A280" s="1" t="str">
        <f ca="1">IFERROR(__xludf.DUMMYFUNCTION("""COMPUTED_VALUE"""),"UraniumTeam")</f>
        <v>UraniumTeam</v>
      </c>
      <c r="B280" s="1" t="str">
        <f ca="1">IFERROR(__xludf.DUMMYFUNCTION("""COMPUTED_VALUE"""),"Разработка библиотеки для параллельных вычислений с аппаратным ускорением")</f>
        <v>Разработка библиотеки для параллельных вычислений с аппаратным ускорением</v>
      </c>
      <c r="C280" s="2">
        <f ca="1">IFERROR(__xludf.DUMMYFUNCTION("""COMPUTED_VALUE"""),82)</f>
        <v>82</v>
      </c>
    </row>
    <row r="281" spans="1:3" ht="13.2" x14ac:dyDescent="0.25">
      <c r="A281" s="1" t="str">
        <f ca="1">IFERROR(__xludf.DUMMYFUNCTION("""COMPUTED_VALUE"""),"Web Educational Project 22(WEP-22)")</f>
        <v>Web Educational Project 22(WEP-22)</v>
      </c>
      <c r="B281" s="1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C281" s="2">
        <f ca="1">IFERROR(__xludf.DUMMYFUNCTION("""COMPUTED_VALUE"""),70)</f>
        <v>70</v>
      </c>
    </row>
    <row r="282" spans="1:3" ht="13.2" x14ac:dyDescent="0.25">
      <c r="A282" s="1" t="str">
        <f ca="1">IFERROR(__xludf.DUMMYFUNCTION("""COMPUTED_VALUE"""),"ZaEdu")</f>
        <v>ZaEdu</v>
      </c>
      <c r="B282" s="1" t="str">
        <f ca="1">IFERROR(__xludf.DUMMYFUNCTION("""COMPUTED_VALUE"""),"Создание калькулятора оценок в Teamproject")</f>
        <v>Создание калькулятора оценок в Teamproject</v>
      </c>
      <c r="C282" s="2">
        <f ca="1">IFERROR(__xludf.DUMMYFUNCTION("""COMPUTED_VALUE"""),90)</f>
        <v>90</v>
      </c>
    </row>
    <row r="283" spans="1:3" ht="13.2" x14ac:dyDescent="0.25">
      <c r="A283" s="1"/>
      <c r="B283" s="1"/>
      <c r="C283" s="2"/>
    </row>
    <row r="284" spans="1:3" ht="13.2" x14ac:dyDescent="0.25">
      <c r="A284" s="1"/>
      <c r="B284" s="1"/>
      <c r="C284" s="2"/>
    </row>
    <row r="285" spans="1:3" ht="13.2" x14ac:dyDescent="0.25">
      <c r="A285" s="1"/>
      <c r="B285" s="1"/>
      <c r="C285" s="2"/>
    </row>
    <row r="286" spans="1:3" ht="13.2" x14ac:dyDescent="0.25">
      <c r="A286" s="1"/>
      <c r="B286" s="1"/>
      <c r="C286" s="2"/>
    </row>
    <row r="287" spans="1:3" ht="13.2" x14ac:dyDescent="0.25">
      <c r="A287" s="1"/>
      <c r="B287" s="1"/>
      <c r="C287" s="2"/>
    </row>
    <row r="288" spans="1:3" ht="13.2" x14ac:dyDescent="0.25">
      <c r="A288" s="1"/>
      <c r="B288" s="1"/>
      <c r="C288" s="2"/>
    </row>
    <row r="289" spans="1:3" ht="13.2" x14ac:dyDescent="0.25">
      <c r="A289" s="1"/>
      <c r="B289" s="1"/>
      <c r="C289" s="2"/>
    </row>
    <row r="290" spans="1:3" ht="13.2" x14ac:dyDescent="0.25">
      <c r="A290" s="1"/>
      <c r="B290" s="1"/>
      <c r="C290" s="2"/>
    </row>
    <row r="291" spans="1:3" ht="13.2" x14ac:dyDescent="0.25">
      <c r="A291" s="1"/>
      <c r="B291" s="1"/>
      <c r="C291" s="2"/>
    </row>
    <row r="292" spans="1:3" ht="13.2" x14ac:dyDescent="0.25">
      <c r="A292" s="1"/>
      <c r="B292" s="1"/>
      <c r="C292" s="2"/>
    </row>
    <row r="293" spans="1:3" ht="13.2" x14ac:dyDescent="0.25">
      <c r="A293" s="1"/>
      <c r="B293" s="1"/>
      <c r="C293" s="2"/>
    </row>
    <row r="294" spans="1:3" ht="13.2" x14ac:dyDescent="0.25">
      <c r="A294" s="1"/>
      <c r="B294" s="1"/>
      <c r="C294" s="2"/>
    </row>
    <row r="295" spans="1:3" ht="13.2" x14ac:dyDescent="0.25">
      <c r="A295" s="1"/>
      <c r="B295" s="1"/>
      <c r="C295" s="2"/>
    </row>
    <row r="296" spans="1:3" ht="13.2" x14ac:dyDescent="0.25">
      <c r="A296" s="1"/>
      <c r="B296" s="1"/>
      <c r="C296" s="2"/>
    </row>
    <row r="297" spans="1:3" ht="13.2" x14ac:dyDescent="0.25">
      <c r="A297" s="1"/>
      <c r="B297" s="1"/>
      <c r="C297" s="2"/>
    </row>
    <row r="298" spans="1:3" ht="13.2" x14ac:dyDescent="0.25">
      <c r="A298" s="1"/>
      <c r="B298" s="1"/>
      <c r="C298" s="2"/>
    </row>
    <row r="299" spans="1:3" ht="13.2" x14ac:dyDescent="0.25">
      <c r="A299" s="1"/>
      <c r="B299" s="1"/>
      <c r="C299" s="2"/>
    </row>
    <row r="300" spans="1:3" ht="13.2" x14ac:dyDescent="0.25">
      <c r="A300" s="1"/>
      <c r="B300" s="1"/>
      <c r="C300" s="2"/>
    </row>
    <row r="301" spans="1:3" ht="13.2" x14ac:dyDescent="0.25">
      <c r="A301" s="1"/>
      <c r="B301" s="1"/>
      <c r="C301" s="2"/>
    </row>
    <row r="302" spans="1:3" ht="13.2" x14ac:dyDescent="0.25">
      <c r="A302" s="1"/>
      <c r="B302" s="1"/>
      <c r="C302" s="2"/>
    </row>
    <row r="303" spans="1:3" ht="13.2" x14ac:dyDescent="0.25">
      <c r="A303" s="1"/>
      <c r="B303" s="1"/>
      <c r="C303" s="2"/>
    </row>
    <row r="304" spans="1:3" ht="13.2" x14ac:dyDescent="0.25">
      <c r="A304" s="1"/>
      <c r="B304" s="1"/>
      <c r="C304" s="2"/>
    </row>
    <row r="305" spans="1:3" ht="13.2" x14ac:dyDescent="0.25">
      <c r="A305" s="1"/>
      <c r="B305" s="1"/>
      <c r="C305" s="2"/>
    </row>
    <row r="306" spans="1:3" ht="13.2" x14ac:dyDescent="0.25">
      <c r="A306" s="1"/>
      <c r="B306" s="1"/>
      <c r="C306" s="2"/>
    </row>
    <row r="307" spans="1:3" ht="13.2" x14ac:dyDescent="0.25">
      <c r="A307" s="1"/>
      <c r="B307" s="1"/>
      <c r="C307" s="2"/>
    </row>
    <row r="308" spans="1:3" ht="13.2" x14ac:dyDescent="0.25">
      <c r="A308" s="1"/>
      <c r="B308" s="1"/>
      <c r="C308" s="2"/>
    </row>
    <row r="309" spans="1:3" ht="13.2" x14ac:dyDescent="0.25">
      <c r="A309" s="1"/>
      <c r="B309" s="1"/>
      <c r="C309" s="2"/>
    </row>
    <row r="310" spans="1:3" ht="13.2" x14ac:dyDescent="0.25">
      <c r="A310" s="1"/>
      <c r="B310" s="1"/>
      <c r="C310" s="2"/>
    </row>
    <row r="311" spans="1:3" ht="13.2" x14ac:dyDescent="0.25">
      <c r="A311" s="1"/>
      <c r="B311" s="1"/>
      <c r="C311" s="2"/>
    </row>
    <row r="312" spans="1:3" ht="13.2" x14ac:dyDescent="0.25">
      <c r="A312" s="1"/>
      <c r="B312" s="1"/>
      <c r="C312" s="2"/>
    </row>
    <row r="313" spans="1:3" ht="13.2" x14ac:dyDescent="0.25">
      <c r="A313" s="1"/>
      <c r="B313" s="1"/>
      <c r="C313" s="2"/>
    </row>
    <row r="314" spans="1:3" ht="13.2" x14ac:dyDescent="0.25">
      <c r="A314" s="1"/>
      <c r="B314" s="1"/>
      <c r="C314" s="2"/>
    </row>
    <row r="315" spans="1:3" ht="13.2" x14ac:dyDescent="0.25">
      <c r="A315" s="1"/>
      <c r="B315" s="1"/>
      <c r="C315" s="2"/>
    </row>
    <row r="316" spans="1:3" ht="13.2" x14ac:dyDescent="0.25">
      <c r="A316" s="1"/>
      <c r="B316" s="1"/>
      <c r="C316" s="2"/>
    </row>
    <row r="317" spans="1:3" ht="13.2" x14ac:dyDescent="0.25">
      <c r="A317" s="1"/>
      <c r="B317" s="1"/>
      <c r="C317" s="2"/>
    </row>
    <row r="318" spans="1:3" ht="13.2" x14ac:dyDescent="0.25">
      <c r="A318" s="1"/>
      <c r="B318" s="1"/>
      <c r="C318" s="2"/>
    </row>
    <row r="319" spans="1:3" ht="13.2" x14ac:dyDescent="0.25">
      <c r="A319" s="1"/>
      <c r="B319" s="1"/>
      <c r="C319" s="2"/>
    </row>
    <row r="320" spans="1:3" ht="13.2" x14ac:dyDescent="0.25">
      <c r="A320" s="1"/>
      <c r="B320" s="1"/>
      <c r="C320" s="2"/>
    </row>
    <row r="321" spans="1:3" ht="13.2" x14ac:dyDescent="0.25">
      <c r="A321" s="1"/>
      <c r="B321" s="1"/>
      <c r="C321" s="2"/>
    </row>
    <row r="322" spans="1:3" ht="13.2" x14ac:dyDescent="0.25">
      <c r="A322" s="1"/>
      <c r="B322" s="1"/>
      <c r="C322" s="2"/>
    </row>
    <row r="323" spans="1:3" ht="13.2" x14ac:dyDescent="0.25">
      <c r="A323" s="1"/>
      <c r="B323" s="1"/>
      <c r="C323" s="2"/>
    </row>
    <row r="324" spans="1:3" ht="13.2" x14ac:dyDescent="0.25">
      <c r="A324" s="1"/>
      <c r="B324" s="1"/>
      <c r="C324" s="2"/>
    </row>
    <row r="325" spans="1:3" ht="13.2" x14ac:dyDescent="0.25">
      <c r="A325" s="1"/>
      <c r="B325" s="1"/>
      <c r="C325" s="2"/>
    </row>
    <row r="326" spans="1:3" ht="13.2" x14ac:dyDescent="0.25">
      <c r="A326" s="1"/>
      <c r="B326" s="1"/>
      <c r="C326" s="2"/>
    </row>
    <row r="327" spans="1:3" ht="13.2" x14ac:dyDescent="0.25">
      <c r="A327" s="1"/>
      <c r="B327" s="1"/>
      <c r="C327" s="2"/>
    </row>
    <row r="328" spans="1:3" ht="13.2" x14ac:dyDescent="0.25">
      <c r="A328" s="1"/>
      <c r="B328" s="1"/>
      <c r="C328" s="2"/>
    </row>
    <row r="329" spans="1:3" ht="13.2" x14ac:dyDescent="0.25">
      <c r="A329" s="1"/>
      <c r="B329" s="1"/>
      <c r="C329" s="2"/>
    </row>
    <row r="330" spans="1:3" ht="13.2" x14ac:dyDescent="0.25">
      <c r="A330" s="1"/>
      <c r="B330" s="1"/>
      <c r="C330" s="2"/>
    </row>
    <row r="331" spans="1:3" ht="13.2" x14ac:dyDescent="0.25">
      <c r="A331" s="1"/>
      <c r="B331" s="1"/>
      <c r="C331" s="2"/>
    </row>
    <row r="332" spans="1:3" ht="13.2" x14ac:dyDescent="0.25">
      <c r="A332" s="1"/>
      <c r="B332" s="1"/>
      <c r="C332" s="2"/>
    </row>
    <row r="333" spans="1:3" ht="13.2" x14ac:dyDescent="0.25">
      <c r="A333" s="1"/>
      <c r="B333" s="1"/>
      <c r="C333" s="2"/>
    </row>
    <row r="334" spans="1:3" ht="13.2" x14ac:dyDescent="0.25">
      <c r="A334" s="1"/>
      <c r="B334" s="1"/>
      <c r="C334" s="2"/>
    </row>
    <row r="335" spans="1:3" ht="13.2" x14ac:dyDescent="0.25">
      <c r="A335" s="1"/>
      <c r="B335" s="1"/>
      <c r="C335" s="2"/>
    </row>
    <row r="336" spans="1:3" ht="13.2" x14ac:dyDescent="0.25">
      <c r="A336" s="1"/>
      <c r="B336" s="1"/>
      <c r="C336" s="2"/>
    </row>
    <row r="337" spans="1:3" ht="13.2" x14ac:dyDescent="0.25">
      <c r="A337" s="1"/>
      <c r="B337" s="1"/>
      <c r="C337" s="2"/>
    </row>
    <row r="338" spans="1:3" ht="13.2" x14ac:dyDescent="0.25">
      <c r="A338" s="1"/>
      <c r="B338" s="1"/>
      <c r="C338" s="2"/>
    </row>
    <row r="339" spans="1:3" ht="13.2" x14ac:dyDescent="0.25">
      <c r="A339" s="1"/>
      <c r="B339" s="1"/>
      <c r="C339" s="2"/>
    </row>
    <row r="340" spans="1:3" ht="13.2" x14ac:dyDescent="0.25">
      <c r="A340" s="1"/>
      <c r="B340" s="1"/>
      <c r="C340" s="2"/>
    </row>
    <row r="341" spans="1:3" ht="13.2" x14ac:dyDescent="0.25">
      <c r="A341" s="1"/>
      <c r="B341" s="1"/>
      <c r="C341" s="2"/>
    </row>
    <row r="342" spans="1:3" ht="13.2" x14ac:dyDescent="0.25">
      <c r="A342" s="1"/>
      <c r="B342" s="1"/>
      <c r="C342" s="2"/>
    </row>
    <row r="343" spans="1:3" ht="13.2" x14ac:dyDescent="0.25">
      <c r="A343" s="1"/>
      <c r="B343" s="1"/>
      <c r="C343" s="2"/>
    </row>
    <row r="344" spans="1:3" ht="13.2" x14ac:dyDescent="0.25">
      <c r="A344" s="1"/>
      <c r="B344" s="1"/>
      <c r="C344" s="2"/>
    </row>
    <row r="345" spans="1:3" ht="13.2" x14ac:dyDescent="0.25">
      <c r="A345" s="1"/>
      <c r="B345" s="1"/>
      <c r="C345" s="2"/>
    </row>
    <row r="346" spans="1:3" ht="13.2" x14ac:dyDescent="0.25">
      <c r="A346" s="1"/>
      <c r="B346" s="1"/>
      <c r="C346" s="2"/>
    </row>
    <row r="347" spans="1:3" ht="13.2" x14ac:dyDescent="0.25">
      <c r="A347" s="1"/>
      <c r="B347" s="1"/>
      <c r="C347" s="2"/>
    </row>
    <row r="348" spans="1:3" ht="13.2" x14ac:dyDescent="0.25">
      <c r="A348" s="1"/>
      <c r="B348" s="1"/>
      <c r="C348" s="2"/>
    </row>
    <row r="349" spans="1:3" ht="13.2" x14ac:dyDescent="0.25">
      <c r="A349" s="1"/>
      <c r="B349" s="1"/>
      <c r="C349" s="2"/>
    </row>
    <row r="350" spans="1:3" ht="13.2" x14ac:dyDescent="0.25">
      <c r="A350" s="1"/>
      <c r="B350" s="1"/>
      <c r="C350" s="2"/>
    </row>
    <row r="351" spans="1:3" ht="13.2" x14ac:dyDescent="0.25">
      <c r="A351" s="1"/>
      <c r="B351" s="1"/>
      <c r="C351" s="2"/>
    </row>
    <row r="352" spans="1:3" ht="13.2" x14ac:dyDescent="0.25">
      <c r="A352" s="1"/>
      <c r="B352" s="1"/>
      <c r="C352" s="2"/>
    </row>
    <row r="353" spans="1:3" ht="13.2" x14ac:dyDescent="0.25">
      <c r="A353" s="1"/>
      <c r="B353" s="1"/>
      <c r="C353" s="2"/>
    </row>
    <row r="354" spans="1:3" ht="13.2" x14ac:dyDescent="0.25">
      <c r="A354" s="1"/>
      <c r="B354" s="1"/>
      <c r="C354" s="2"/>
    </row>
    <row r="355" spans="1:3" ht="13.2" x14ac:dyDescent="0.25">
      <c r="A355" s="1"/>
      <c r="B355" s="1"/>
      <c r="C355" s="2"/>
    </row>
    <row r="356" spans="1:3" ht="13.2" x14ac:dyDescent="0.25">
      <c r="A356" s="1"/>
      <c r="B356" s="1"/>
      <c r="C356" s="2"/>
    </row>
    <row r="357" spans="1:3" ht="13.2" x14ac:dyDescent="0.25">
      <c r="A357" s="1"/>
      <c r="B357" s="1"/>
      <c r="C357" s="2"/>
    </row>
    <row r="358" spans="1:3" ht="13.2" x14ac:dyDescent="0.25">
      <c r="A358" s="1"/>
      <c r="B358" s="1"/>
      <c r="C358" s="2"/>
    </row>
    <row r="359" spans="1:3" ht="13.2" x14ac:dyDescent="0.25">
      <c r="A359" s="1"/>
      <c r="B359" s="1"/>
      <c r="C359" s="2"/>
    </row>
    <row r="360" spans="1:3" ht="13.2" x14ac:dyDescent="0.25">
      <c r="A360" s="1"/>
      <c r="B360" s="1"/>
      <c r="C360" s="2"/>
    </row>
    <row r="361" spans="1:3" ht="13.2" x14ac:dyDescent="0.25">
      <c r="A361" s="1"/>
      <c r="B361" s="1"/>
      <c r="C361" s="2"/>
    </row>
    <row r="362" spans="1:3" ht="13.2" x14ac:dyDescent="0.25">
      <c r="A362" s="1"/>
      <c r="B362" s="1"/>
      <c r="C362" s="2"/>
    </row>
    <row r="363" spans="1:3" ht="13.2" x14ac:dyDescent="0.25">
      <c r="A363" s="1"/>
      <c r="B363" s="1"/>
      <c r="C363" s="2"/>
    </row>
    <row r="364" spans="1:3" ht="13.2" x14ac:dyDescent="0.25">
      <c r="A364" s="1"/>
      <c r="B364" s="1"/>
      <c r="C364" s="2"/>
    </row>
    <row r="365" spans="1:3" ht="13.2" x14ac:dyDescent="0.25">
      <c r="A365" s="1"/>
      <c r="B365" s="1"/>
      <c r="C365" s="2"/>
    </row>
    <row r="366" spans="1:3" ht="13.2" x14ac:dyDescent="0.25">
      <c r="A366" s="1"/>
      <c r="B366" s="1"/>
      <c r="C366" s="2"/>
    </row>
    <row r="367" spans="1:3" ht="13.2" x14ac:dyDescent="0.25">
      <c r="A367" s="1"/>
      <c r="B367" s="1"/>
      <c r="C367" s="2"/>
    </row>
    <row r="368" spans="1:3" ht="13.2" x14ac:dyDescent="0.25">
      <c r="A368" s="1"/>
      <c r="B368" s="1"/>
      <c r="C368" s="2"/>
    </row>
    <row r="369" spans="1:3" ht="13.2" x14ac:dyDescent="0.25">
      <c r="A369" s="1"/>
      <c r="B369" s="1"/>
      <c r="C369" s="2"/>
    </row>
    <row r="370" spans="1:3" ht="13.2" x14ac:dyDescent="0.25">
      <c r="A370" s="1"/>
      <c r="B370" s="1"/>
      <c r="C370" s="2"/>
    </row>
    <row r="371" spans="1:3" ht="13.2" x14ac:dyDescent="0.25">
      <c r="A371" s="1"/>
      <c r="B371" s="1"/>
      <c r="C371" s="2"/>
    </row>
    <row r="372" spans="1:3" ht="13.2" x14ac:dyDescent="0.25">
      <c r="A372" s="1"/>
      <c r="B372" s="1"/>
      <c r="C372" s="2"/>
    </row>
    <row r="373" spans="1:3" ht="13.2" x14ac:dyDescent="0.25">
      <c r="A373" s="1"/>
      <c r="B373" s="1"/>
      <c r="C373" s="2"/>
    </row>
    <row r="374" spans="1:3" ht="13.2" x14ac:dyDescent="0.25">
      <c r="A374" s="1"/>
      <c r="B374" s="1"/>
      <c r="C374" s="2"/>
    </row>
    <row r="375" spans="1:3" ht="13.2" x14ac:dyDescent="0.25">
      <c r="A375" s="1"/>
      <c r="B375" s="1"/>
      <c r="C375" s="2"/>
    </row>
    <row r="376" spans="1:3" ht="13.2" x14ac:dyDescent="0.25">
      <c r="A376" s="1"/>
      <c r="B376" s="1"/>
      <c r="C376" s="2"/>
    </row>
    <row r="377" spans="1:3" ht="13.2" x14ac:dyDescent="0.25">
      <c r="A377" s="1"/>
      <c r="B377" s="1"/>
      <c r="C377" s="2"/>
    </row>
    <row r="378" spans="1:3" ht="13.2" x14ac:dyDescent="0.25">
      <c r="A378" s="1"/>
      <c r="B378" s="1"/>
      <c r="C378" s="2"/>
    </row>
    <row r="379" spans="1:3" ht="13.2" x14ac:dyDescent="0.25">
      <c r="A379" s="1"/>
      <c r="B379" s="1"/>
      <c r="C379" s="2"/>
    </row>
    <row r="380" spans="1:3" ht="13.2" x14ac:dyDescent="0.25">
      <c r="A380" s="1"/>
      <c r="B380" s="1"/>
      <c r="C380" s="2"/>
    </row>
    <row r="381" spans="1:3" ht="13.2" x14ac:dyDescent="0.25">
      <c r="A381" s="1"/>
      <c r="B381" s="1"/>
      <c r="C381" s="2"/>
    </row>
    <row r="382" spans="1:3" ht="13.2" x14ac:dyDescent="0.25">
      <c r="A382" s="1"/>
      <c r="B382" s="1"/>
      <c r="C382" s="2"/>
    </row>
    <row r="383" spans="1:3" ht="13.2" x14ac:dyDescent="0.25">
      <c r="A383" s="1"/>
      <c r="B383" s="1"/>
      <c r="C383" s="2"/>
    </row>
    <row r="384" spans="1:3" ht="13.2" x14ac:dyDescent="0.25">
      <c r="A384" s="1"/>
      <c r="B384" s="1"/>
      <c r="C384" s="2"/>
    </row>
    <row r="385" spans="1:3" ht="13.2" x14ac:dyDescent="0.25">
      <c r="A385" s="1"/>
      <c r="B385" s="1"/>
      <c r="C385" s="2"/>
    </row>
    <row r="386" spans="1:3" ht="13.2" x14ac:dyDescent="0.25">
      <c r="A386" s="1"/>
      <c r="B386" s="1"/>
      <c r="C386" s="2"/>
    </row>
    <row r="387" spans="1:3" ht="13.2" x14ac:dyDescent="0.25">
      <c r="A387" s="1"/>
      <c r="B387" s="1"/>
      <c r="C387" s="2"/>
    </row>
    <row r="388" spans="1:3" ht="13.2" x14ac:dyDescent="0.25">
      <c r="A388" s="1"/>
      <c r="B388" s="1"/>
      <c r="C388" s="2"/>
    </row>
    <row r="389" spans="1:3" ht="13.2" x14ac:dyDescent="0.25">
      <c r="A389" s="1"/>
      <c r="B389" s="1"/>
      <c r="C389" s="2"/>
    </row>
    <row r="390" spans="1:3" ht="13.2" x14ac:dyDescent="0.25">
      <c r="A390" s="1"/>
      <c r="B390" s="1"/>
      <c r="C390" s="2"/>
    </row>
    <row r="391" spans="1:3" ht="13.2" x14ac:dyDescent="0.25">
      <c r="A391" s="1"/>
      <c r="B391" s="1"/>
      <c r="C391" s="2"/>
    </row>
    <row r="392" spans="1:3" ht="13.2" x14ac:dyDescent="0.25">
      <c r="A392" s="1"/>
      <c r="B392" s="1"/>
      <c r="C392" s="2"/>
    </row>
    <row r="393" spans="1:3" ht="13.2" x14ac:dyDescent="0.25">
      <c r="A393" s="1"/>
      <c r="B393" s="1"/>
      <c r="C393" s="2"/>
    </row>
    <row r="394" spans="1:3" ht="13.2" x14ac:dyDescent="0.25">
      <c r="A394" s="1"/>
      <c r="B394" s="1"/>
      <c r="C394" s="2"/>
    </row>
    <row r="395" spans="1:3" ht="13.2" x14ac:dyDescent="0.25">
      <c r="A395" s="1"/>
      <c r="B395" s="1"/>
      <c r="C395" s="2"/>
    </row>
    <row r="396" spans="1:3" ht="13.2" x14ac:dyDescent="0.25">
      <c r="A396" s="1"/>
      <c r="B396" s="1"/>
      <c r="C396" s="2"/>
    </row>
    <row r="397" spans="1:3" ht="13.2" x14ac:dyDescent="0.25">
      <c r="A397" s="1"/>
      <c r="B397" s="1"/>
      <c r="C397" s="2"/>
    </row>
    <row r="398" spans="1:3" ht="13.2" x14ac:dyDescent="0.25">
      <c r="A398" s="1"/>
      <c r="B398" s="1"/>
      <c r="C398" s="2"/>
    </row>
    <row r="399" spans="1:3" ht="13.2" x14ac:dyDescent="0.25">
      <c r="A399" s="1"/>
      <c r="B399" s="1"/>
      <c r="C399" s="2"/>
    </row>
    <row r="400" spans="1:3" ht="13.2" x14ac:dyDescent="0.25">
      <c r="A400" s="1"/>
      <c r="B400" s="1"/>
      <c r="C400" s="2"/>
    </row>
    <row r="401" spans="1:3" ht="13.2" x14ac:dyDescent="0.25">
      <c r="A401" s="1"/>
      <c r="B401" s="1"/>
      <c r="C401" s="2"/>
    </row>
    <row r="402" spans="1:3" ht="13.2" x14ac:dyDescent="0.25">
      <c r="A402" s="1"/>
      <c r="B402" s="1"/>
      <c r="C402" s="2"/>
    </row>
    <row r="403" spans="1:3" ht="13.2" x14ac:dyDescent="0.25">
      <c r="A403" s="1"/>
      <c r="B403" s="1"/>
      <c r="C403" s="2"/>
    </row>
    <row r="404" spans="1:3" ht="13.2" x14ac:dyDescent="0.25">
      <c r="A404" s="1"/>
      <c r="B404" s="1"/>
      <c r="C404" s="2"/>
    </row>
    <row r="405" spans="1:3" ht="13.2" x14ac:dyDescent="0.25">
      <c r="A405" s="1"/>
      <c r="B405" s="1"/>
      <c r="C405" s="2"/>
    </row>
    <row r="406" spans="1:3" ht="13.2" x14ac:dyDescent="0.25">
      <c r="A406" s="1"/>
      <c r="B406" s="1"/>
      <c r="C406" s="2"/>
    </row>
    <row r="407" spans="1:3" ht="13.2" x14ac:dyDescent="0.25">
      <c r="A407" s="1"/>
      <c r="B407" s="1"/>
      <c r="C407" s="2"/>
    </row>
    <row r="408" spans="1:3" ht="13.2" x14ac:dyDescent="0.25">
      <c r="A408" s="1"/>
      <c r="B408" s="1"/>
      <c r="C408" s="2"/>
    </row>
    <row r="409" spans="1:3" ht="13.2" x14ac:dyDescent="0.25">
      <c r="A409" s="1"/>
      <c r="B409" s="1"/>
      <c r="C409" s="2"/>
    </row>
    <row r="410" spans="1:3" ht="13.2" x14ac:dyDescent="0.25">
      <c r="A410" s="1"/>
      <c r="B410" s="1"/>
      <c r="C410" s="2"/>
    </row>
    <row r="411" spans="1:3" ht="13.2" x14ac:dyDescent="0.25">
      <c r="A411" s="1"/>
      <c r="B411" s="1"/>
      <c r="C411" s="2"/>
    </row>
    <row r="412" spans="1:3" ht="13.2" x14ac:dyDescent="0.25">
      <c r="A412" s="1"/>
      <c r="B412" s="1"/>
      <c r="C412" s="2"/>
    </row>
    <row r="413" spans="1:3" ht="13.2" x14ac:dyDescent="0.25">
      <c r="A413" s="1"/>
      <c r="B413" s="1"/>
      <c r="C413" s="2"/>
    </row>
    <row r="414" spans="1:3" ht="13.2" x14ac:dyDescent="0.25">
      <c r="A414" s="1"/>
      <c r="B414" s="1"/>
      <c r="C414" s="2"/>
    </row>
    <row r="415" spans="1:3" ht="13.2" x14ac:dyDescent="0.25">
      <c r="A415" s="1"/>
      <c r="B415" s="1"/>
      <c r="C415" s="2"/>
    </row>
    <row r="416" spans="1:3" ht="13.2" x14ac:dyDescent="0.25">
      <c r="A416" s="1"/>
      <c r="B416" s="1"/>
      <c r="C416" s="2"/>
    </row>
    <row r="417" spans="1:3" ht="13.2" x14ac:dyDescent="0.25">
      <c r="A417" s="1"/>
      <c r="B417" s="1"/>
      <c r="C417" s="2"/>
    </row>
    <row r="418" spans="1:3" ht="13.2" x14ac:dyDescent="0.25">
      <c r="A418" s="1"/>
      <c r="B418" s="1"/>
      <c r="C418" s="2"/>
    </row>
    <row r="419" spans="1:3" ht="13.2" x14ac:dyDescent="0.25">
      <c r="A419" s="1"/>
      <c r="B419" s="1"/>
      <c r="C419" s="2"/>
    </row>
    <row r="420" spans="1:3" ht="13.2" x14ac:dyDescent="0.25">
      <c r="A420" s="1"/>
      <c r="B420" s="1"/>
      <c r="C420" s="2"/>
    </row>
    <row r="421" spans="1:3" ht="13.2" x14ac:dyDescent="0.25">
      <c r="A421" s="1"/>
      <c r="B421" s="1"/>
      <c r="C421" s="2"/>
    </row>
    <row r="422" spans="1:3" ht="13.2" x14ac:dyDescent="0.25">
      <c r="A422" s="1"/>
      <c r="B422" s="1"/>
      <c r="C422" s="2"/>
    </row>
    <row r="423" spans="1:3" ht="13.2" x14ac:dyDescent="0.25">
      <c r="A423" s="1"/>
      <c r="B423" s="1"/>
      <c r="C423" s="2"/>
    </row>
    <row r="424" spans="1:3" ht="13.2" x14ac:dyDescent="0.25">
      <c r="A424" s="1"/>
      <c r="B424" s="1"/>
      <c r="C424" s="2"/>
    </row>
    <row r="425" spans="1:3" ht="13.2" x14ac:dyDescent="0.25">
      <c r="A425" s="1"/>
      <c r="B425" s="1"/>
      <c r="C425" s="2"/>
    </row>
    <row r="426" spans="1:3" ht="13.2" x14ac:dyDescent="0.25">
      <c r="A426" s="1"/>
      <c r="B426" s="1"/>
      <c r="C426" s="2"/>
    </row>
    <row r="427" spans="1:3" ht="13.2" x14ac:dyDescent="0.25">
      <c r="A427" s="1"/>
      <c r="B427" s="1"/>
      <c r="C427" s="2"/>
    </row>
    <row r="428" spans="1:3" ht="13.2" x14ac:dyDescent="0.25">
      <c r="A428" s="1"/>
      <c r="B428" s="1"/>
      <c r="C428" s="2"/>
    </row>
    <row r="429" spans="1:3" ht="13.2" x14ac:dyDescent="0.25">
      <c r="A429" s="1"/>
      <c r="B429" s="1"/>
      <c r="C429" s="2"/>
    </row>
    <row r="430" spans="1:3" ht="13.2" x14ac:dyDescent="0.25">
      <c r="A430" s="1"/>
      <c r="B430" s="1"/>
      <c r="C430" s="2"/>
    </row>
    <row r="431" spans="1:3" ht="13.2" x14ac:dyDescent="0.25">
      <c r="A431" s="1"/>
      <c r="B431" s="1"/>
      <c r="C431" s="2"/>
    </row>
    <row r="432" spans="1:3" ht="13.2" x14ac:dyDescent="0.25">
      <c r="A432" s="1"/>
      <c r="B432" s="1"/>
      <c r="C432" s="2"/>
    </row>
    <row r="433" spans="1:3" ht="13.2" x14ac:dyDescent="0.25">
      <c r="A433" s="1"/>
      <c r="B433" s="1"/>
      <c r="C433" s="2"/>
    </row>
    <row r="434" spans="1:3" ht="13.2" x14ac:dyDescent="0.25">
      <c r="A434" s="1"/>
      <c r="B434" s="1"/>
      <c r="C434" s="2"/>
    </row>
    <row r="435" spans="1:3" ht="13.2" x14ac:dyDescent="0.25">
      <c r="A435" s="1"/>
      <c r="B435" s="1"/>
      <c r="C435" s="2"/>
    </row>
    <row r="436" spans="1:3" ht="13.2" x14ac:dyDescent="0.25">
      <c r="A436" s="1"/>
      <c r="B436" s="1"/>
      <c r="C436" s="2"/>
    </row>
    <row r="437" spans="1:3" ht="13.2" x14ac:dyDescent="0.25">
      <c r="A437" s="1"/>
      <c r="B437" s="1"/>
      <c r="C437" s="2"/>
    </row>
    <row r="438" spans="1:3" ht="13.2" x14ac:dyDescent="0.25">
      <c r="A438" s="1"/>
      <c r="B438" s="1"/>
      <c r="C438" s="2"/>
    </row>
    <row r="439" spans="1:3" ht="13.2" x14ac:dyDescent="0.25">
      <c r="A439" s="1"/>
      <c r="B439" s="1"/>
      <c r="C439" s="2"/>
    </row>
    <row r="440" spans="1:3" ht="13.2" x14ac:dyDescent="0.25">
      <c r="A440" s="1"/>
      <c r="B440" s="1"/>
      <c r="C440" s="2"/>
    </row>
    <row r="441" spans="1:3" ht="13.2" x14ac:dyDescent="0.25">
      <c r="A441" s="1"/>
      <c r="B441" s="1"/>
      <c r="C441" s="2"/>
    </row>
    <row r="442" spans="1:3" ht="13.2" x14ac:dyDescent="0.25">
      <c r="A442" s="1"/>
      <c r="B442" s="1"/>
      <c r="C442" s="2"/>
    </row>
    <row r="443" spans="1:3" ht="13.2" x14ac:dyDescent="0.25">
      <c r="A443" s="1"/>
      <c r="B443" s="1"/>
      <c r="C443" s="2"/>
    </row>
    <row r="444" spans="1:3" ht="13.2" x14ac:dyDescent="0.25">
      <c r="A444" s="1"/>
      <c r="B444" s="1"/>
      <c r="C444" s="2"/>
    </row>
    <row r="445" spans="1:3" ht="13.2" x14ac:dyDescent="0.25">
      <c r="A445" s="1"/>
      <c r="B445" s="1"/>
      <c r="C445" s="2"/>
    </row>
    <row r="446" spans="1:3" ht="13.2" x14ac:dyDescent="0.25">
      <c r="A446" s="1"/>
      <c r="B446" s="1"/>
      <c r="C446" s="2"/>
    </row>
    <row r="447" spans="1:3" ht="13.2" x14ac:dyDescent="0.25">
      <c r="A447" s="1"/>
      <c r="B447" s="1"/>
      <c r="C447" s="2"/>
    </row>
    <row r="448" spans="1:3" ht="13.2" x14ac:dyDescent="0.25">
      <c r="A448" s="1"/>
      <c r="B448" s="1"/>
      <c r="C448" s="2"/>
    </row>
    <row r="449" spans="1:3" ht="13.2" x14ac:dyDescent="0.25">
      <c r="A449" s="1"/>
      <c r="B449" s="1"/>
      <c r="C449" s="2"/>
    </row>
    <row r="450" spans="1:3" ht="13.2" x14ac:dyDescent="0.25">
      <c r="A450" s="1"/>
      <c r="B450" s="1"/>
      <c r="C450" s="2"/>
    </row>
    <row r="451" spans="1:3" ht="13.2" x14ac:dyDescent="0.25">
      <c r="A451" s="1"/>
      <c r="B451" s="1"/>
      <c r="C451" s="2"/>
    </row>
    <row r="452" spans="1:3" ht="13.2" x14ac:dyDescent="0.25">
      <c r="A452" s="1"/>
      <c r="B452" s="1"/>
      <c r="C452" s="2"/>
    </row>
    <row r="453" spans="1:3" ht="13.2" x14ac:dyDescent="0.25">
      <c r="A453" s="1"/>
      <c r="B453" s="1"/>
      <c r="C453" s="2"/>
    </row>
    <row r="454" spans="1:3" ht="13.2" x14ac:dyDescent="0.25">
      <c r="A454" s="1"/>
      <c r="B454" s="1"/>
      <c r="C454" s="2"/>
    </row>
    <row r="455" spans="1:3" ht="13.2" x14ac:dyDescent="0.25">
      <c r="A455" s="1"/>
      <c r="B455" s="1"/>
      <c r="C455" s="2"/>
    </row>
    <row r="456" spans="1:3" ht="13.2" x14ac:dyDescent="0.25">
      <c r="A456" s="1"/>
      <c r="B456" s="1"/>
      <c r="C456" s="2"/>
    </row>
    <row r="457" spans="1:3" ht="13.2" x14ac:dyDescent="0.25">
      <c r="A457" s="1"/>
      <c r="B457" s="1"/>
      <c r="C457" s="2"/>
    </row>
    <row r="458" spans="1:3" ht="13.2" x14ac:dyDescent="0.25">
      <c r="A458" s="1"/>
      <c r="B458" s="1"/>
      <c r="C458" s="2"/>
    </row>
    <row r="459" spans="1:3" ht="13.2" x14ac:dyDescent="0.25">
      <c r="A459" s="1"/>
      <c r="B459" s="1"/>
      <c r="C459" s="2"/>
    </row>
    <row r="460" spans="1:3" ht="13.2" x14ac:dyDescent="0.25">
      <c r="A460" s="1"/>
      <c r="B460" s="1"/>
      <c r="C460" s="2"/>
    </row>
    <row r="461" spans="1:3" ht="13.2" x14ac:dyDescent="0.25">
      <c r="A461" s="1"/>
      <c r="B461" s="1"/>
      <c r="C461" s="2"/>
    </row>
    <row r="462" spans="1:3" ht="13.2" x14ac:dyDescent="0.25">
      <c r="A462" s="1"/>
      <c r="B462" s="1"/>
      <c r="C462" s="2"/>
    </row>
    <row r="463" spans="1:3" ht="13.2" x14ac:dyDescent="0.25">
      <c r="A463" s="1"/>
      <c r="B463" s="1"/>
      <c r="C463" s="2"/>
    </row>
    <row r="464" spans="1:3" ht="13.2" x14ac:dyDescent="0.25">
      <c r="A464" s="1"/>
      <c r="B464" s="1"/>
      <c r="C464" s="2"/>
    </row>
    <row r="465" spans="1:3" ht="13.2" x14ac:dyDescent="0.25">
      <c r="A465" s="1"/>
      <c r="B465" s="1"/>
      <c r="C465" s="2"/>
    </row>
    <row r="466" spans="1:3" ht="13.2" x14ac:dyDescent="0.25">
      <c r="A466" s="1"/>
      <c r="B466" s="1"/>
      <c r="C466" s="2"/>
    </row>
    <row r="467" spans="1:3" ht="13.2" x14ac:dyDescent="0.25">
      <c r="A467" s="1"/>
      <c r="B467" s="1"/>
      <c r="C467" s="2"/>
    </row>
    <row r="468" spans="1:3" ht="13.2" x14ac:dyDescent="0.25">
      <c r="A468" s="1"/>
      <c r="B468" s="1"/>
      <c r="C468" s="2"/>
    </row>
    <row r="469" spans="1:3" ht="13.2" x14ac:dyDescent="0.25">
      <c r="A469" s="1"/>
      <c r="B469" s="1"/>
      <c r="C469" s="2"/>
    </row>
    <row r="470" spans="1:3" ht="13.2" x14ac:dyDescent="0.25">
      <c r="A470" s="1"/>
      <c r="B470" s="1"/>
      <c r="C470" s="2"/>
    </row>
    <row r="471" spans="1:3" ht="13.2" x14ac:dyDescent="0.25">
      <c r="A471" s="1"/>
      <c r="B471" s="1"/>
      <c r="C471" s="2"/>
    </row>
    <row r="472" spans="1:3" ht="13.2" x14ac:dyDescent="0.25">
      <c r="A472" s="1"/>
      <c r="B472" s="1"/>
      <c r="C472" s="2"/>
    </row>
    <row r="473" spans="1:3" ht="13.2" x14ac:dyDescent="0.25">
      <c r="A473" s="1"/>
      <c r="B473" s="1"/>
      <c r="C473" s="2"/>
    </row>
    <row r="474" spans="1:3" ht="13.2" x14ac:dyDescent="0.25">
      <c r="A474" s="1"/>
      <c r="B474" s="1"/>
      <c r="C474" s="2"/>
    </row>
    <row r="475" spans="1:3" ht="13.2" x14ac:dyDescent="0.25">
      <c r="A475" s="1"/>
      <c r="B475" s="1"/>
      <c r="C475" s="2"/>
    </row>
    <row r="476" spans="1:3" ht="13.2" x14ac:dyDescent="0.25">
      <c r="A476" s="1"/>
      <c r="B476" s="1"/>
      <c r="C476" s="2"/>
    </row>
    <row r="477" spans="1:3" ht="13.2" x14ac:dyDescent="0.25">
      <c r="A477" s="1"/>
      <c r="B477" s="1"/>
      <c r="C477" s="2"/>
    </row>
    <row r="478" spans="1:3" ht="13.2" x14ac:dyDescent="0.25">
      <c r="A478" s="1"/>
      <c r="B478" s="1"/>
      <c r="C478" s="2"/>
    </row>
    <row r="479" spans="1:3" ht="13.2" x14ac:dyDescent="0.25">
      <c r="A479" s="1"/>
      <c r="B479" s="1"/>
      <c r="C479" s="2"/>
    </row>
    <row r="480" spans="1:3" ht="13.2" x14ac:dyDescent="0.25">
      <c r="A480" s="1"/>
      <c r="B480" s="1"/>
      <c r="C480" s="2"/>
    </row>
    <row r="481" spans="1:3" ht="13.2" x14ac:dyDescent="0.25">
      <c r="A481" s="1"/>
      <c r="B481" s="1"/>
      <c r="C481" s="2"/>
    </row>
    <row r="482" spans="1:3" ht="13.2" x14ac:dyDescent="0.25">
      <c r="A482" s="1"/>
      <c r="B482" s="1"/>
      <c r="C482" s="2"/>
    </row>
    <row r="483" spans="1:3" ht="13.2" x14ac:dyDescent="0.25">
      <c r="A483" s="1"/>
      <c r="B483" s="1"/>
      <c r="C483" s="2"/>
    </row>
    <row r="484" spans="1:3" ht="13.2" x14ac:dyDescent="0.25">
      <c r="A484" s="1"/>
      <c r="B484" s="1"/>
      <c r="C484" s="2"/>
    </row>
    <row r="485" spans="1:3" ht="13.2" x14ac:dyDescent="0.25">
      <c r="A485" s="1"/>
      <c r="B485" s="1"/>
      <c r="C485" s="2"/>
    </row>
    <row r="486" spans="1:3" ht="13.2" x14ac:dyDescent="0.25">
      <c r="A486" s="1"/>
      <c r="B486" s="1"/>
      <c r="C486" s="2"/>
    </row>
    <row r="487" spans="1:3" ht="13.2" x14ac:dyDescent="0.25">
      <c r="A487" s="1"/>
      <c r="B487" s="1"/>
      <c r="C487" s="2"/>
    </row>
    <row r="488" spans="1:3" ht="13.2" x14ac:dyDescent="0.25">
      <c r="A488" s="1"/>
      <c r="B488" s="1"/>
      <c r="C488" s="2"/>
    </row>
    <row r="489" spans="1:3" ht="13.2" x14ac:dyDescent="0.25">
      <c r="A489" s="1"/>
      <c r="B489" s="1"/>
      <c r="C489" s="2"/>
    </row>
    <row r="490" spans="1:3" ht="13.2" x14ac:dyDescent="0.25">
      <c r="A490" s="1"/>
      <c r="B490" s="1"/>
      <c r="C490" s="2"/>
    </row>
    <row r="491" spans="1:3" ht="13.2" x14ac:dyDescent="0.25">
      <c r="A491" s="1"/>
      <c r="B491" s="1"/>
      <c r="C491" s="2"/>
    </row>
    <row r="492" spans="1:3" ht="13.2" x14ac:dyDescent="0.25">
      <c r="A492" s="1"/>
      <c r="B492" s="1"/>
      <c r="C492" s="2"/>
    </row>
    <row r="493" spans="1:3" ht="13.2" x14ac:dyDescent="0.25">
      <c r="A493" s="1"/>
      <c r="B493" s="1"/>
      <c r="C493" s="2"/>
    </row>
    <row r="494" spans="1:3" ht="13.2" x14ac:dyDescent="0.25">
      <c r="A494" s="1"/>
      <c r="B494" s="1"/>
      <c r="C494" s="2"/>
    </row>
    <row r="495" spans="1:3" ht="13.2" x14ac:dyDescent="0.25">
      <c r="A495" s="1"/>
      <c r="B495" s="1"/>
      <c r="C495" s="2"/>
    </row>
    <row r="496" spans="1:3" ht="13.2" x14ac:dyDescent="0.25">
      <c r="A496" s="1"/>
      <c r="B496" s="1"/>
      <c r="C496" s="2"/>
    </row>
    <row r="497" spans="1:3" ht="13.2" x14ac:dyDescent="0.25">
      <c r="A497" s="1"/>
      <c r="B497" s="1"/>
      <c r="C497" s="2"/>
    </row>
    <row r="498" spans="1:3" ht="13.2" x14ac:dyDescent="0.25">
      <c r="A498" s="1"/>
      <c r="B498" s="1"/>
      <c r="C498" s="2"/>
    </row>
    <row r="499" spans="1:3" ht="13.2" x14ac:dyDescent="0.25">
      <c r="A499" s="1"/>
      <c r="B499" s="1"/>
      <c r="C499" s="2"/>
    </row>
    <row r="500" spans="1:3" ht="13.2" x14ac:dyDescent="0.25">
      <c r="A500" s="1"/>
      <c r="B500" s="1"/>
      <c r="C500" s="2"/>
    </row>
    <row r="501" spans="1:3" ht="13.2" x14ac:dyDescent="0.25">
      <c r="A501" s="1"/>
      <c r="B501" s="1"/>
      <c r="C501" s="2"/>
    </row>
    <row r="502" spans="1:3" ht="13.2" x14ac:dyDescent="0.25">
      <c r="A502" s="1"/>
      <c r="B502" s="1"/>
      <c r="C502" s="2"/>
    </row>
    <row r="503" spans="1:3" ht="13.2" x14ac:dyDescent="0.25">
      <c r="A503" s="1"/>
      <c r="B503" s="1"/>
      <c r="C503" s="2"/>
    </row>
    <row r="504" spans="1:3" ht="13.2" x14ac:dyDescent="0.25">
      <c r="A504" s="1"/>
      <c r="B504" s="1"/>
      <c r="C504" s="2"/>
    </row>
    <row r="505" spans="1:3" ht="13.2" x14ac:dyDescent="0.25">
      <c r="A505" s="1"/>
      <c r="B505" s="1"/>
      <c r="C505" s="2"/>
    </row>
    <row r="506" spans="1:3" ht="13.2" x14ac:dyDescent="0.25">
      <c r="A506" s="1"/>
      <c r="B506" s="1"/>
      <c r="C506" s="2"/>
    </row>
    <row r="507" spans="1:3" ht="13.2" x14ac:dyDescent="0.25">
      <c r="A507" s="1"/>
      <c r="B507" s="1"/>
      <c r="C507" s="2"/>
    </row>
    <row r="508" spans="1:3" ht="13.2" x14ac:dyDescent="0.25">
      <c r="A508" s="1"/>
      <c r="B508" s="1"/>
      <c r="C508" s="2"/>
    </row>
    <row r="509" spans="1:3" ht="13.2" x14ac:dyDescent="0.25">
      <c r="A509" s="1"/>
      <c r="B509" s="1"/>
      <c r="C509" s="2"/>
    </row>
    <row r="510" spans="1:3" ht="13.2" x14ac:dyDescent="0.25">
      <c r="A510" s="1"/>
      <c r="B510" s="1"/>
      <c r="C510" s="2"/>
    </row>
    <row r="511" spans="1:3" ht="13.2" x14ac:dyDescent="0.25">
      <c r="A511" s="1"/>
      <c r="B511" s="1"/>
      <c r="C511" s="2"/>
    </row>
    <row r="512" spans="1:3" ht="13.2" x14ac:dyDescent="0.25">
      <c r="A512" s="1"/>
      <c r="B512" s="1"/>
      <c r="C512" s="2"/>
    </row>
    <row r="513" spans="1:3" ht="13.2" x14ac:dyDescent="0.25">
      <c r="A513" s="1"/>
      <c r="B513" s="1"/>
      <c r="C513" s="2"/>
    </row>
    <row r="514" spans="1:3" ht="13.2" x14ac:dyDescent="0.25">
      <c r="A514" s="1"/>
      <c r="B514" s="1"/>
      <c r="C514" s="2"/>
    </row>
    <row r="515" spans="1:3" ht="13.2" x14ac:dyDescent="0.25">
      <c r="A515" s="1"/>
      <c r="B515" s="1"/>
      <c r="C515" s="2"/>
    </row>
    <row r="516" spans="1:3" ht="13.2" x14ac:dyDescent="0.25">
      <c r="A516" s="1"/>
      <c r="B516" s="1"/>
      <c r="C516" s="2"/>
    </row>
    <row r="517" spans="1:3" ht="13.2" x14ac:dyDescent="0.25">
      <c r="A517" s="1"/>
      <c r="B517" s="1"/>
      <c r="C517" s="2"/>
    </row>
    <row r="518" spans="1:3" ht="13.2" x14ac:dyDescent="0.25">
      <c r="A518" s="1"/>
      <c r="B518" s="1"/>
      <c r="C518" s="2"/>
    </row>
    <row r="519" spans="1:3" ht="13.2" x14ac:dyDescent="0.25">
      <c r="A519" s="1"/>
      <c r="B519" s="1"/>
      <c r="C519" s="2"/>
    </row>
    <row r="520" spans="1:3" ht="13.2" x14ac:dyDescent="0.25">
      <c r="A520" s="1"/>
      <c r="B520" s="1"/>
      <c r="C520" s="2"/>
    </row>
    <row r="521" spans="1:3" ht="13.2" x14ac:dyDescent="0.25">
      <c r="A521" s="1"/>
      <c r="B521" s="1"/>
      <c r="C521" s="2"/>
    </row>
    <row r="522" spans="1:3" ht="13.2" x14ac:dyDescent="0.25">
      <c r="A522" s="1"/>
      <c r="B522" s="1"/>
      <c r="C522" s="2"/>
    </row>
    <row r="523" spans="1:3" ht="13.2" x14ac:dyDescent="0.25">
      <c r="A523" s="1"/>
      <c r="B523" s="1"/>
      <c r="C523" s="2"/>
    </row>
    <row r="524" spans="1:3" ht="13.2" x14ac:dyDescent="0.25">
      <c r="A524" s="1"/>
      <c r="B524" s="1"/>
      <c r="C524" s="2"/>
    </row>
    <row r="525" spans="1:3" ht="13.2" x14ac:dyDescent="0.25">
      <c r="A525" s="1"/>
      <c r="B525" s="1"/>
      <c r="C525" s="2"/>
    </row>
    <row r="526" spans="1:3" ht="13.2" x14ac:dyDescent="0.25">
      <c r="A526" s="1"/>
      <c r="B526" s="1"/>
      <c r="C526" s="2"/>
    </row>
    <row r="527" spans="1:3" ht="13.2" x14ac:dyDescent="0.25">
      <c r="A527" s="1"/>
      <c r="B527" s="1"/>
      <c r="C527" s="2"/>
    </row>
    <row r="528" spans="1:3" ht="13.2" x14ac:dyDescent="0.25">
      <c r="A528" s="1"/>
      <c r="B528" s="1"/>
      <c r="C528" s="2"/>
    </row>
    <row r="529" spans="1:3" ht="13.2" x14ac:dyDescent="0.25">
      <c r="A529" s="1"/>
      <c r="B529" s="1"/>
      <c r="C529" s="2"/>
    </row>
    <row r="530" spans="1:3" ht="13.2" x14ac:dyDescent="0.25">
      <c r="A530" s="1"/>
      <c r="B530" s="1"/>
      <c r="C530" s="2"/>
    </row>
    <row r="531" spans="1:3" ht="13.2" x14ac:dyDescent="0.25">
      <c r="A531" s="1"/>
      <c r="B531" s="1"/>
      <c r="C531" s="2"/>
    </row>
    <row r="532" spans="1:3" ht="13.2" x14ac:dyDescent="0.25">
      <c r="A532" s="1"/>
      <c r="B532" s="1"/>
      <c r="C532" s="2"/>
    </row>
    <row r="533" spans="1:3" ht="13.2" x14ac:dyDescent="0.25">
      <c r="A533" s="1"/>
      <c r="B533" s="1"/>
      <c r="C533" s="2"/>
    </row>
    <row r="534" spans="1:3" ht="13.2" x14ac:dyDescent="0.25">
      <c r="A534" s="1"/>
      <c r="B534" s="1"/>
      <c r="C534" s="2"/>
    </row>
    <row r="535" spans="1:3" ht="13.2" x14ac:dyDescent="0.25">
      <c r="A535" s="1"/>
      <c r="B535" s="1"/>
      <c r="C535" s="2"/>
    </row>
    <row r="536" spans="1:3" ht="13.2" x14ac:dyDescent="0.25">
      <c r="A536" s="1"/>
      <c r="B536" s="1"/>
      <c r="C536" s="2"/>
    </row>
    <row r="537" spans="1:3" ht="13.2" x14ac:dyDescent="0.25">
      <c r="A537" s="1"/>
      <c r="B537" s="1"/>
      <c r="C537" s="2"/>
    </row>
    <row r="538" spans="1:3" ht="13.2" x14ac:dyDescent="0.25">
      <c r="A538" s="1"/>
      <c r="B538" s="1"/>
      <c r="C538" s="2"/>
    </row>
    <row r="539" spans="1:3" ht="13.2" x14ac:dyDescent="0.25">
      <c r="A539" s="1"/>
      <c r="B539" s="1"/>
      <c r="C539" s="2"/>
    </row>
    <row r="540" spans="1:3" ht="13.2" x14ac:dyDescent="0.25">
      <c r="A540" s="1"/>
      <c r="B540" s="1"/>
      <c r="C540" s="2"/>
    </row>
    <row r="541" spans="1:3" ht="13.2" x14ac:dyDescent="0.25">
      <c r="A541" s="1"/>
      <c r="B541" s="1"/>
      <c r="C541" s="2"/>
    </row>
    <row r="542" spans="1:3" ht="13.2" x14ac:dyDescent="0.25">
      <c r="A542" s="1"/>
      <c r="B542" s="1"/>
      <c r="C542" s="2"/>
    </row>
    <row r="543" spans="1:3" ht="13.2" x14ac:dyDescent="0.25">
      <c r="A543" s="1"/>
      <c r="B543" s="1"/>
      <c r="C543" s="2"/>
    </row>
    <row r="544" spans="1:3" ht="13.2" x14ac:dyDescent="0.25">
      <c r="A544" s="1"/>
      <c r="B544" s="1"/>
      <c r="C544" s="2"/>
    </row>
    <row r="545" spans="1:3" ht="13.2" x14ac:dyDescent="0.25">
      <c r="A545" s="1"/>
      <c r="B545" s="1"/>
      <c r="C545" s="2"/>
    </row>
    <row r="546" spans="1:3" ht="13.2" x14ac:dyDescent="0.25">
      <c r="A546" s="1"/>
      <c r="B546" s="1"/>
      <c r="C546" s="2"/>
    </row>
    <row r="547" spans="1:3" ht="13.2" x14ac:dyDescent="0.25">
      <c r="A547" s="1"/>
      <c r="B547" s="1"/>
      <c r="C547" s="2"/>
    </row>
    <row r="548" spans="1:3" ht="13.2" x14ac:dyDescent="0.25">
      <c r="A548" s="1"/>
      <c r="B548" s="1"/>
      <c r="C548" s="2"/>
    </row>
    <row r="549" spans="1:3" ht="13.2" x14ac:dyDescent="0.25">
      <c r="A549" s="1"/>
      <c r="B549" s="1"/>
      <c r="C549" s="2"/>
    </row>
    <row r="550" spans="1:3" ht="13.2" x14ac:dyDescent="0.25">
      <c r="A550" s="1"/>
      <c r="B550" s="1"/>
      <c r="C550" s="2"/>
    </row>
    <row r="551" spans="1:3" ht="13.2" x14ac:dyDescent="0.25">
      <c r="A551" s="1"/>
      <c r="B551" s="1"/>
      <c r="C551" s="2"/>
    </row>
    <row r="552" spans="1:3" ht="13.2" x14ac:dyDescent="0.25">
      <c r="A552" s="1"/>
      <c r="B552" s="1"/>
      <c r="C552" s="2"/>
    </row>
    <row r="553" spans="1:3" ht="13.2" x14ac:dyDescent="0.25">
      <c r="A553" s="1"/>
      <c r="B553" s="1"/>
      <c r="C553" s="2"/>
    </row>
    <row r="554" spans="1:3" ht="13.2" x14ac:dyDescent="0.25">
      <c r="A554" s="1"/>
      <c r="B554" s="1"/>
      <c r="C554" s="2"/>
    </row>
    <row r="555" spans="1:3" ht="13.2" x14ac:dyDescent="0.25">
      <c r="A555" s="1"/>
      <c r="B555" s="1"/>
      <c r="C555" s="2"/>
    </row>
    <row r="556" spans="1:3" ht="13.2" x14ac:dyDescent="0.25">
      <c r="A556" s="1"/>
      <c r="B556" s="1"/>
      <c r="C556" s="2"/>
    </row>
    <row r="557" spans="1:3" ht="13.2" x14ac:dyDescent="0.25">
      <c r="A557" s="1"/>
      <c r="B557" s="1"/>
      <c r="C557" s="2"/>
    </row>
    <row r="558" spans="1:3" ht="13.2" x14ac:dyDescent="0.25">
      <c r="A558" s="1"/>
      <c r="B558" s="1"/>
      <c r="C558" s="2"/>
    </row>
    <row r="559" spans="1:3" ht="13.2" x14ac:dyDescent="0.25">
      <c r="A559" s="1"/>
      <c r="B559" s="1"/>
      <c r="C559" s="2"/>
    </row>
    <row r="560" spans="1:3" ht="13.2" x14ac:dyDescent="0.25">
      <c r="A560" s="1"/>
      <c r="B560" s="1"/>
      <c r="C560" s="2"/>
    </row>
    <row r="561" spans="1:3" ht="13.2" x14ac:dyDescent="0.25">
      <c r="A561" s="1"/>
      <c r="B561" s="1"/>
      <c r="C561" s="2"/>
    </row>
    <row r="562" spans="1:3" ht="13.2" x14ac:dyDescent="0.25">
      <c r="A562" s="1"/>
      <c r="B562" s="1"/>
      <c r="C562" s="2"/>
    </row>
    <row r="563" spans="1:3" ht="13.2" x14ac:dyDescent="0.25">
      <c r="A563" s="1"/>
      <c r="B563" s="1"/>
      <c r="C563" s="2"/>
    </row>
    <row r="564" spans="1:3" ht="13.2" x14ac:dyDescent="0.25">
      <c r="A564" s="1"/>
      <c r="B564" s="1"/>
      <c r="C564" s="2"/>
    </row>
    <row r="565" spans="1:3" ht="13.2" x14ac:dyDescent="0.25">
      <c r="A565" s="1"/>
      <c r="B565" s="1"/>
      <c r="C565" s="2"/>
    </row>
    <row r="566" spans="1:3" ht="13.2" x14ac:dyDescent="0.25">
      <c r="A566" s="1"/>
      <c r="B566" s="1"/>
      <c r="C566" s="2"/>
    </row>
    <row r="567" spans="1:3" ht="13.2" x14ac:dyDescent="0.25">
      <c r="A567" s="1"/>
      <c r="B567" s="1"/>
      <c r="C567" s="2"/>
    </row>
    <row r="568" spans="1:3" ht="13.2" x14ac:dyDescent="0.25">
      <c r="A568" s="1"/>
      <c r="B568" s="1"/>
      <c r="C568" s="2"/>
    </row>
    <row r="569" spans="1:3" ht="13.2" x14ac:dyDescent="0.25">
      <c r="A569" s="1"/>
      <c r="B569" s="1"/>
      <c r="C569" s="2"/>
    </row>
    <row r="570" spans="1:3" ht="13.2" x14ac:dyDescent="0.25">
      <c r="A570" s="1"/>
      <c r="B570" s="1"/>
      <c r="C570" s="2"/>
    </row>
    <row r="571" spans="1:3" ht="13.2" x14ac:dyDescent="0.25">
      <c r="A571" s="1"/>
      <c r="B571" s="1"/>
      <c r="C571" s="2"/>
    </row>
    <row r="572" spans="1:3" ht="13.2" x14ac:dyDescent="0.25">
      <c r="A572" s="1"/>
      <c r="B572" s="1"/>
      <c r="C572" s="2"/>
    </row>
    <row r="573" spans="1:3" ht="13.2" x14ac:dyDescent="0.25">
      <c r="A573" s="1"/>
      <c r="B573" s="1"/>
      <c r="C573" s="2"/>
    </row>
    <row r="574" spans="1:3" ht="13.2" x14ac:dyDescent="0.25">
      <c r="A574" s="1"/>
      <c r="B574" s="1"/>
      <c r="C574" s="2"/>
    </row>
    <row r="575" spans="1:3" ht="13.2" x14ac:dyDescent="0.25">
      <c r="A575" s="1"/>
      <c r="B575" s="1"/>
      <c r="C575" s="2"/>
    </row>
    <row r="576" spans="1:3" ht="13.2" x14ac:dyDescent="0.25">
      <c r="A576" s="1"/>
      <c r="B576" s="1"/>
      <c r="C576" s="2"/>
    </row>
    <row r="577" spans="1:3" ht="13.2" x14ac:dyDescent="0.25">
      <c r="A577" s="1"/>
      <c r="B577" s="1"/>
      <c r="C577" s="2"/>
    </row>
    <row r="578" spans="1:3" ht="13.2" x14ac:dyDescent="0.25">
      <c r="A578" s="1"/>
      <c r="B578" s="1"/>
      <c r="C578" s="2"/>
    </row>
    <row r="579" spans="1:3" ht="13.2" x14ac:dyDescent="0.25">
      <c r="A579" s="1"/>
      <c r="B579" s="1"/>
      <c r="C579" s="2"/>
    </row>
    <row r="580" spans="1:3" ht="13.2" x14ac:dyDescent="0.25">
      <c r="A580" s="1"/>
      <c r="B580" s="1"/>
      <c r="C580" s="2"/>
    </row>
    <row r="581" spans="1:3" ht="13.2" x14ac:dyDescent="0.25">
      <c r="A581" s="1"/>
      <c r="B581" s="1"/>
      <c r="C581" s="2"/>
    </row>
    <row r="582" spans="1:3" ht="13.2" x14ac:dyDescent="0.25">
      <c r="A582" s="1"/>
      <c r="B582" s="1"/>
      <c r="C582" s="2"/>
    </row>
    <row r="583" spans="1:3" ht="13.2" x14ac:dyDescent="0.25">
      <c r="A583" s="1"/>
      <c r="B583" s="1"/>
      <c r="C583" s="2"/>
    </row>
    <row r="584" spans="1:3" ht="13.2" x14ac:dyDescent="0.25">
      <c r="A584" s="1"/>
      <c r="B584" s="1"/>
      <c r="C584" s="2"/>
    </row>
    <row r="585" spans="1:3" ht="13.2" x14ac:dyDescent="0.25">
      <c r="A585" s="1"/>
      <c r="B585" s="1"/>
      <c r="C585" s="2"/>
    </row>
    <row r="586" spans="1:3" ht="13.2" x14ac:dyDescent="0.25">
      <c r="A586" s="1"/>
      <c r="B586" s="1"/>
      <c r="C586" s="2"/>
    </row>
    <row r="587" spans="1:3" ht="13.2" x14ac:dyDescent="0.25">
      <c r="A587" s="1"/>
      <c r="B587" s="1"/>
      <c r="C587" s="2"/>
    </row>
    <row r="588" spans="1:3" ht="13.2" x14ac:dyDescent="0.25">
      <c r="A588" s="1"/>
      <c r="B588" s="1"/>
      <c r="C588" s="2"/>
    </row>
    <row r="589" spans="1:3" ht="13.2" x14ac:dyDescent="0.25">
      <c r="A589" s="1"/>
      <c r="B589" s="1"/>
      <c r="C589" s="2"/>
    </row>
    <row r="590" spans="1:3" ht="13.2" x14ac:dyDescent="0.25">
      <c r="A590" s="1"/>
      <c r="B590" s="1"/>
      <c r="C590" s="2"/>
    </row>
    <row r="591" spans="1:3" ht="13.2" x14ac:dyDescent="0.25">
      <c r="A591" s="1"/>
      <c r="B591" s="1"/>
      <c r="C591" s="2"/>
    </row>
    <row r="592" spans="1:3" ht="13.2" x14ac:dyDescent="0.25">
      <c r="A592" s="1"/>
      <c r="B592" s="1"/>
      <c r="C592" s="2"/>
    </row>
    <row r="593" spans="1:3" ht="13.2" x14ac:dyDescent="0.25">
      <c r="A593" s="1"/>
      <c r="B593" s="1"/>
      <c r="C593" s="2"/>
    </row>
    <row r="594" spans="1:3" ht="13.2" x14ac:dyDescent="0.25">
      <c r="A594" s="1"/>
      <c r="B594" s="1"/>
      <c r="C594" s="2"/>
    </row>
    <row r="595" spans="1:3" ht="13.2" x14ac:dyDescent="0.25">
      <c r="A595" s="1"/>
      <c r="B595" s="1"/>
      <c r="C595" s="2"/>
    </row>
    <row r="596" spans="1:3" ht="13.2" x14ac:dyDescent="0.25">
      <c r="A596" s="1"/>
      <c r="B596" s="1"/>
      <c r="C596" s="2"/>
    </row>
    <row r="597" spans="1:3" ht="13.2" x14ac:dyDescent="0.25">
      <c r="A597" s="1"/>
      <c r="B597" s="1"/>
      <c r="C597" s="2"/>
    </row>
    <row r="598" spans="1:3" ht="13.2" x14ac:dyDescent="0.25">
      <c r="A598" s="1"/>
      <c r="B598" s="1"/>
      <c r="C598" s="2"/>
    </row>
    <row r="599" spans="1:3" ht="13.2" x14ac:dyDescent="0.25">
      <c r="A599" s="1"/>
      <c r="B599" s="1"/>
      <c r="C599" s="2"/>
    </row>
    <row r="600" spans="1:3" ht="13.2" x14ac:dyDescent="0.25">
      <c r="A600" s="1"/>
      <c r="B600" s="1"/>
      <c r="C600" s="2"/>
    </row>
    <row r="601" spans="1:3" ht="13.2" x14ac:dyDescent="0.25">
      <c r="A601" s="1"/>
      <c r="B601" s="1"/>
      <c r="C601" s="2"/>
    </row>
    <row r="602" spans="1:3" ht="13.2" x14ac:dyDescent="0.25">
      <c r="A602" s="1"/>
      <c r="B602" s="1"/>
      <c r="C602" s="2"/>
    </row>
    <row r="603" spans="1:3" ht="13.2" x14ac:dyDescent="0.25">
      <c r="A603" s="1"/>
      <c r="B603" s="1"/>
      <c r="C603" s="2"/>
    </row>
    <row r="604" spans="1:3" ht="13.2" x14ac:dyDescent="0.25">
      <c r="A604" s="1"/>
      <c r="B604" s="1"/>
      <c r="C604" s="2"/>
    </row>
    <row r="605" spans="1:3" ht="13.2" x14ac:dyDescent="0.25">
      <c r="A605" s="1"/>
      <c r="B605" s="1"/>
      <c r="C605" s="2"/>
    </row>
    <row r="606" spans="1:3" ht="13.2" x14ac:dyDescent="0.25">
      <c r="A606" s="1"/>
      <c r="B606" s="1"/>
      <c r="C606" s="2"/>
    </row>
    <row r="607" spans="1:3" ht="13.2" x14ac:dyDescent="0.25">
      <c r="A607" s="1"/>
      <c r="B607" s="1"/>
      <c r="C607" s="2"/>
    </row>
    <row r="608" spans="1:3" ht="13.2" x14ac:dyDescent="0.25">
      <c r="A608" s="1"/>
      <c r="B608" s="1"/>
      <c r="C608" s="2"/>
    </row>
    <row r="609" spans="1:3" ht="13.2" x14ac:dyDescent="0.25">
      <c r="A609" s="1"/>
      <c r="B609" s="1"/>
      <c r="C609" s="2"/>
    </row>
    <row r="610" spans="1:3" ht="13.2" x14ac:dyDescent="0.25">
      <c r="A610" s="1"/>
      <c r="B610" s="1"/>
      <c r="C610" s="2"/>
    </row>
    <row r="611" spans="1:3" ht="13.2" x14ac:dyDescent="0.25">
      <c r="A611" s="1"/>
      <c r="B611" s="1"/>
      <c r="C611" s="2"/>
    </row>
    <row r="612" spans="1:3" ht="13.2" x14ac:dyDescent="0.25">
      <c r="A612" s="1"/>
      <c r="B612" s="1"/>
      <c r="C612" s="2"/>
    </row>
    <row r="613" spans="1:3" ht="13.2" x14ac:dyDescent="0.25">
      <c r="A613" s="1"/>
      <c r="B613" s="1"/>
      <c r="C613" s="2"/>
    </row>
    <row r="614" spans="1:3" ht="13.2" x14ac:dyDescent="0.25">
      <c r="A614" s="1"/>
      <c r="B614" s="1"/>
      <c r="C614" s="2"/>
    </row>
    <row r="615" spans="1:3" ht="13.2" x14ac:dyDescent="0.25">
      <c r="A615" s="1"/>
      <c r="B615" s="1"/>
      <c r="C615" s="2"/>
    </row>
    <row r="616" spans="1:3" ht="13.2" x14ac:dyDescent="0.25">
      <c r="A616" s="1"/>
      <c r="B616" s="1"/>
      <c r="C616" s="2"/>
    </row>
    <row r="617" spans="1:3" ht="13.2" x14ac:dyDescent="0.25">
      <c r="A617" s="1"/>
      <c r="B617" s="1"/>
      <c r="C617" s="2"/>
    </row>
    <row r="618" spans="1:3" ht="13.2" x14ac:dyDescent="0.25">
      <c r="A618" s="1"/>
      <c r="B618" s="1"/>
      <c r="C618" s="2"/>
    </row>
    <row r="619" spans="1:3" ht="13.2" x14ac:dyDescent="0.25">
      <c r="A619" s="1"/>
      <c r="B619" s="1"/>
      <c r="C619" s="2"/>
    </row>
    <row r="620" spans="1:3" ht="13.2" x14ac:dyDescent="0.25">
      <c r="A620" s="1"/>
      <c r="B620" s="1"/>
      <c r="C620" s="2"/>
    </row>
    <row r="621" spans="1:3" ht="13.2" x14ac:dyDescent="0.25">
      <c r="A621" s="1"/>
      <c r="B621" s="1"/>
      <c r="C621" s="2"/>
    </row>
    <row r="622" spans="1:3" ht="13.2" x14ac:dyDescent="0.25">
      <c r="A622" s="1"/>
      <c r="B622" s="1"/>
      <c r="C622" s="2"/>
    </row>
    <row r="623" spans="1:3" ht="13.2" x14ac:dyDescent="0.25">
      <c r="A623" s="1"/>
      <c r="B623" s="1"/>
      <c r="C623" s="2"/>
    </row>
    <row r="624" spans="1:3" ht="13.2" x14ac:dyDescent="0.25">
      <c r="A624" s="1"/>
      <c r="B624" s="1"/>
      <c r="C624" s="2"/>
    </row>
    <row r="625" spans="1:3" ht="13.2" x14ac:dyDescent="0.25">
      <c r="A625" s="1"/>
      <c r="B625" s="1"/>
      <c r="C625" s="2"/>
    </row>
    <row r="626" spans="1:3" ht="13.2" x14ac:dyDescent="0.25">
      <c r="A626" s="1"/>
      <c r="B626" s="1"/>
      <c r="C626" s="2"/>
    </row>
    <row r="627" spans="1:3" ht="13.2" x14ac:dyDescent="0.25">
      <c r="A627" s="1"/>
      <c r="B627" s="1"/>
      <c r="C627" s="2"/>
    </row>
    <row r="628" spans="1:3" ht="13.2" x14ac:dyDescent="0.25">
      <c r="A628" s="1"/>
      <c r="B628" s="1"/>
      <c r="C628" s="2"/>
    </row>
    <row r="629" spans="1:3" ht="13.2" x14ac:dyDescent="0.25">
      <c r="A629" s="1"/>
      <c r="B629" s="1"/>
      <c r="C629" s="2"/>
    </row>
    <row r="630" spans="1:3" ht="13.2" x14ac:dyDescent="0.25">
      <c r="A630" s="1"/>
      <c r="B630" s="1"/>
      <c r="C630" s="2"/>
    </row>
    <row r="631" spans="1:3" ht="13.2" x14ac:dyDescent="0.25">
      <c r="A631" s="1"/>
      <c r="B631" s="1"/>
      <c r="C631" s="2"/>
    </row>
    <row r="632" spans="1:3" ht="13.2" x14ac:dyDescent="0.25">
      <c r="A632" s="1"/>
      <c r="B632" s="1"/>
      <c r="C632" s="2"/>
    </row>
    <row r="633" spans="1:3" ht="13.2" x14ac:dyDescent="0.25">
      <c r="A633" s="1"/>
      <c r="B633" s="1"/>
      <c r="C633" s="2"/>
    </row>
    <row r="634" spans="1:3" ht="13.2" x14ac:dyDescent="0.25">
      <c r="A634" s="1"/>
      <c r="B634" s="1"/>
      <c r="C634" s="2"/>
    </row>
    <row r="635" spans="1:3" ht="13.2" x14ac:dyDescent="0.25">
      <c r="A635" s="1"/>
      <c r="B635" s="1"/>
      <c r="C635" s="2"/>
    </row>
    <row r="636" spans="1:3" ht="13.2" x14ac:dyDescent="0.25">
      <c r="A636" s="1"/>
      <c r="B636" s="1"/>
      <c r="C636" s="2"/>
    </row>
    <row r="637" spans="1:3" ht="13.2" x14ac:dyDescent="0.25">
      <c r="A637" s="1"/>
      <c r="B637" s="1"/>
      <c r="C637" s="2"/>
    </row>
    <row r="638" spans="1:3" ht="13.2" x14ac:dyDescent="0.25">
      <c r="A638" s="1"/>
      <c r="B638" s="1"/>
      <c r="C638" s="2"/>
    </row>
    <row r="639" spans="1:3" ht="13.2" x14ac:dyDescent="0.25">
      <c r="A639" s="1"/>
      <c r="B639" s="1"/>
      <c r="C639" s="2"/>
    </row>
    <row r="640" spans="1:3" ht="13.2" x14ac:dyDescent="0.25">
      <c r="A640" s="1"/>
      <c r="B640" s="1"/>
      <c r="C640" s="2"/>
    </row>
    <row r="641" spans="1:3" ht="13.2" x14ac:dyDescent="0.25">
      <c r="A641" s="1"/>
      <c r="B641" s="1"/>
      <c r="C641" s="2"/>
    </row>
    <row r="642" spans="1:3" ht="13.2" x14ac:dyDescent="0.25">
      <c r="A642" s="1"/>
      <c r="B642" s="1"/>
      <c r="C642" s="2"/>
    </row>
    <row r="643" spans="1:3" ht="13.2" x14ac:dyDescent="0.25">
      <c r="A643" s="1"/>
      <c r="B643" s="1"/>
      <c r="C643" s="2"/>
    </row>
    <row r="644" spans="1:3" ht="13.2" x14ac:dyDescent="0.25">
      <c r="A644" s="1"/>
      <c r="B644" s="1"/>
      <c r="C644" s="2"/>
    </row>
    <row r="645" spans="1:3" ht="13.2" x14ac:dyDescent="0.25">
      <c r="A645" s="1"/>
      <c r="B645" s="1"/>
      <c r="C645" s="2"/>
    </row>
    <row r="646" spans="1:3" ht="13.2" x14ac:dyDescent="0.25">
      <c r="A646" s="1"/>
      <c r="B646" s="1"/>
      <c r="C646" s="2"/>
    </row>
    <row r="647" spans="1:3" ht="13.2" x14ac:dyDescent="0.25">
      <c r="A647" s="1"/>
      <c r="B647" s="1"/>
      <c r="C647" s="2"/>
    </row>
    <row r="648" spans="1:3" ht="13.2" x14ac:dyDescent="0.25">
      <c r="A648" s="1"/>
      <c r="B648" s="1"/>
      <c r="C648" s="2"/>
    </row>
    <row r="649" spans="1:3" ht="13.2" x14ac:dyDescent="0.25">
      <c r="A649" s="1"/>
      <c r="B649" s="1"/>
      <c r="C649" s="2"/>
    </row>
    <row r="650" spans="1:3" ht="13.2" x14ac:dyDescent="0.25">
      <c r="A650" s="1"/>
      <c r="B650" s="1"/>
      <c r="C650" s="2"/>
    </row>
    <row r="651" spans="1:3" ht="13.2" x14ac:dyDescent="0.25">
      <c r="A651" s="1"/>
      <c r="B651" s="1"/>
      <c r="C651" s="2"/>
    </row>
    <row r="652" spans="1:3" ht="13.2" x14ac:dyDescent="0.25">
      <c r="A652" s="1"/>
      <c r="B652" s="1"/>
      <c r="C652" s="2"/>
    </row>
    <row r="653" spans="1:3" ht="13.2" x14ac:dyDescent="0.25">
      <c r="A653" s="1"/>
      <c r="B653" s="1"/>
      <c r="C653" s="2"/>
    </row>
    <row r="654" spans="1:3" ht="13.2" x14ac:dyDescent="0.25">
      <c r="A654" s="1"/>
      <c r="B654" s="1"/>
      <c r="C654" s="2"/>
    </row>
    <row r="655" spans="1:3" ht="13.2" x14ac:dyDescent="0.25">
      <c r="A655" s="1"/>
      <c r="B655" s="1"/>
      <c r="C655" s="2"/>
    </row>
    <row r="656" spans="1:3" ht="13.2" x14ac:dyDescent="0.25">
      <c r="A656" s="1"/>
      <c r="B656" s="1"/>
      <c r="C656" s="2"/>
    </row>
    <row r="657" spans="1:3" ht="13.2" x14ac:dyDescent="0.25">
      <c r="A657" s="1"/>
      <c r="B657" s="1"/>
      <c r="C657" s="2"/>
    </row>
    <row r="658" spans="1:3" ht="13.2" x14ac:dyDescent="0.25">
      <c r="A658" s="1"/>
      <c r="B658" s="1"/>
      <c r="C658" s="2"/>
    </row>
    <row r="659" spans="1:3" ht="13.2" x14ac:dyDescent="0.25">
      <c r="A659" s="1"/>
      <c r="B659" s="1"/>
      <c r="C659" s="2"/>
    </row>
    <row r="660" spans="1:3" ht="13.2" x14ac:dyDescent="0.25">
      <c r="A660" s="1"/>
      <c r="B660" s="1"/>
      <c r="C660" s="2"/>
    </row>
    <row r="661" spans="1:3" ht="13.2" x14ac:dyDescent="0.25">
      <c r="A661" s="1"/>
      <c r="B661" s="1"/>
      <c r="C661" s="2"/>
    </row>
    <row r="662" spans="1:3" ht="13.2" x14ac:dyDescent="0.25">
      <c r="A662" s="1"/>
      <c r="B662" s="1"/>
      <c r="C662" s="2"/>
    </row>
    <row r="663" spans="1:3" ht="13.2" x14ac:dyDescent="0.25">
      <c r="A663" s="1"/>
      <c r="B663" s="1"/>
      <c r="C663" s="2"/>
    </row>
    <row r="664" spans="1:3" ht="13.2" x14ac:dyDescent="0.25">
      <c r="A664" s="1"/>
      <c r="B664" s="1"/>
      <c r="C664" s="2"/>
    </row>
    <row r="665" spans="1:3" ht="13.2" x14ac:dyDescent="0.25">
      <c r="A665" s="1"/>
      <c r="B665" s="1"/>
      <c r="C665" s="2"/>
    </row>
    <row r="666" spans="1:3" ht="13.2" x14ac:dyDescent="0.25">
      <c r="A666" s="1"/>
      <c r="B666" s="1"/>
      <c r="C666" s="2"/>
    </row>
    <row r="667" spans="1:3" ht="13.2" x14ac:dyDescent="0.25">
      <c r="A667" s="1"/>
      <c r="B667" s="1"/>
      <c r="C667" s="2"/>
    </row>
    <row r="668" spans="1:3" ht="13.2" x14ac:dyDescent="0.25">
      <c r="A668" s="1"/>
      <c r="B668" s="1"/>
      <c r="C668" s="2"/>
    </row>
    <row r="669" spans="1:3" ht="13.2" x14ac:dyDescent="0.25">
      <c r="A669" s="1"/>
      <c r="B669" s="1"/>
      <c r="C669" s="2"/>
    </row>
    <row r="670" spans="1:3" ht="13.2" x14ac:dyDescent="0.25">
      <c r="A670" s="1"/>
      <c r="B670" s="1"/>
      <c r="C670" s="2"/>
    </row>
    <row r="671" spans="1:3" ht="13.2" x14ac:dyDescent="0.25">
      <c r="A671" s="1"/>
      <c r="B671" s="1"/>
      <c r="C671" s="2"/>
    </row>
    <row r="672" spans="1:3" ht="13.2" x14ac:dyDescent="0.25">
      <c r="A672" s="1"/>
      <c r="B672" s="1"/>
      <c r="C672" s="2"/>
    </row>
    <row r="673" spans="1:3" ht="13.2" x14ac:dyDescent="0.25">
      <c r="A673" s="1"/>
      <c r="B673" s="1"/>
      <c r="C673" s="2"/>
    </row>
    <row r="674" spans="1:3" ht="13.2" x14ac:dyDescent="0.25">
      <c r="A674" s="1"/>
      <c r="B674" s="1"/>
      <c r="C674" s="2"/>
    </row>
    <row r="675" spans="1:3" ht="13.2" x14ac:dyDescent="0.25">
      <c r="A675" s="1"/>
      <c r="B675" s="1"/>
      <c r="C675" s="2"/>
    </row>
    <row r="676" spans="1:3" ht="13.2" x14ac:dyDescent="0.25">
      <c r="A676" s="1"/>
      <c r="B676" s="1"/>
      <c r="C676" s="2"/>
    </row>
    <row r="677" spans="1:3" ht="13.2" x14ac:dyDescent="0.25">
      <c r="A677" s="1"/>
      <c r="B677" s="1"/>
      <c r="C677" s="2"/>
    </row>
    <row r="678" spans="1:3" ht="13.2" x14ac:dyDescent="0.25">
      <c r="A678" s="1"/>
      <c r="B678" s="1"/>
      <c r="C678" s="2"/>
    </row>
    <row r="679" spans="1:3" ht="13.2" x14ac:dyDescent="0.25">
      <c r="A679" s="1"/>
      <c r="B679" s="1"/>
      <c r="C679" s="2"/>
    </row>
    <row r="680" spans="1:3" ht="13.2" x14ac:dyDescent="0.25">
      <c r="A680" s="1"/>
      <c r="B680" s="1"/>
      <c r="C680" s="2"/>
    </row>
    <row r="681" spans="1:3" ht="13.2" x14ac:dyDescent="0.25">
      <c r="A681" s="1"/>
      <c r="B681" s="1"/>
      <c r="C681" s="2"/>
    </row>
    <row r="682" spans="1:3" ht="13.2" x14ac:dyDescent="0.25">
      <c r="A682" s="1"/>
      <c r="B682" s="1"/>
      <c r="C682" s="2"/>
    </row>
    <row r="683" spans="1:3" ht="13.2" x14ac:dyDescent="0.25">
      <c r="A683" s="1"/>
      <c r="B683" s="1"/>
      <c r="C683" s="2"/>
    </row>
    <row r="684" spans="1:3" ht="13.2" x14ac:dyDescent="0.25">
      <c r="A684" s="1"/>
      <c r="B684" s="1"/>
      <c r="C684" s="2"/>
    </row>
    <row r="685" spans="1:3" ht="13.2" x14ac:dyDescent="0.25">
      <c r="A685" s="1"/>
      <c r="B685" s="1"/>
      <c r="C685" s="2"/>
    </row>
    <row r="686" spans="1:3" ht="13.2" x14ac:dyDescent="0.25">
      <c r="A686" s="1"/>
      <c r="B686" s="1"/>
      <c r="C686" s="2"/>
    </row>
    <row r="687" spans="1:3" ht="13.2" x14ac:dyDescent="0.25">
      <c r="A687" s="1"/>
      <c r="B687" s="1"/>
      <c r="C687" s="2"/>
    </row>
    <row r="688" spans="1:3" ht="13.2" x14ac:dyDescent="0.25">
      <c r="A688" s="1"/>
      <c r="B688" s="1"/>
      <c r="C688" s="2"/>
    </row>
    <row r="689" spans="1:3" ht="13.2" x14ac:dyDescent="0.25">
      <c r="A689" s="1"/>
      <c r="B689" s="1"/>
      <c r="C689" s="2"/>
    </row>
    <row r="690" spans="1:3" ht="13.2" x14ac:dyDescent="0.25">
      <c r="A690" s="1"/>
      <c r="B690" s="1"/>
      <c r="C690" s="2"/>
    </row>
    <row r="691" spans="1:3" ht="13.2" x14ac:dyDescent="0.25">
      <c r="A691" s="1"/>
      <c r="B691" s="1"/>
      <c r="C691" s="2"/>
    </row>
    <row r="692" spans="1:3" ht="13.2" x14ac:dyDescent="0.25">
      <c r="A692" s="1"/>
      <c r="B692" s="1"/>
      <c r="C692" s="2"/>
    </row>
    <row r="693" spans="1:3" ht="13.2" x14ac:dyDescent="0.25">
      <c r="A693" s="1"/>
      <c r="B693" s="1"/>
      <c r="C693" s="2"/>
    </row>
    <row r="694" spans="1:3" ht="13.2" x14ac:dyDescent="0.25">
      <c r="A694" s="1"/>
      <c r="B694" s="1"/>
      <c r="C694" s="2"/>
    </row>
    <row r="695" spans="1:3" ht="13.2" x14ac:dyDescent="0.25">
      <c r="A695" s="1"/>
      <c r="B695" s="1"/>
      <c r="C695" s="2"/>
    </row>
    <row r="696" spans="1:3" ht="13.2" x14ac:dyDescent="0.25">
      <c r="A696" s="1"/>
      <c r="B696" s="1"/>
      <c r="C696" s="2"/>
    </row>
    <row r="697" spans="1:3" ht="13.2" x14ac:dyDescent="0.25">
      <c r="A697" s="1"/>
      <c r="B697" s="1"/>
      <c r="C697" s="2"/>
    </row>
    <row r="698" spans="1:3" ht="13.2" x14ac:dyDescent="0.25">
      <c r="A698" s="1"/>
      <c r="B698" s="1"/>
      <c r="C698" s="2"/>
    </row>
    <row r="699" spans="1:3" ht="13.2" x14ac:dyDescent="0.25">
      <c r="A699" s="1"/>
      <c r="B699" s="1"/>
      <c r="C699" s="2"/>
    </row>
    <row r="700" spans="1:3" ht="13.2" x14ac:dyDescent="0.25">
      <c r="A700" s="1"/>
      <c r="B700" s="1"/>
      <c r="C700" s="2"/>
    </row>
    <row r="701" spans="1:3" ht="13.2" x14ac:dyDescent="0.25">
      <c r="A701" s="1"/>
      <c r="B701" s="1"/>
      <c r="C701" s="2"/>
    </row>
    <row r="702" spans="1:3" ht="13.2" x14ac:dyDescent="0.25">
      <c r="A702" s="1"/>
      <c r="B702" s="1"/>
      <c r="C702" s="2"/>
    </row>
    <row r="703" spans="1:3" ht="13.2" x14ac:dyDescent="0.25">
      <c r="A703" s="1"/>
      <c r="B703" s="1"/>
      <c r="C703" s="2"/>
    </row>
    <row r="704" spans="1:3" ht="13.2" x14ac:dyDescent="0.25">
      <c r="A704" s="1"/>
      <c r="B704" s="1"/>
      <c r="C704" s="2"/>
    </row>
    <row r="705" spans="1:3" ht="13.2" x14ac:dyDescent="0.25">
      <c r="A705" s="1"/>
      <c r="B705" s="1"/>
      <c r="C705" s="2"/>
    </row>
    <row r="706" spans="1:3" ht="13.2" x14ac:dyDescent="0.25">
      <c r="A706" s="1"/>
      <c r="B706" s="1"/>
      <c r="C706" s="2"/>
    </row>
    <row r="707" spans="1:3" ht="13.2" x14ac:dyDescent="0.25">
      <c r="A707" s="1"/>
      <c r="B707" s="1"/>
      <c r="C707" s="2"/>
    </row>
    <row r="708" spans="1:3" ht="13.2" x14ac:dyDescent="0.25">
      <c r="A708" s="1"/>
      <c r="B708" s="1"/>
      <c r="C708" s="2"/>
    </row>
    <row r="709" spans="1:3" ht="13.2" x14ac:dyDescent="0.25">
      <c r="A709" s="1"/>
      <c r="B709" s="1"/>
      <c r="C709" s="2"/>
    </row>
    <row r="710" spans="1:3" ht="13.2" x14ac:dyDescent="0.25">
      <c r="A710" s="1"/>
      <c r="B710" s="1"/>
      <c r="C710" s="2"/>
    </row>
    <row r="711" spans="1:3" ht="13.2" x14ac:dyDescent="0.25">
      <c r="A711" s="1"/>
      <c r="B711" s="1"/>
      <c r="C711" s="2"/>
    </row>
    <row r="712" spans="1:3" ht="13.2" x14ac:dyDescent="0.25">
      <c r="A712" s="1"/>
      <c r="B712" s="1"/>
      <c r="C712" s="2"/>
    </row>
    <row r="713" spans="1:3" ht="13.2" x14ac:dyDescent="0.25">
      <c r="A713" s="1"/>
      <c r="B713" s="1"/>
      <c r="C713" s="2"/>
    </row>
    <row r="714" spans="1:3" ht="13.2" x14ac:dyDescent="0.25">
      <c r="A714" s="1"/>
      <c r="B714" s="1"/>
      <c r="C714" s="2"/>
    </row>
    <row r="715" spans="1:3" ht="13.2" x14ac:dyDescent="0.25">
      <c r="A715" s="1"/>
      <c r="B715" s="1"/>
      <c r="C715" s="2"/>
    </row>
    <row r="716" spans="1:3" ht="13.2" x14ac:dyDescent="0.25">
      <c r="A716" s="1"/>
      <c r="B716" s="1"/>
      <c r="C716" s="2"/>
    </row>
    <row r="717" spans="1:3" ht="13.2" x14ac:dyDescent="0.25">
      <c r="A717" s="1"/>
      <c r="B717" s="1"/>
      <c r="C717" s="2"/>
    </row>
    <row r="718" spans="1:3" ht="13.2" x14ac:dyDescent="0.25">
      <c r="A718" s="1"/>
      <c r="B718" s="1"/>
      <c r="C718" s="2"/>
    </row>
    <row r="719" spans="1:3" ht="13.2" x14ac:dyDescent="0.25">
      <c r="A719" s="1"/>
      <c r="B719" s="1"/>
      <c r="C719" s="2"/>
    </row>
    <row r="720" spans="1:3" ht="13.2" x14ac:dyDescent="0.25">
      <c r="A720" s="1"/>
      <c r="B720" s="1"/>
      <c r="C720" s="2"/>
    </row>
    <row r="721" spans="1:3" ht="13.2" x14ac:dyDescent="0.25">
      <c r="A721" s="1"/>
      <c r="B721" s="1"/>
      <c r="C721" s="2"/>
    </row>
    <row r="722" spans="1:3" ht="13.2" x14ac:dyDescent="0.25">
      <c r="A722" s="1"/>
      <c r="B722" s="1"/>
      <c r="C722" s="2"/>
    </row>
    <row r="723" spans="1:3" ht="13.2" x14ac:dyDescent="0.25">
      <c r="A723" s="1"/>
      <c r="B723" s="1"/>
      <c r="C723" s="2"/>
    </row>
    <row r="724" spans="1:3" ht="13.2" x14ac:dyDescent="0.25">
      <c r="A724" s="1"/>
      <c r="B724" s="1"/>
      <c r="C724" s="2"/>
    </row>
    <row r="725" spans="1:3" ht="13.2" x14ac:dyDescent="0.25">
      <c r="A725" s="1"/>
      <c r="B725" s="1"/>
      <c r="C725" s="2"/>
    </row>
    <row r="726" spans="1:3" ht="13.2" x14ac:dyDescent="0.25">
      <c r="A726" s="1"/>
      <c r="B726" s="1"/>
      <c r="C726" s="2"/>
    </row>
    <row r="727" spans="1:3" ht="13.2" x14ac:dyDescent="0.25">
      <c r="A727" s="1"/>
      <c r="B727" s="1"/>
      <c r="C727" s="2"/>
    </row>
    <row r="728" spans="1:3" ht="13.2" x14ac:dyDescent="0.25">
      <c r="A728" s="1"/>
      <c r="B728" s="1"/>
      <c r="C728" s="2"/>
    </row>
    <row r="729" spans="1:3" ht="13.2" x14ac:dyDescent="0.25">
      <c r="A729" s="1"/>
      <c r="B729" s="1"/>
      <c r="C729" s="2"/>
    </row>
    <row r="730" spans="1:3" ht="13.2" x14ac:dyDescent="0.25">
      <c r="A730" s="1"/>
      <c r="B730" s="1"/>
      <c r="C730" s="2"/>
    </row>
    <row r="731" spans="1:3" ht="13.2" x14ac:dyDescent="0.25">
      <c r="A731" s="1"/>
      <c r="B731" s="1"/>
      <c r="C731" s="2"/>
    </row>
    <row r="732" spans="1:3" ht="13.2" x14ac:dyDescent="0.25">
      <c r="A732" s="1"/>
      <c r="B732" s="1"/>
      <c r="C732" s="2"/>
    </row>
    <row r="733" spans="1:3" ht="13.2" x14ac:dyDescent="0.25">
      <c r="A733" s="1"/>
      <c r="B733" s="1"/>
      <c r="C733" s="2"/>
    </row>
    <row r="734" spans="1:3" ht="13.2" x14ac:dyDescent="0.25">
      <c r="A734" s="1"/>
      <c r="B734" s="1"/>
      <c r="C734" s="2"/>
    </row>
    <row r="735" spans="1:3" ht="13.2" x14ac:dyDescent="0.25">
      <c r="A735" s="1"/>
      <c r="B735" s="1"/>
      <c r="C735" s="2"/>
    </row>
    <row r="736" spans="1:3" ht="13.2" x14ac:dyDescent="0.25">
      <c r="A736" s="1"/>
      <c r="B736" s="1"/>
      <c r="C736" s="2"/>
    </row>
    <row r="737" spans="1:3" ht="13.2" x14ac:dyDescent="0.25">
      <c r="A737" s="1"/>
      <c r="B737" s="1"/>
      <c r="C737" s="2"/>
    </row>
    <row r="738" spans="1:3" ht="13.2" x14ac:dyDescent="0.25">
      <c r="A738" s="1"/>
      <c r="B738" s="1"/>
      <c r="C738" s="2"/>
    </row>
    <row r="739" spans="1:3" ht="13.2" x14ac:dyDescent="0.25">
      <c r="A739" s="1"/>
      <c r="B739" s="1"/>
      <c r="C739" s="2"/>
    </row>
    <row r="740" spans="1:3" ht="13.2" x14ac:dyDescent="0.25">
      <c r="A740" s="1"/>
      <c r="B740" s="1"/>
      <c r="C740" s="2"/>
    </row>
    <row r="741" spans="1:3" ht="13.2" x14ac:dyDescent="0.25">
      <c r="A741" s="1"/>
      <c r="B741" s="1"/>
      <c r="C741" s="2"/>
    </row>
    <row r="742" spans="1:3" ht="13.2" x14ac:dyDescent="0.25">
      <c r="A742" s="1"/>
      <c r="B742" s="1"/>
      <c r="C742" s="2"/>
    </row>
    <row r="743" spans="1:3" ht="13.2" x14ac:dyDescent="0.25">
      <c r="A743" s="1"/>
      <c r="B743" s="1"/>
      <c r="C743" s="2"/>
    </row>
    <row r="744" spans="1:3" ht="13.2" x14ac:dyDescent="0.25">
      <c r="A744" s="1"/>
      <c r="B744" s="1"/>
      <c r="C744" s="2"/>
    </row>
    <row r="745" spans="1:3" ht="13.2" x14ac:dyDescent="0.25">
      <c r="A745" s="1"/>
      <c r="B745" s="1"/>
      <c r="C745" s="2"/>
    </row>
    <row r="746" spans="1:3" ht="13.2" x14ac:dyDescent="0.25">
      <c r="A746" s="1"/>
      <c r="B746" s="1"/>
      <c r="C746" s="2"/>
    </row>
    <row r="747" spans="1:3" ht="13.2" x14ac:dyDescent="0.25">
      <c r="A747" s="1"/>
      <c r="B747" s="1"/>
      <c r="C747" s="2"/>
    </row>
    <row r="748" spans="1:3" ht="13.2" x14ac:dyDescent="0.25">
      <c r="A748" s="1"/>
      <c r="B748" s="1"/>
      <c r="C748" s="2"/>
    </row>
    <row r="749" spans="1:3" ht="13.2" x14ac:dyDescent="0.25">
      <c r="A749" s="1"/>
      <c r="B749" s="1"/>
      <c r="C749" s="2"/>
    </row>
    <row r="750" spans="1:3" ht="13.2" x14ac:dyDescent="0.25">
      <c r="A750" s="1"/>
      <c r="B750" s="1"/>
      <c r="C750" s="2"/>
    </row>
    <row r="751" spans="1:3" ht="13.2" x14ac:dyDescent="0.25">
      <c r="A751" s="1"/>
      <c r="B751" s="1"/>
      <c r="C751" s="2"/>
    </row>
    <row r="752" spans="1:3" ht="13.2" x14ac:dyDescent="0.25">
      <c r="A752" s="1"/>
      <c r="B752" s="1"/>
      <c r="C752" s="2"/>
    </row>
    <row r="753" spans="1:3" ht="13.2" x14ac:dyDescent="0.25">
      <c r="A753" s="1"/>
      <c r="B753" s="1"/>
      <c r="C753" s="2"/>
    </row>
    <row r="754" spans="1:3" ht="13.2" x14ac:dyDescent="0.25">
      <c r="A754" s="1"/>
      <c r="B754" s="1"/>
      <c r="C754" s="2"/>
    </row>
    <row r="755" spans="1:3" ht="13.2" x14ac:dyDescent="0.25">
      <c r="A755" s="1"/>
      <c r="B755" s="1"/>
      <c r="C755" s="2"/>
    </row>
    <row r="756" spans="1:3" ht="13.2" x14ac:dyDescent="0.25">
      <c r="A756" s="1"/>
      <c r="B756" s="1"/>
      <c r="C756" s="2"/>
    </row>
    <row r="757" spans="1:3" ht="13.2" x14ac:dyDescent="0.25">
      <c r="A757" s="1"/>
      <c r="B757" s="1"/>
      <c r="C757" s="2"/>
    </row>
    <row r="758" spans="1:3" ht="13.2" x14ac:dyDescent="0.25">
      <c r="A758" s="1"/>
      <c r="B758" s="1"/>
      <c r="C758" s="2"/>
    </row>
    <row r="759" spans="1:3" ht="13.2" x14ac:dyDescent="0.25">
      <c r="A759" s="1"/>
      <c r="B759" s="1"/>
      <c r="C759" s="2"/>
    </row>
    <row r="760" spans="1:3" ht="13.2" x14ac:dyDescent="0.25">
      <c r="A760" s="1"/>
      <c r="B760" s="1"/>
      <c r="C760" s="2"/>
    </row>
    <row r="761" spans="1:3" ht="13.2" x14ac:dyDescent="0.25">
      <c r="A761" s="1"/>
      <c r="B761" s="1"/>
      <c r="C761" s="2"/>
    </row>
    <row r="762" spans="1:3" ht="13.2" x14ac:dyDescent="0.25">
      <c r="A762" s="1"/>
      <c r="B762" s="1"/>
      <c r="C762" s="2"/>
    </row>
    <row r="763" spans="1:3" ht="13.2" x14ac:dyDescent="0.25">
      <c r="A763" s="1"/>
      <c r="B763" s="1"/>
      <c r="C763" s="2"/>
    </row>
    <row r="764" spans="1:3" ht="13.2" x14ac:dyDescent="0.25">
      <c r="A764" s="1"/>
      <c r="B764" s="1"/>
      <c r="C764" s="2"/>
    </row>
    <row r="765" spans="1:3" ht="13.2" x14ac:dyDescent="0.25">
      <c r="A765" s="1"/>
      <c r="B765" s="1"/>
      <c r="C765" s="2"/>
    </row>
    <row r="766" spans="1:3" ht="13.2" x14ac:dyDescent="0.25">
      <c r="A766" s="1"/>
      <c r="B766" s="1"/>
      <c r="C766" s="2"/>
    </row>
    <row r="767" spans="1:3" ht="13.2" x14ac:dyDescent="0.25">
      <c r="A767" s="1"/>
      <c r="B767" s="1"/>
      <c r="C767" s="2"/>
    </row>
    <row r="768" spans="1:3" ht="13.2" x14ac:dyDescent="0.25">
      <c r="A768" s="1"/>
      <c r="B768" s="1"/>
      <c r="C768" s="2"/>
    </row>
    <row r="769" spans="1:3" ht="13.2" x14ac:dyDescent="0.25">
      <c r="A769" s="1"/>
      <c r="B769" s="1"/>
      <c r="C769" s="2"/>
    </row>
    <row r="770" spans="1:3" ht="13.2" x14ac:dyDescent="0.25">
      <c r="A770" s="1"/>
      <c r="B770" s="1"/>
      <c r="C770" s="2"/>
    </row>
    <row r="771" spans="1:3" ht="13.2" x14ac:dyDescent="0.25">
      <c r="A771" s="1"/>
      <c r="B771" s="1"/>
      <c r="C771" s="2"/>
    </row>
    <row r="772" spans="1:3" ht="13.2" x14ac:dyDescent="0.25">
      <c r="A772" s="1"/>
      <c r="B772" s="1"/>
      <c r="C772" s="2"/>
    </row>
    <row r="773" spans="1:3" ht="13.2" x14ac:dyDescent="0.25">
      <c r="A773" s="1"/>
      <c r="B773" s="1"/>
      <c r="C773" s="2"/>
    </row>
    <row r="774" spans="1:3" ht="13.2" x14ac:dyDescent="0.25">
      <c r="A774" s="1"/>
      <c r="B774" s="1"/>
      <c r="C774" s="2"/>
    </row>
    <row r="775" spans="1:3" ht="13.2" x14ac:dyDescent="0.25">
      <c r="A775" s="1"/>
      <c r="B775" s="1"/>
      <c r="C775" s="2"/>
    </row>
    <row r="776" spans="1:3" ht="13.2" x14ac:dyDescent="0.25">
      <c r="A776" s="1"/>
      <c r="B776" s="1"/>
      <c r="C776" s="2"/>
    </row>
    <row r="777" spans="1:3" ht="13.2" x14ac:dyDescent="0.25">
      <c r="A777" s="1"/>
      <c r="B777" s="1"/>
      <c r="C777" s="2"/>
    </row>
    <row r="778" spans="1:3" ht="13.2" x14ac:dyDescent="0.25">
      <c r="A778" s="1"/>
      <c r="B778" s="1"/>
      <c r="C778" s="2"/>
    </row>
    <row r="779" spans="1:3" ht="13.2" x14ac:dyDescent="0.25">
      <c r="A779" s="1"/>
      <c r="B779" s="1"/>
      <c r="C779" s="2"/>
    </row>
    <row r="780" spans="1:3" ht="13.2" x14ac:dyDescent="0.25">
      <c r="A780" s="1"/>
      <c r="B780" s="1"/>
      <c r="C780" s="2"/>
    </row>
    <row r="781" spans="1:3" ht="13.2" x14ac:dyDescent="0.25">
      <c r="A781" s="1"/>
      <c r="B781" s="1"/>
      <c r="C781" s="2"/>
    </row>
    <row r="782" spans="1:3" ht="13.2" x14ac:dyDescent="0.25">
      <c r="A782" s="1"/>
      <c r="B782" s="1"/>
      <c r="C782" s="2"/>
    </row>
    <row r="783" spans="1:3" ht="13.2" x14ac:dyDescent="0.25">
      <c r="A783" s="1"/>
      <c r="B783" s="1"/>
      <c r="C783" s="2"/>
    </row>
    <row r="784" spans="1:3" ht="13.2" x14ac:dyDescent="0.25">
      <c r="A784" s="1"/>
      <c r="B784" s="1"/>
      <c r="C784" s="2"/>
    </row>
    <row r="785" spans="1:3" ht="13.2" x14ac:dyDescent="0.25">
      <c r="A785" s="1"/>
      <c r="B785" s="1"/>
      <c r="C785" s="2"/>
    </row>
    <row r="786" spans="1:3" ht="13.2" x14ac:dyDescent="0.25">
      <c r="A786" s="1"/>
      <c r="B786" s="1"/>
      <c r="C786" s="2"/>
    </row>
    <row r="787" spans="1:3" ht="13.2" x14ac:dyDescent="0.25">
      <c r="A787" s="1"/>
      <c r="B787" s="1"/>
      <c r="C787" s="2"/>
    </row>
    <row r="788" spans="1:3" ht="13.2" x14ac:dyDescent="0.25">
      <c r="A788" s="1"/>
      <c r="B788" s="1"/>
      <c r="C788" s="2"/>
    </row>
    <row r="789" spans="1:3" ht="13.2" x14ac:dyDescent="0.25">
      <c r="A789" s="1"/>
      <c r="B789" s="1"/>
      <c r="C789" s="2"/>
    </row>
    <row r="790" spans="1:3" ht="13.2" x14ac:dyDescent="0.25">
      <c r="A790" s="1"/>
      <c r="B790" s="1"/>
      <c r="C790" s="2"/>
    </row>
    <row r="791" spans="1:3" ht="13.2" x14ac:dyDescent="0.25">
      <c r="A791" s="1"/>
      <c r="B791" s="1"/>
      <c r="C791" s="2"/>
    </row>
    <row r="792" spans="1:3" ht="13.2" x14ac:dyDescent="0.25">
      <c r="A792" s="1"/>
      <c r="B792" s="1"/>
      <c r="C792" s="2"/>
    </row>
    <row r="793" spans="1:3" ht="13.2" x14ac:dyDescent="0.25">
      <c r="A793" s="1"/>
      <c r="B793" s="1"/>
      <c r="C793" s="2"/>
    </row>
    <row r="794" spans="1:3" ht="13.2" x14ac:dyDescent="0.25">
      <c r="A794" s="1"/>
      <c r="B794" s="1"/>
      <c r="C794" s="2"/>
    </row>
    <row r="795" spans="1:3" ht="13.2" x14ac:dyDescent="0.25">
      <c r="A795" s="1"/>
      <c r="B795" s="1"/>
      <c r="C795" s="2"/>
    </row>
    <row r="796" spans="1:3" ht="13.2" x14ac:dyDescent="0.25">
      <c r="A796" s="1"/>
      <c r="B796" s="1"/>
      <c r="C796" s="2"/>
    </row>
    <row r="797" spans="1:3" ht="13.2" x14ac:dyDescent="0.25">
      <c r="A797" s="1"/>
      <c r="B797" s="1"/>
      <c r="C797" s="2"/>
    </row>
    <row r="798" spans="1:3" ht="13.2" x14ac:dyDescent="0.25">
      <c r="A798" s="1"/>
      <c r="B798" s="1"/>
      <c r="C798" s="2"/>
    </row>
    <row r="799" spans="1:3" ht="13.2" x14ac:dyDescent="0.25">
      <c r="A799" s="1"/>
      <c r="B799" s="1"/>
      <c r="C799" s="2"/>
    </row>
    <row r="800" spans="1:3" ht="13.2" x14ac:dyDescent="0.25">
      <c r="A800" s="1"/>
      <c r="B800" s="1"/>
      <c r="C800" s="2"/>
    </row>
    <row r="801" spans="1:3" ht="13.2" x14ac:dyDescent="0.25">
      <c r="A801" s="1"/>
      <c r="B801" s="1"/>
      <c r="C801" s="2"/>
    </row>
    <row r="802" spans="1:3" ht="13.2" x14ac:dyDescent="0.25">
      <c r="A802" s="1"/>
      <c r="B802" s="1"/>
      <c r="C802" s="2"/>
    </row>
    <row r="803" spans="1:3" ht="13.2" x14ac:dyDescent="0.25">
      <c r="A803" s="1"/>
      <c r="B803" s="1"/>
      <c r="C803" s="2"/>
    </row>
    <row r="804" spans="1:3" ht="13.2" x14ac:dyDescent="0.25">
      <c r="A804" s="1"/>
      <c r="B804" s="1"/>
      <c r="C804" s="2"/>
    </row>
    <row r="805" spans="1:3" ht="13.2" x14ac:dyDescent="0.25">
      <c r="A805" s="1"/>
      <c r="B805" s="1"/>
      <c r="C805" s="2"/>
    </row>
    <row r="806" spans="1:3" ht="13.2" x14ac:dyDescent="0.25">
      <c r="A806" s="1"/>
      <c r="B806" s="1"/>
      <c r="C806" s="2"/>
    </row>
    <row r="807" spans="1:3" ht="13.2" x14ac:dyDescent="0.25">
      <c r="A807" s="1"/>
      <c r="B807" s="1"/>
      <c r="C807" s="2"/>
    </row>
    <row r="808" spans="1:3" ht="13.2" x14ac:dyDescent="0.25">
      <c r="A808" s="1"/>
      <c r="B808" s="1"/>
      <c r="C808" s="2"/>
    </row>
    <row r="809" spans="1:3" ht="13.2" x14ac:dyDescent="0.25">
      <c r="A809" s="1"/>
      <c r="B809" s="1"/>
      <c r="C809" s="2"/>
    </row>
    <row r="810" spans="1:3" ht="13.2" x14ac:dyDescent="0.25">
      <c r="A810" s="1"/>
      <c r="B810" s="1"/>
      <c r="C810" s="2"/>
    </row>
    <row r="811" spans="1:3" ht="13.2" x14ac:dyDescent="0.25">
      <c r="A811" s="1"/>
      <c r="B811" s="1"/>
      <c r="C811" s="2"/>
    </row>
    <row r="812" spans="1:3" ht="13.2" x14ac:dyDescent="0.25">
      <c r="A812" s="1"/>
      <c r="B812" s="1"/>
      <c r="C812" s="2"/>
    </row>
    <row r="813" spans="1:3" ht="13.2" x14ac:dyDescent="0.25">
      <c r="A813" s="1"/>
      <c r="B813" s="1"/>
      <c r="C813" s="2"/>
    </row>
    <row r="814" spans="1:3" ht="13.2" x14ac:dyDescent="0.25">
      <c r="A814" s="1"/>
      <c r="B814" s="1"/>
      <c r="C814" s="2"/>
    </row>
    <row r="815" spans="1:3" ht="13.2" x14ac:dyDescent="0.25">
      <c r="A815" s="1"/>
      <c r="B815" s="1"/>
      <c r="C815" s="2"/>
    </row>
    <row r="816" spans="1:3" ht="13.2" x14ac:dyDescent="0.25">
      <c r="A816" s="1"/>
      <c r="B816" s="1"/>
      <c r="C816" s="2"/>
    </row>
    <row r="817" spans="1:3" ht="13.2" x14ac:dyDescent="0.25">
      <c r="A817" s="1"/>
      <c r="B817" s="1"/>
      <c r="C817" s="2"/>
    </row>
    <row r="818" spans="1:3" ht="13.2" x14ac:dyDescent="0.25">
      <c r="A818" s="1"/>
      <c r="B818" s="1"/>
      <c r="C818" s="2"/>
    </row>
    <row r="819" spans="1:3" ht="13.2" x14ac:dyDescent="0.25">
      <c r="A819" s="1"/>
      <c r="B819" s="1"/>
      <c r="C819" s="2"/>
    </row>
    <row r="820" spans="1:3" ht="13.2" x14ac:dyDescent="0.25">
      <c r="A820" s="1"/>
      <c r="B820" s="1"/>
      <c r="C820" s="2"/>
    </row>
    <row r="821" spans="1:3" ht="13.2" x14ac:dyDescent="0.25">
      <c r="A821" s="1"/>
      <c r="B821" s="1"/>
      <c r="C821" s="2"/>
    </row>
    <row r="822" spans="1:3" ht="13.2" x14ac:dyDescent="0.25">
      <c r="A822" s="1"/>
      <c r="B822" s="1"/>
      <c r="C822" s="2"/>
    </row>
    <row r="823" spans="1:3" ht="13.2" x14ac:dyDescent="0.25">
      <c r="A823" s="1"/>
      <c r="B823" s="1"/>
      <c r="C823" s="2"/>
    </row>
    <row r="824" spans="1:3" ht="13.2" x14ac:dyDescent="0.25">
      <c r="A824" s="1"/>
      <c r="B824" s="1"/>
      <c r="C824" s="2"/>
    </row>
    <row r="825" spans="1:3" ht="13.2" x14ac:dyDescent="0.25">
      <c r="A825" s="1"/>
      <c r="B825" s="1"/>
      <c r="C825" s="2"/>
    </row>
    <row r="826" spans="1:3" ht="13.2" x14ac:dyDescent="0.25">
      <c r="A826" s="1"/>
      <c r="B826" s="1"/>
      <c r="C826" s="2"/>
    </row>
    <row r="827" spans="1:3" ht="13.2" x14ac:dyDescent="0.25">
      <c r="A827" s="1"/>
      <c r="B827" s="1"/>
      <c r="C827" s="2"/>
    </row>
    <row r="828" spans="1:3" ht="13.2" x14ac:dyDescent="0.25">
      <c r="A828" s="1"/>
      <c r="B828" s="1"/>
      <c r="C828" s="2"/>
    </row>
    <row r="829" spans="1:3" ht="13.2" x14ac:dyDescent="0.25">
      <c r="A829" s="1"/>
      <c r="B829" s="1"/>
      <c r="C829" s="2"/>
    </row>
    <row r="830" spans="1:3" ht="13.2" x14ac:dyDescent="0.25">
      <c r="A830" s="1"/>
      <c r="B830" s="1"/>
      <c r="C830" s="2"/>
    </row>
    <row r="831" spans="1:3" ht="13.2" x14ac:dyDescent="0.25">
      <c r="A831" s="1"/>
      <c r="B831" s="1"/>
      <c r="C831" s="2"/>
    </row>
    <row r="832" spans="1:3" ht="13.2" x14ac:dyDescent="0.25">
      <c r="A832" s="1"/>
      <c r="B832" s="1"/>
      <c r="C832" s="2"/>
    </row>
    <row r="833" spans="1:3" ht="13.2" x14ac:dyDescent="0.25">
      <c r="A833" s="1"/>
      <c r="B833" s="1"/>
      <c r="C833" s="2"/>
    </row>
    <row r="834" spans="1:3" ht="13.2" x14ac:dyDescent="0.25">
      <c r="A834" s="1"/>
      <c r="B834" s="1"/>
      <c r="C834" s="2"/>
    </row>
    <row r="835" spans="1:3" ht="13.2" x14ac:dyDescent="0.25">
      <c r="A835" s="1"/>
      <c r="B835" s="1"/>
      <c r="C835" s="2"/>
    </row>
    <row r="836" spans="1:3" ht="13.2" x14ac:dyDescent="0.25">
      <c r="A836" s="1"/>
      <c r="B836" s="1"/>
      <c r="C836" s="2"/>
    </row>
    <row r="837" spans="1:3" ht="13.2" x14ac:dyDescent="0.25">
      <c r="A837" s="1"/>
      <c r="B837" s="1"/>
      <c r="C837" s="2"/>
    </row>
    <row r="838" spans="1:3" ht="13.2" x14ac:dyDescent="0.25">
      <c r="A838" s="1"/>
      <c r="B838" s="1"/>
      <c r="C838" s="2"/>
    </row>
    <row r="839" spans="1:3" ht="13.2" x14ac:dyDescent="0.25">
      <c r="A839" s="1"/>
      <c r="B839" s="1"/>
      <c r="C839" s="2"/>
    </row>
    <row r="840" spans="1:3" ht="13.2" x14ac:dyDescent="0.25">
      <c r="A840" s="1"/>
      <c r="B840" s="1"/>
      <c r="C840" s="2"/>
    </row>
    <row r="841" spans="1:3" ht="13.2" x14ac:dyDescent="0.25">
      <c r="A841" s="1"/>
      <c r="B841" s="1"/>
      <c r="C841" s="2"/>
    </row>
    <row r="842" spans="1:3" ht="13.2" x14ac:dyDescent="0.25">
      <c r="A842" s="1"/>
      <c r="B842" s="1"/>
      <c r="C842" s="2"/>
    </row>
    <row r="843" spans="1:3" ht="13.2" x14ac:dyDescent="0.25">
      <c r="A843" s="1"/>
      <c r="B843" s="1"/>
      <c r="C843" s="2"/>
    </row>
    <row r="844" spans="1:3" ht="13.2" x14ac:dyDescent="0.25">
      <c r="A844" s="1"/>
      <c r="B844" s="1"/>
      <c r="C844" s="2"/>
    </row>
    <row r="845" spans="1:3" ht="13.2" x14ac:dyDescent="0.25">
      <c r="A845" s="1"/>
      <c r="B845" s="1"/>
      <c r="C845" s="2"/>
    </row>
    <row r="846" spans="1:3" ht="13.2" x14ac:dyDescent="0.25">
      <c r="A846" s="1"/>
      <c r="B846" s="1"/>
      <c r="C846" s="2"/>
    </row>
    <row r="847" spans="1:3" ht="13.2" x14ac:dyDescent="0.25">
      <c r="A847" s="1"/>
      <c r="B847" s="1"/>
      <c r="C847" s="2"/>
    </row>
    <row r="848" spans="1:3" ht="13.2" x14ac:dyDescent="0.25">
      <c r="A848" s="1"/>
      <c r="B848" s="1"/>
      <c r="C848" s="2"/>
    </row>
    <row r="849" spans="1:3" ht="13.2" x14ac:dyDescent="0.25">
      <c r="A849" s="1"/>
      <c r="B849" s="1"/>
      <c r="C849" s="2"/>
    </row>
    <row r="850" spans="1:3" ht="13.2" x14ac:dyDescent="0.25">
      <c r="A850" s="1"/>
      <c r="B850" s="1"/>
      <c r="C850" s="2"/>
    </row>
    <row r="851" spans="1:3" ht="13.2" x14ac:dyDescent="0.25">
      <c r="A851" s="1"/>
      <c r="B851" s="1"/>
      <c r="C851" s="2"/>
    </row>
    <row r="852" spans="1:3" ht="13.2" x14ac:dyDescent="0.25">
      <c r="A852" s="1"/>
      <c r="B852" s="1"/>
      <c r="C852" s="2"/>
    </row>
    <row r="853" spans="1:3" ht="13.2" x14ac:dyDescent="0.25">
      <c r="A853" s="1"/>
      <c r="B853" s="1"/>
      <c r="C853" s="2"/>
    </row>
    <row r="854" spans="1:3" ht="13.2" x14ac:dyDescent="0.25">
      <c r="A854" s="1"/>
      <c r="B854" s="1"/>
      <c r="C854" s="2"/>
    </row>
    <row r="855" spans="1:3" ht="13.2" x14ac:dyDescent="0.25">
      <c r="A855" s="1"/>
      <c r="B855" s="1"/>
      <c r="C855" s="2"/>
    </row>
    <row r="856" spans="1:3" ht="13.2" x14ac:dyDescent="0.25">
      <c r="A856" s="1"/>
      <c r="B856" s="1"/>
      <c r="C856" s="2"/>
    </row>
    <row r="857" spans="1:3" ht="13.2" x14ac:dyDescent="0.25">
      <c r="A857" s="1"/>
      <c r="B857" s="1"/>
      <c r="C857" s="2"/>
    </row>
    <row r="858" spans="1:3" ht="13.2" x14ac:dyDescent="0.25">
      <c r="A858" s="1"/>
      <c r="B858" s="1"/>
      <c r="C858" s="2"/>
    </row>
    <row r="859" spans="1:3" ht="13.2" x14ac:dyDescent="0.25">
      <c r="A859" s="1"/>
      <c r="B859" s="1"/>
      <c r="C859" s="2"/>
    </row>
    <row r="860" spans="1:3" ht="13.2" x14ac:dyDescent="0.25">
      <c r="A860" s="1"/>
      <c r="B860" s="1"/>
      <c r="C860" s="2"/>
    </row>
    <row r="861" spans="1:3" ht="13.2" x14ac:dyDescent="0.25">
      <c r="A861" s="1"/>
      <c r="B861" s="1"/>
      <c r="C861" s="2"/>
    </row>
    <row r="862" spans="1:3" ht="13.2" x14ac:dyDescent="0.25">
      <c r="A862" s="1"/>
      <c r="B862" s="1"/>
      <c r="C862" s="2"/>
    </row>
    <row r="863" spans="1:3" ht="13.2" x14ac:dyDescent="0.25">
      <c r="A863" s="1"/>
      <c r="B863" s="1"/>
      <c r="C863" s="2"/>
    </row>
    <row r="864" spans="1:3" ht="13.2" x14ac:dyDescent="0.25">
      <c r="A864" s="1"/>
      <c r="B864" s="1"/>
      <c r="C864" s="2"/>
    </row>
    <row r="865" spans="1:3" ht="13.2" x14ac:dyDescent="0.25">
      <c r="A865" s="1"/>
      <c r="B865" s="1"/>
      <c r="C865" s="2"/>
    </row>
    <row r="866" spans="1:3" ht="13.2" x14ac:dyDescent="0.25">
      <c r="A866" s="1"/>
      <c r="B866" s="1"/>
      <c r="C866" s="2"/>
    </row>
    <row r="867" spans="1:3" ht="13.2" x14ac:dyDescent="0.25">
      <c r="A867" s="1"/>
      <c r="B867" s="1"/>
      <c r="C867" s="2"/>
    </row>
    <row r="868" spans="1:3" ht="13.2" x14ac:dyDescent="0.25">
      <c r="A868" s="1"/>
      <c r="B868" s="1"/>
      <c r="C868" s="2"/>
    </row>
    <row r="869" spans="1:3" ht="13.2" x14ac:dyDescent="0.25">
      <c r="A869" s="1"/>
      <c r="B869" s="1"/>
      <c r="C869" s="2"/>
    </row>
    <row r="870" spans="1:3" ht="13.2" x14ac:dyDescent="0.25">
      <c r="A870" s="1"/>
      <c r="B870" s="1"/>
      <c r="C870" s="2"/>
    </row>
    <row r="871" spans="1:3" ht="13.2" x14ac:dyDescent="0.25">
      <c r="A871" s="1"/>
      <c r="B871" s="1"/>
      <c r="C871" s="2"/>
    </row>
    <row r="872" spans="1:3" ht="13.2" x14ac:dyDescent="0.25">
      <c r="A872" s="1"/>
      <c r="B872" s="1"/>
      <c r="C872" s="2"/>
    </row>
    <row r="873" spans="1:3" ht="13.2" x14ac:dyDescent="0.25">
      <c r="A873" s="1"/>
      <c r="B873" s="1"/>
      <c r="C873" s="2"/>
    </row>
    <row r="874" spans="1:3" ht="13.2" x14ac:dyDescent="0.25">
      <c r="A874" s="1"/>
      <c r="B874" s="1"/>
      <c r="C874" s="2"/>
    </row>
    <row r="875" spans="1:3" ht="13.2" x14ac:dyDescent="0.25">
      <c r="A875" s="1"/>
      <c r="B875" s="1"/>
      <c r="C875" s="2"/>
    </row>
    <row r="876" spans="1:3" ht="13.2" x14ac:dyDescent="0.25">
      <c r="A876" s="1"/>
      <c r="B876" s="1"/>
      <c r="C876" s="2"/>
    </row>
    <row r="877" spans="1:3" ht="13.2" x14ac:dyDescent="0.25">
      <c r="A877" s="1"/>
      <c r="B877" s="1"/>
      <c r="C877" s="2"/>
    </row>
    <row r="878" spans="1:3" ht="13.2" x14ac:dyDescent="0.25">
      <c r="A878" s="1"/>
      <c r="B878" s="1"/>
      <c r="C878" s="2"/>
    </row>
    <row r="879" spans="1:3" ht="13.2" x14ac:dyDescent="0.25">
      <c r="A879" s="1"/>
      <c r="B879" s="1"/>
      <c r="C879" s="2"/>
    </row>
    <row r="880" spans="1:3" ht="13.2" x14ac:dyDescent="0.25">
      <c r="A880" s="1"/>
      <c r="B880" s="1"/>
      <c r="C880" s="2"/>
    </row>
    <row r="881" spans="1:3" ht="13.2" x14ac:dyDescent="0.25">
      <c r="A881" s="1"/>
      <c r="B881" s="1"/>
      <c r="C881" s="2"/>
    </row>
    <row r="882" spans="1:3" ht="13.2" x14ac:dyDescent="0.25">
      <c r="A882" s="1"/>
      <c r="B882" s="1"/>
      <c r="C882" s="2"/>
    </row>
    <row r="883" spans="1:3" ht="13.2" x14ac:dyDescent="0.25">
      <c r="A883" s="1"/>
      <c r="B883" s="1"/>
      <c r="C883" s="2"/>
    </row>
    <row r="884" spans="1:3" ht="13.2" x14ac:dyDescent="0.25">
      <c r="A884" s="1"/>
      <c r="B884" s="1"/>
      <c r="C884" s="2"/>
    </row>
    <row r="885" spans="1:3" ht="13.2" x14ac:dyDescent="0.25">
      <c r="A885" s="1"/>
      <c r="B885" s="1"/>
      <c r="C885" s="2"/>
    </row>
    <row r="886" spans="1:3" ht="13.2" x14ac:dyDescent="0.25">
      <c r="A886" s="1"/>
      <c r="B886" s="1"/>
      <c r="C886" s="2"/>
    </row>
    <row r="887" spans="1:3" ht="13.2" x14ac:dyDescent="0.25">
      <c r="A887" s="1"/>
      <c r="B887" s="1"/>
      <c r="C887" s="2"/>
    </row>
    <row r="888" spans="1:3" ht="13.2" x14ac:dyDescent="0.25">
      <c r="A888" s="1"/>
      <c r="B888" s="1"/>
      <c r="C888" s="2"/>
    </row>
    <row r="889" spans="1:3" ht="13.2" x14ac:dyDescent="0.25">
      <c r="A889" s="1"/>
      <c r="B889" s="1"/>
      <c r="C889" s="2"/>
    </row>
    <row r="890" spans="1:3" ht="13.2" x14ac:dyDescent="0.25">
      <c r="A890" s="1"/>
      <c r="B890" s="1"/>
      <c r="C890" s="2"/>
    </row>
    <row r="891" spans="1:3" ht="13.2" x14ac:dyDescent="0.25">
      <c r="A891" s="1"/>
      <c r="B891" s="1"/>
      <c r="C891" s="2"/>
    </row>
    <row r="892" spans="1:3" ht="13.2" x14ac:dyDescent="0.25">
      <c r="A892" s="1"/>
      <c r="B892" s="1"/>
      <c r="C892" s="2"/>
    </row>
    <row r="893" spans="1:3" ht="13.2" x14ac:dyDescent="0.25">
      <c r="A893" s="1"/>
      <c r="B893" s="1"/>
      <c r="C893" s="2"/>
    </row>
    <row r="894" spans="1:3" ht="13.2" x14ac:dyDescent="0.25">
      <c r="A894" s="1"/>
      <c r="B894" s="1"/>
      <c r="C894" s="2"/>
    </row>
    <row r="895" spans="1:3" ht="13.2" x14ac:dyDescent="0.25">
      <c r="A895" s="1"/>
      <c r="B895" s="1"/>
      <c r="C895" s="2"/>
    </row>
    <row r="896" spans="1:3" ht="13.2" x14ac:dyDescent="0.25">
      <c r="A896" s="1"/>
      <c r="B896" s="1"/>
      <c r="C896" s="2"/>
    </row>
    <row r="897" spans="1:3" ht="13.2" x14ac:dyDescent="0.25">
      <c r="A897" s="1"/>
      <c r="B897" s="1"/>
      <c r="C897" s="2"/>
    </row>
    <row r="898" spans="1:3" ht="13.2" x14ac:dyDescent="0.25">
      <c r="A898" s="1"/>
      <c r="B898" s="1"/>
      <c r="C898" s="2"/>
    </row>
    <row r="899" spans="1:3" ht="13.2" x14ac:dyDescent="0.25">
      <c r="A899" s="1"/>
      <c r="B899" s="1"/>
      <c r="C899" s="2"/>
    </row>
    <row r="900" spans="1:3" ht="13.2" x14ac:dyDescent="0.25">
      <c r="A900" s="1"/>
      <c r="B900" s="1"/>
      <c r="C900" s="2"/>
    </row>
    <row r="901" spans="1:3" ht="13.2" x14ac:dyDescent="0.25">
      <c r="A901" s="1"/>
      <c r="B901" s="1"/>
      <c r="C901" s="2"/>
    </row>
    <row r="902" spans="1:3" ht="13.2" x14ac:dyDescent="0.25">
      <c r="A902" s="1"/>
      <c r="B902" s="1"/>
      <c r="C902" s="2"/>
    </row>
    <row r="903" spans="1:3" ht="13.2" x14ac:dyDescent="0.25">
      <c r="A903" s="1"/>
      <c r="B903" s="1"/>
      <c r="C903" s="2"/>
    </row>
    <row r="904" spans="1:3" ht="13.2" x14ac:dyDescent="0.25">
      <c r="A904" s="1"/>
      <c r="B904" s="1"/>
      <c r="C904" s="2"/>
    </row>
    <row r="905" spans="1:3" ht="13.2" x14ac:dyDescent="0.25">
      <c r="A905" s="1"/>
      <c r="B905" s="1"/>
      <c r="C905" s="2"/>
    </row>
    <row r="906" spans="1:3" ht="13.2" x14ac:dyDescent="0.25">
      <c r="A906" s="1"/>
      <c r="B906" s="1"/>
      <c r="C906" s="2"/>
    </row>
    <row r="907" spans="1:3" ht="13.2" x14ac:dyDescent="0.25">
      <c r="A907" s="1"/>
      <c r="B907" s="1"/>
      <c r="C907" s="2"/>
    </row>
    <row r="908" spans="1:3" ht="13.2" x14ac:dyDescent="0.25">
      <c r="A908" s="1"/>
      <c r="B908" s="1"/>
      <c r="C908" s="2"/>
    </row>
    <row r="909" spans="1:3" ht="13.2" x14ac:dyDescent="0.25">
      <c r="A909" s="1"/>
      <c r="B909" s="1"/>
      <c r="C909" s="2"/>
    </row>
    <row r="910" spans="1:3" ht="13.2" x14ac:dyDescent="0.25">
      <c r="A910" s="1"/>
      <c r="B910" s="1"/>
      <c r="C910" s="2"/>
    </row>
    <row r="911" spans="1:3" ht="13.2" x14ac:dyDescent="0.25">
      <c r="A911" s="1"/>
      <c r="B911" s="1"/>
      <c r="C911" s="2"/>
    </row>
    <row r="912" spans="1:3" ht="13.2" x14ac:dyDescent="0.25">
      <c r="A912" s="1"/>
      <c r="B912" s="1"/>
      <c r="C912" s="2"/>
    </row>
    <row r="913" spans="1:3" ht="13.2" x14ac:dyDescent="0.25">
      <c r="A913" s="1"/>
      <c r="B913" s="1"/>
      <c r="C913" s="2"/>
    </row>
    <row r="914" spans="1:3" ht="13.2" x14ac:dyDescent="0.25">
      <c r="A914" s="1"/>
      <c r="B914" s="1"/>
      <c r="C914" s="2"/>
    </row>
    <row r="915" spans="1:3" ht="13.2" x14ac:dyDescent="0.25">
      <c r="A915" s="1"/>
      <c r="B915" s="1"/>
      <c r="C915" s="2"/>
    </row>
    <row r="916" spans="1:3" ht="13.2" x14ac:dyDescent="0.25">
      <c r="A916" s="1"/>
      <c r="B916" s="1"/>
      <c r="C916" s="2"/>
    </row>
    <row r="917" spans="1:3" ht="13.2" x14ac:dyDescent="0.25">
      <c r="A917" s="1"/>
      <c r="B917" s="1"/>
      <c r="C917" s="2"/>
    </row>
    <row r="918" spans="1:3" ht="13.2" x14ac:dyDescent="0.25">
      <c r="A918" s="1"/>
      <c r="B918" s="1"/>
      <c r="C918" s="2"/>
    </row>
    <row r="919" spans="1:3" ht="13.2" x14ac:dyDescent="0.25">
      <c r="A919" s="1"/>
      <c r="B919" s="1"/>
      <c r="C919" s="2"/>
    </row>
    <row r="920" spans="1:3" ht="13.2" x14ac:dyDescent="0.25">
      <c r="A920" s="1"/>
      <c r="B920" s="1"/>
      <c r="C920" s="2"/>
    </row>
    <row r="921" spans="1:3" ht="13.2" x14ac:dyDescent="0.25">
      <c r="A921" s="1"/>
      <c r="B921" s="1"/>
      <c r="C921" s="2"/>
    </row>
    <row r="922" spans="1:3" ht="13.2" x14ac:dyDescent="0.25">
      <c r="A922" s="1"/>
      <c r="B922" s="1"/>
      <c r="C922" s="2"/>
    </row>
    <row r="923" spans="1:3" ht="13.2" x14ac:dyDescent="0.25">
      <c r="A923" s="1"/>
      <c r="B923" s="1"/>
      <c r="C923" s="2"/>
    </row>
    <row r="924" spans="1:3" ht="13.2" x14ac:dyDescent="0.25">
      <c r="A924" s="1"/>
      <c r="B924" s="1"/>
      <c r="C924" s="2"/>
    </row>
    <row r="925" spans="1:3" ht="13.2" x14ac:dyDescent="0.25">
      <c r="A925" s="1"/>
      <c r="B925" s="1"/>
      <c r="C925" s="2"/>
    </row>
    <row r="926" spans="1:3" ht="13.2" x14ac:dyDescent="0.25">
      <c r="A926" s="1"/>
      <c r="B926" s="1"/>
      <c r="C926" s="2"/>
    </row>
    <row r="927" spans="1:3" ht="13.2" x14ac:dyDescent="0.25">
      <c r="A927" s="1"/>
      <c r="B927" s="1"/>
      <c r="C927" s="2"/>
    </row>
    <row r="928" spans="1:3" ht="13.2" x14ac:dyDescent="0.25">
      <c r="A928" s="1"/>
      <c r="B928" s="1"/>
      <c r="C928" s="2"/>
    </row>
    <row r="929" spans="1:3" ht="13.2" x14ac:dyDescent="0.25">
      <c r="A929" s="1"/>
      <c r="B929" s="1"/>
      <c r="C929" s="2"/>
    </row>
    <row r="930" spans="1:3" ht="13.2" x14ac:dyDescent="0.25">
      <c r="A930" s="1"/>
      <c r="B930" s="1"/>
      <c r="C930" s="2"/>
    </row>
    <row r="931" spans="1:3" ht="13.2" x14ac:dyDescent="0.25">
      <c r="A931" s="1"/>
      <c r="B931" s="1"/>
      <c r="C931" s="2"/>
    </row>
    <row r="932" spans="1:3" ht="13.2" x14ac:dyDescent="0.25">
      <c r="A932" s="1"/>
      <c r="B932" s="1"/>
      <c r="C932" s="2"/>
    </row>
    <row r="933" spans="1:3" ht="13.2" x14ac:dyDescent="0.25">
      <c r="A933" s="1"/>
      <c r="B933" s="1"/>
      <c r="C933" s="2"/>
    </row>
    <row r="934" spans="1:3" ht="13.2" x14ac:dyDescent="0.25">
      <c r="A934" s="1"/>
      <c r="B934" s="1"/>
      <c r="C934" s="2"/>
    </row>
    <row r="935" spans="1:3" ht="13.2" x14ac:dyDescent="0.25">
      <c r="A935" s="1"/>
      <c r="B935" s="1"/>
      <c r="C935" s="2"/>
    </row>
    <row r="936" spans="1:3" ht="13.2" x14ac:dyDescent="0.25">
      <c r="A936" s="1"/>
      <c r="B936" s="1"/>
      <c r="C936" s="2"/>
    </row>
    <row r="937" spans="1:3" ht="13.2" x14ac:dyDescent="0.25">
      <c r="A937" s="1"/>
      <c r="B937" s="1"/>
      <c r="C937" s="2"/>
    </row>
    <row r="938" spans="1:3" ht="13.2" x14ac:dyDescent="0.25">
      <c r="A938" s="1"/>
      <c r="B938" s="1"/>
      <c r="C938" s="2"/>
    </row>
    <row r="939" spans="1:3" ht="13.2" x14ac:dyDescent="0.25">
      <c r="A939" s="1"/>
      <c r="B939" s="1"/>
      <c r="C939" s="2"/>
    </row>
    <row r="940" spans="1:3" ht="13.2" x14ac:dyDescent="0.25">
      <c r="A940" s="1"/>
      <c r="B940" s="1"/>
      <c r="C940" s="2"/>
    </row>
    <row r="941" spans="1:3" ht="13.2" x14ac:dyDescent="0.25">
      <c r="A941" s="1"/>
      <c r="B941" s="1"/>
      <c r="C941" s="2"/>
    </row>
    <row r="942" spans="1:3" ht="13.2" x14ac:dyDescent="0.25">
      <c r="A942" s="1"/>
      <c r="B942" s="1"/>
      <c r="C942" s="2"/>
    </row>
    <row r="943" spans="1:3" ht="13.2" x14ac:dyDescent="0.25">
      <c r="A943" s="1"/>
      <c r="B943" s="1"/>
      <c r="C943" s="2"/>
    </row>
    <row r="944" spans="1:3" ht="13.2" x14ac:dyDescent="0.25">
      <c r="A944" s="1"/>
      <c r="B944" s="1"/>
      <c r="C944" s="2"/>
    </row>
    <row r="945" spans="1:3" ht="13.2" x14ac:dyDescent="0.25">
      <c r="A945" s="1"/>
      <c r="B945" s="1"/>
      <c r="C945" s="2"/>
    </row>
    <row r="946" spans="1:3" ht="13.2" x14ac:dyDescent="0.25">
      <c r="A946" s="1"/>
      <c r="B946" s="1"/>
      <c r="C946" s="2"/>
    </row>
    <row r="947" spans="1:3" ht="13.2" x14ac:dyDescent="0.25">
      <c r="A947" s="1"/>
      <c r="B947" s="1"/>
      <c r="C947" s="2"/>
    </row>
    <row r="948" spans="1:3" ht="13.2" x14ac:dyDescent="0.25">
      <c r="A948" s="1"/>
      <c r="B948" s="1"/>
      <c r="C948" s="2"/>
    </row>
    <row r="949" spans="1:3" ht="13.2" x14ac:dyDescent="0.25">
      <c r="A949" s="1"/>
      <c r="B949" s="1"/>
      <c r="C949" s="2"/>
    </row>
    <row r="950" spans="1:3" ht="13.2" x14ac:dyDescent="0.25">
      <c r="A950" s="1"/>
      <c r="B950" s="1"/>
      <c r="C950" s="2"/>
    </row>
    <row r="951" spans="1:3" ht="13.2" x14ac:dyDescent="0.25">
      <c r="A951" s="1"/>
      <c r="B951" s="1"/>
      <c r="C951" s="2"/>
    </row>
    <row r="952" spans="1:3" ht="13.2" x14ac:dyDescent="0.25">
      <c r="A952" s="1"/>
      <c r="B952" s="1"/>
      <c r="C952" s="2"/>
    </row>
    <row r="953" spans="1:3" ht="13.2" x14ac:dyDescent="0.25">
      <c r="A953" s="1"/>
      <c r="B953" s="1"/>
      <c r="C953" s="2"/>
    </row>
    <row r="954" spans="1:3" ht="13.2" x14ac:dyDescent="0.25">
      <c r="A954" s="1"/>
      <c r="B954" s="1"/>
      <c r="C954" s="2"/>
    </row>
    <row r="955" spans="1:3" ht="13.2" x14ac:dyDescent="0.25">
      <c r="A955" s="1"/>
      <c r="B955" s="1"/>
      <c r="C955" s="2"/>
    </row>
    <row r="956" spans="1:3" ht="13.2" x14ac:dyDescent="0.25">
      <c r="A956" s="1"/>
      <c r="B956" s="1"/>
      <c r="C956" s="2"/>
    </row>
    <row r="957" spans="1:3" ht="13.2" x14ac:dyDescent="0.25">
      <c r="A957" s="1"/>
      <c r="B957" s="1"/>
      <c r="C957" s="2"/>
    </row>
    <row r="958" spans="1:3" ht="13.2" x14ac:dyDescent="0.25">
      <c r="A958" s="1"/>
      <c r="B958" s="1"/>
      <c r="C958" s="2"/>
    </row>
    <row r="959" spans="1:3" ht="13.2" x14ac:dyDescent="0.25">
      <c r="A959" s="1"/>
      <c r="B959" s="1"/>
      <c r="C959" s="2"/>
    </row>
    <row r="960" spans="1:3" ht="13.2" x14ac:dyDescent="0.25">
      <c r="A960" s="1"/>
      <c r="B960" s="1"/>
      <c r="C960" s="2"/>
    </row>
    <row r="961" spans="1:3" ht="13.2" x14ac:dyDescent="0.25">
      <c r="A961" s="1"/>
      <c r="B961" s="1"/>
      <c r="C961" s="2"/>
    </row>
    <row r="962" spans="1:3" ht="13.2" x14ac:dyDescent="0.25">
      <c r="A962" s="1"/>
      <c r="B962" s="1"/>
      <c r="C962" s="2"/>
    </row>
    <row r="963" spans="1:3" ht="13.2" x14ac:dyDescent="0.25">
      <c r="A963" s="1"/>
      <c r="B963" s="1"/>
      <c r="C963" s="2"/>
    </row>
    <row r="964" spans="1:3" ht="13.2" x14ac:dyDescent="0.25">
      <c r="A964" s="1"/>
      <c r="B964" s="1"/>
      <c r="C964" s="2"/>
    </row>
    <row r="965" spans="1:3" ht="13.2" x14ac:dyDescent="0.25">
      <c r="A965" s="1"/>
      <c r="B965" s="1"/>
      <c r="C965" s="2"/>
    </row>
    <row r="966" spans="1:3" ht="13.2" x14ac:dyDescent="0.25">
      <c r="A966" s="1"/>
      <c r="B966" s="1"/>
      <c r="C966" s="2"/>
    </row>
    <row r="967" spans="1:3" ht="13.2" x14ac:dyDescent="0.25">
      <c r="A967" s="1"/>
      <c r="B967" s="1"/>
      <c r="C967" s="2"/>
    </row>
    <row r="968" spans="1:3" ht="13.2" x14ac:dyDescent="0.25">
      <c r="A968" s="1"/>
      <c r="B968" s="1"/>
      <c r="C968" s="2"/>
    </row>
    <row r="969" spans="1:3" ht="13.2" x14ac:dyDescent="0.25">
      <c r="A969" s="1"/>
      <c r="B969" s="1"/>
      <c r="C969" s="2"/>
    </row>
    <row r="970" spans="1:3" ht="13.2" x14ac:dyDescent="0.25">
      <c r="A970" s="1"/>
      <c r="B970" s="1"/>
      <c r="C970" s="2"/>
    </row>
    <row r="971" spans="1:3" ht="13.2" x14ac:dyDescent="0.25">
      <c r="A971" s="1"/>
      <c r="B971" s="1"/>
      <c r="C971" s="2"/>
    </row>
    <row r="972" spans="1:3" ht="13.2" x14ac:dyDescent="0.25">
      <c r="A972" s="1"/>
      <c r="B972" s="1"/>
      <c r="C972" s="2"/>
    </row>
    <row r="973" spans="1:3" ht="13.2" x14ac:dyDescent="0.25">
      <c r="A973" s="1"/>
      <c r="B973" s="1"/>
      <c r="C973" s="2"/>
    </row>
    <row r="974" spans="1:3" ht="13.2" x14ac:dyDescent="0.25">
      <c r="A974" s="1"/>
      <c r="B974" s="1"/>
      <c r="C974" s="2"/>
    </row>
    <row r="975" spans="1:3" ht="13.2" x14ac:dyDescent="0.25">
      <c r="A975" s="1"/>
      <c r="B975" s="1"/>
      <c r="C975" s="2"/>
    </row>
    <row r="976" spans="1:3" ht="13.2" x14ac:dyDescent="0.25">
      <c r="A976" s="1"/>
      <c r="B976" s="1"/>
      <c r="C976" s="2"/>
    </row>
    <row r="977" spans="1:3" ht="13.2" x14ac:dyDescent="0.25">
      <c r="A977" s="1"/>
      <c r="B977" s="1"/>
      <c r="C977" s="2"/>
    </row>
    <row r="978" spans="1:3" ht="13.2" x14ac:dyDescent="0.25">
      <c r="A978" s="1"/>
      <c r="B978" s="1"/>
      <c r="C978" s="2"/>
    </row>
    <row r="979" spans="1:3" ht="13.2" x14ac:dyDescent="0.25">
      <c r="A979" s="1"/>
      <c r="B979" s="1"/>
      <c r="C979" s="2"/>
    </row>
    <row r="980" spans="1:3" ht="13.2" x14ac:dyDescent="0.25">
      <c r="A980" s="1"/>
      <c r="B980" s="1"/>
      <c r="C980" s="2"/>
    </row>
    <row r="981" spans="1:3" ht="13.2" x14ac:dyDescent="0.25">
      <c r="A981" s="1"/>
      <c r="B981" s="1"/>
      <c r="C981" s="2"/>
    </row>
    <row r="982" spans="1:3" ht="13.2" x14ac:dyDescent="0.25">
      <c r="A982" s="1"/>
      <c r="B982" s="1"/>
      <c r="C982" s="2"/>
    </row>
    <row r="983" spans="1:3" ht="13.2" x14ac:dyDescent="0.25">
      <c r="A983" s="1"/>
      <c r="B983" s="1"/>
      <c r="C983" s="2"/>
    </row>
    <row r="984" spans="1:3" ht="13.2" x14ac:dyDescent="0.25">
      <c r="A984" s="1"/>
      <c r="B984" s="1"/>
      <c r="C984" s="2"/>
    </row>
    <row r="985" spans="1:3" ht="13.2" x14ac:dyDescent="0.25">
      <c r="A985" s="1"/>
      <c r="B985" s="1"/>
      <c r="C985" s="2"/>
    </row>
    <row r="986" spans="1:3" ht="13.2" x14ac:dyDescent="0.25">
      <c r="A986" s="1"/>
      <c r="B986" s="1"/>
      <c r="C986" s="2"/>
    </row>
    <row r="987" spans="1:3" ht="13.2" x14ac:dyDescent="0.25">
      <c r="A987" s="1"/>
      <c r="B987" s="1"/>
      <c r="C987" s="2"/>
    </row>
    <row r="988" spans="1:3" ht="13.2" x14ac:dyDescent="0.25">
      <c r="A988" s="1"/>
      <c r="B988" s="1"/>
      <c r="C988" s="2"/>
    </row>
    <row r="989" spans="1:3" ht="13.2" x14ac:dyDescent="0.25">
      <c r="A989" s="1"/>
      <c r="B989" s="1"/>
      <c r="C989" s="2"/>
    </row>
    <row r="990" spans="1:3" ht="13.2" x14ac:dyDescent="0.25">
      <c r="A990" s="1"/>
      <c r="B990" s="1"/>
      <c r="C990" s="2"/>
    </row>
    <row r="991" spans="1:3" ht="13.2" x14ac:dyDescent="0.25">
      <c r="A991" s="1"/>
      <c r="B991" s="1"/>
      <c r="C991" s="2"/>
    </row>
    <row r="992" spans="1:3" ht="13.2" x14ac:dyDescent="0.25">
      <c r="A992" s="1"/>
      <c r="B992" s="1"/>
      <c r="C992" s="2"/>
    </row>
    <row r="993" spans="1:3" ht="13.2" x14ac:dyDescent="0.25">
      <c r="A993" s="1"/>
      <c r="B993" s="1"/>
      <c r="C993" s="2"/>
    </row>
    <row r="994" spans="1:3" ht="13.2" x14ac:dyDescent="0.25">
      <c r="A994" s="1"/>
      <c r="B994" s="1"/>
      <c r="C994" s="2"/>
    </row>
    <row r="995" spans="1:3" ht="13.2" x14ac:dyDescent="0.25">
      <c r="A995" s="1"/>
      <c r="B995" s="1"/>
      <c r="C995" s="2"/>
    </row>
    <row r="996" spans="1:3" ht="13.2" x14ac:dyDescent="0.25">
      <c r="A996" s="1"/>
      <c r="B996" s="1"/>
      <c r="C996" s="2"/>
    </row>
    <row r="997" spans="1:3" ht="13.2" x14ac:dyDescent="0.25">
      <c r="A997" s="1"/>
      <c r="B997" s="1"/>
      <c r="C997" s="2"/>
    </row>
    <row r="998" spans="1:3" ht="13.2" x14ac:dyDescent="0.25">
      <c r="A998" s="1"/>
      <c r="B998" s="1"/>
      <c r="C998" s="2"/>
    </row>
    <row r="999" spans="1:3" ht="13.2" x14ac:dyDescent="0.25">
      <c r="A999" s="1"/>
      <c r="B999" s="1"/>
      <c r="C999" s="2"/>
    </row>
    <row r="1000" spans="1:3" ht="13.2" x14ac:dyDescent="0.25">
      <c r="A1000" s="1"/>
      <c r="B1000" s="1"/>
      <c r="C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897"/>
  <sheetViews>
    <sheetView tabSelected="1" topLeftCell="A2" workbookViewId="0">
      <selection activeCell="E2" sqref="E2"/>
    </sheetView>
  </sheetViews>
  <sheetFormatPr defaultColWidth="12.6640625" defaultRowHeight="15.75" customHeight="1" x14ac:dyDescent="0.25"/>
  <cols>
    <col min="1" max="1" width="4.77734375" customWidth="1"/>
    <col min="2" max="2" width="14.109375" customWidth="1"/>
    <col min="3" max="3" width="11.109375" customWidth="1"/>
    <col min="4" max="4" width="13.77734375" customWidth="1"/>
    <col min="5" max="5" width="28.88671875" customWidth="1"/>
    <col min="6" max="6" width="44.6640625" customWidth="1"/>
    <col min="7" max="7" width="19.109375" customWidth="1"/>
  </cols>
  <sheetData>
    <row r="1" spans="1:26" ht="13.2" hidden="1" x14ac:dyDescent="0.25">
      <c r="A1" s="5" t="str">
        <f ca="1">IFERROR(__xludf.DUMMYFUNCTION("IMPORTRANGE(""https://docs.google.com/spreadsheets/d/1nvspog6LPKkcgs7a7kL_zb1516hE_j9wPCTkxy26uQ4/edit?usp=sharing"",""'Студенты'!A:D"")"),"")</f>
        <v/>
      </c>
      <c r="B1" s="5"/>
      <c r="C1" s="5"/>
      <c r="D1" s="5"/>
      <c r="E1" s="5" t="str">
        <f ca="1">IFERROR(__xludf.DUMMYFUNCTION("IMPORTRANGE(""https://docs.google.com/spreadsheets/d/1nvspog6LPKkcgs7a7kL_zb1516hE_j9wPCTkxy26uQ4/edit?usp=sharing"",""'Студенты'!F:F"")"),"")</f>
        <v/>
      </c>
      <c r="F1" s="6" t="str">
        <f ca="1">IFERROR(__xludf.DUMMYFUNCTION("IMPORTRANGE(""https://docs.google.com/spreadsheets/d/1nvspog6LPKkcgs7a7kL_zb1516hE_j9wPCTkxy26uQ4/edit?usp=sharing"",""'Студенты'!H:H"")"),"")</f>
        <v/>
      </c>
      <c r="G1" s="7" t="str">
        <f ca="1">IFERROR(__xludf.DUMMYFUNCTION("IMPORTRANGE(""https://docs.google.com/spreadsheets/d/1nvspog6LPKkcgs7a7kL_zb1516hE_j9wPCTkxy26uQ4/edit?usp=sharing"",""'Студенты'!M:M"")"),"")</f>
        <v/>
      </c>
    </row>
    <row r="2" spans="1:26" ht="26.4" x14ac:dyDescent="0.25">
      <c r="A2" s="3" t="str">
        <f ca="1">IFERROR(__xludf.DUMMYFUNCTION("""COMPUTED_VALUE"""),"№")</f>
        <v>№</v>
      </c>
      <c r="B2" s="3" t="str">
        <f ca="1">IFERROR(__xludf.DUMMYFUNCTION("""COMPUTED_VALUE"""),"Фамилия")</f>
        <v>Фамилия</v>
      </c>
      <c r="C2" s="3" t="str">
        <f ca="1">IFERROR(__xludf.DUMMYFUNCTION("""COMPUTED_VALUE"""),"Имя")</f>
        <v>Имя</v>
      </c>
      <c r="D2" s="3" t="str">
        <f ca="1">IFERROR(__xludf.DUMMYFUNCTION("""COMPUTED_VALUE"""),"Отчество")</f>
        <v>Отчество</v>
      </c>
      <c r="E2" s="3" t="str">
        <f ca="1">IFERROR(__xludf.DUMMYFUNCTION("""COMPUTED_VALUE"""),"Команда")</f>
        <v>Команда</v>
      </c>
      <c r="F2" s="7" t="str">
        <f ca="1">IFERROR(__xludf.DUMMYFUNCTION("""COMPUTED_VALUE"""),"Проект")</f>
        <v>Проект</v>
      </c>
      <c r="G2" s="7" t="str">
        <f ca="1">IFERROR(__xludf.DUMMYFUNCTION("""COMPUTED_VALUE"""),"Оценка команды студента")</f>
        <v>Оценка команды студента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9.6" x14ac:dyDescent="0.25">
      <c r="A3" s="5">
        <f ca="1">IFERROR(__xludf.DUMMYFUNCTION("""COMPUTED_VALUE"""),915)</f>
        <v>915</v>
      </c>
      <c r="B3" s="5" t="str">
        <f ca="1">IFERROR(__xludf.DUMMYFUNCTION("""COMPUTED_VALUE"""),"Перман")</f>
        <v>Перман</v>
      </c>
      <c r="C3" s="5" t="str">
        <f ca="1">IFERROR(__xludf.DUMMYFUNCTION("""COMPUTED_VALUE"""),"Георгий")</f>
        <v>Георгий</v>
      </c>
      <c r="D3" s="5" t="str">
        <f ca="1">IFERROR(__xludf.DUMMYFUNCTION("""COMPUTED_VALUE"""),"Дмитриевич")</f>
        <v>Дмитриевич</v>
      </c>
      <c r="E3" s="5" t="str">
        <f ca="1">IFERROR(__xludf.DUMMYFUNCTION("""COMPUTED_VALUE"""),"«ППШС»")</f>
        <v>«ППШС»</v>
      </c>
      <c r="F3" s="6" t="str">
        <f ca="1">IFERROR(__xludf.DUMMYFUNCTION("""COMPUTED_VALUE"""),"Разработка социального проекта для людей с ограниченными возможностями Карьерный портал")</f>
        <v>Разработка социального проекта для людей с ограниченными возможностями Карьерный портал</v>
      </c>
      <c r="G3" s="7">
        <f ca="1">IFERROR(__xludf.DUMMYFUNCTION("""COMPUTED_VALUE"""),92)</f>
        <v>92</v>
      </c>
    </row>
    <row r="4" spans="1:26" ht="39.6" x14ac:dyDescent="0.25">
      <c r="A4" s="5">
        <f ca="1">IFERROR(__xludf.DUMMYFUNCTION("""COMPUTED_VALUE"""),960)</f>
        <v>960</v>
      </c>
      <c r="B4" s="5" t="str">
        <f ca="1">IFERROR(__xludf.DUMMYFUNCTION("""COMPUTED_VALUE"""),"Предеин")</f>
        <v>Предеин</v>
      </c>
      <c r="C4" s="5" t="str">
        <f ca="1">IFERROR(__xludf.DUMMYFUNCTION("""COMPUTED_VALUE"""),"Никита")</f>
        <v>Никита</v>
      </c>
      <c r="D4" s="5" t="str">
        <f ca="1">IFERROR(__xludf.DUMMYFUNCTION("""COMPUTED_VALUE"""),"Сергеевич")</f>
        <v>Сергеевич</v>
      </c>
      <c r="E4" s="5" t="str">
        <f ca="1">IFERROR(__xludf.DUMMYFUNCTION("""COMPUTED_VALUE"""),"«ППШС»")</f>
        <v>«ППШС»</v>
      </c>
      <c r="F4" s="6" t="str">
        <f ca="1">IFERROR(__xludf.DUMMYFUNCTION("""COMPUTED_VALUE"""),"Разработка социального проекта для людей с ограниченными возможностями Карьерный портал")</f>
        <v>Разработка социального проекта для людей с ограниченными возможностями Карьерный портал</v>
      </c>
      <c r="G4" s="7">
        <f ca="1">IFERROR(__xludf.DUMMYFUNCTION("""COMPUTED_VALUE"""),92)</f>
        <v>92</v>
      </c>
    </row>
    <row r="5" spans="1:26" ht="39.6" x14ac:dyDescent="0.25">
      <c r="A5" s="5">
        <f ca="1">IFERROR(__xludf.DUMMYFUNCTION("""COMPUTED_VALUE"""),1115)</f>
        <v>1115</v>
      </c>
      <c r="B5" s="5" t="str">
        <f ca="1">IFERROR(__xludf.DUMMYFUNCTION("""COMPUTED_VALUE"""),"Старцев")</f>
        <v>Старцев</v>
      </c>
      <c r="C5" s="5" t="str">
        <f ca="1">IFERROR(__xludf.DUMMYFUNCTION("""COMPUTED_VALUE"""),"Дмитрий")</f>
        <v>Дмитрий</v>
      </c>
      <c r="D5" s="5" t="str">
        <f ca="1">IFERROR(__xludf.DUMMYFUNCTION("""COMPUTED_VALUE"""),"Андреевич")</f>
        <v>Андреевич</v>
      </c>
      <c r="E5" s="5" t="str">
        <f ca="1">IFERROR(__xludf.DUMMYFUNCTION("""COMPUTED_VALUE"""),"«ППШС»")</f>
        <v>«ППШС»</v>
      </c>
      <c r="F5" s="6" t="str">
        <f ca="1">IFERROR(__xludf.DUMMYFUNCTION("""COMPUTED_VALUE"""),"Разработка социального проекта для людей с ограниченными возможностями Карьерный портал")</f>
        <v>Разработка социального проекта для людей с ограниченными возможностями Карьерный портал</v>
      </c>
      <c r="G5" s="7">
        <f ca="1">IFERROR(__xludf.DUMMYFUNCTION("""COMPUTED_VALUE"""),92)</f>
        <v>92</v>
      </c>
    </row>
    <row r="6" spans="1:26" ht="39.6" x14ac:dyDescent="0.25">
      <c r="A6" s="5">
        <f ca="1">IFERROR(__xludf.DUMMYFUNCTION("""COMPUTED_VALUE"""),1313)</f>
        <v>1313</v>
      </c>
      <c r="B6" s="5" t="str">
        <f ca="1">IFERROR(__xludf.DUMMYFUNCTION("""COMPUTED_VALUE"""),"Шаравьев")</f>
        <v>Шаравьев</v>
      </c>
      <c r="C6" s="5" t="str">
        <f ca="1">IFERROR(__xludf.DUMMYFUNCTION("""COMPUTED_VALUE"""),"Данил")</f>
        <v>Данил</v>
      </c>
      <c r="D6" s="5" t="str">
        <f ca="1">IFERROR(__xludf.DUMMYFUNCTION("""COMPUTED_VALUE"""),"Олегович")</f>
        <v>Олегович</v>
      </c>
      <c r="E6" s="5" t="str">
        <f ca="1">IFERROR(__xludf.DUMMYFUNCTION("""COMPUTED_VALUE"""),"«ППШС»")</f>
        <v>«ППШС»</v>
      </c>
      <c r="F6" s="6" t="str">
        <f ca="1">IFERROR(__xludf.DUMMYFUNCTION("""COMPUTED_VALUE"""),"Разработка социального проекта для людей с ограниченными возможностями Карьерный портал")</f>
        <v>Разработка социального проекта для людей с ограниченными возможностями Карьерный портал</v>
      </c>
      <c r="G6" s="7">
        <f ca="1">IFERROR(__xludf.DUMMYFUNCTION("""COMPUTED_VALUE"""),92)</f>
        <v>92</v>
      </c>
    </row>
    <row r="7" spans="1:26" ht="26.4" x14ac:dyDescent="0.25">
      <c r="A7" s="5">
        <f ca="1">IFERROR(__xludf.DUMMYFUNCTION("""COMPUTED_VALUE"""),29)</f>
        <v>29</v>
      </c>
      <c r="B7" s="5" t="str">
        <f ca="1">IFERROR(__xludf.DUMMYFUNCTION("""COMPUTED_VALUE"""),"Алексеев")</f>
        <v>Алексеев</v>
      </c>
      <c r="C7" s="5" t="str">
        <f ca="1">IFERROR(__xludf.DUMMYFUNCTION("""COMPUTED_VALUE"""),"Леонид")</f>
        <v>Леонид</v>
      </c>
      <c r="D7" s="5" t="str">
        <f ca="1">IFERROR(__xludf.DUMMYFUNCTION("""COMPUTED_VALUE"""),"Андреевич")</f>
        <v>Андреевич</v>
      </c>
      <c r="E7" s="5" t="str">
        <f ca="1">IFERROR(__xludf.DUMMYFUNCTION("""COMPUTED_VALUE"""),"ANDROID ARE TRAVELERS")</f>
        <v>ANDROID ARE TRAVELERS</v>
      </c>
      <c r="F7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7" s="7">
        <f ca="1">IFERROR(__xludf.DUMMYFUNCTION("""COMPUTED_VALUE"""),90)</f>
        <v>90</v>
      </c>
    </row>
    <row r="8" spans="1:26" ht="26.4" x14ac:dyDescent="0.25">
      <c r="A8" s="5">
        <f ca="1">IFERROR(__xludf.DUMMYFUNCTION("""COMPUTED_VALUE"""),103)</f>
        <v>103</v>
      </c>
      <c r="B8" s="5" t="str">
        <f ca="1">IFERROR(__xludf.DUMMYFUNCTION("""COMPUTED_VALUE"""),"Безбородов")</f>
        <v>Безбородов</v>
      </c>
      <c r="C8" s="5" t="str">
        <f ca="1">IFERROR(__xludf.DUMMYFUNCTION("""COMPUTED_VALUE"""),"Вениамин")</f>
        <v>Вениамин</v>
      </c>
      <c r="D8" s="5" t="str">
        <f ca="1">IFERROR(__xludf.DUMMYFUNCTION("""COMPUTED_VALUE"""),"Васильевич")</f>
        <v>Васильевич</v>
      </c>
      <c r="E8" s="5" t="str">
        <f ca="1">IFERROR(__xludf.DUMMYFUNCTION("""COMPUTED_VALUE"""),"ANDROID ARE TRAVELERS")</f>
        <v>ANDROID ARE TRAVELERS</v>
      </c>
      <c r="F8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8" s="7">
        <f ca="1">IFERROR(__xludf.DUMMYFUNCTION("""COMPUTED_VALUE"""),90)</f>
        <v>90</v>
      </c>
    </row>
    <row r="9" spans="1:26" ht="26.4" x14ac:dyDescent="0.25">
      <c r="A9" s="5">
        <f ca="1">IFERROR(__xludf.DUMMYFUNCTION("""COMPUTED_VALUE"""),820)</f>
        <v>820</v>
      </c>
      <c r="B9" s="5" t="str">
        <f ca="1">IFERROR(__xludf.DUMMYFUNCTION("""COMPUTED_VALUE"""),"Намесников")</f>
        <v>Намесников</v>
      </c>
      <c r="C9" s="5" t="str">
        <f ca="1">IFERROR(__xludf.DUMMYFUNCTION("""COMPUTED_VALUE"""),"Глеб")</f>
        <v>Глеб</v>
      </c>
      <c r="D9" s="5" t="str">
        <f ca="1">IFERROR(__xludf.DUMMYFUNCTION("""COMPUTED_VALUE"""),"Артёмович")</f>
        <v>Артёмович</v>
      </c>
      <c r="E9" s="5" t="str">
        <f ca="1">IFERROR(__xludf.DUMMYFUNCTION("""COMPUTED_VALUE"""),"ANDROID ARE TRAVELERS")</f>
        <v>ANDROID ARE TRAVELERS</v>
      </c>
      <c r="F9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9" s="7">
        <f ca="1">IFERROR(__xludf.DUMMYFUNCTION("""COMPUTED_VALUE"""),90)</f>
        <v>90</v>
      </c>
    </row>
    <row r="10" spans="1:26" ht="26.4" x14ac:dyDescent="0.25">
      <c r="A10" s="5">
        <f ca="1">IFERROR(__xludf.DUMMYFUNCTION("""COMPUTED_VALUE"""),875)</f>
        <v>875</v>
      </c>
      <c r="B10" s="5" t="str">
        <f ca="1">IFERROR(__xludf.DUMMYFUNCTION("""COMPUTED_VALUE"""),"Оглоблин")</f>
        <v>Оглоблин</v>
      </c>
      <c r="C10" s="5" t="str">
        <f ca="1">IFERROR(__xludf.DUMMYFUNCTION("""COMPUTED_VALUE"""),"Глеб")</f>
        <v>Глеб</v>
      </c>
      <c r="D10" s="5" t="str">
        <f ca="1">IFERROR(__xludf.DUMMYFUNCTION("""COMPUTED_VALUE"""),"Александрович")</f>
        <v>Александрович</v>
      </c>
      <c r="E10" s="5" t="str">
        <f ca="1">IFERROR(__xludf.DUMMYFUNCTION("""COMPUTED_VALUE"""),"ANDROID ARE TRAVELERS")</f>
        <v>ANDROID ARE TRAVELERS</v>
      </c>
      <c r="F10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10" s="7">
        <f ca="1">IFERROR(__xludf.DUMMYFUNCTION("""COMPUTED_VALUE"""),90)</f>
        <v>90</v>
      </c>
    </row>
    <row r="11" spans="1:26" ht="26.4" x14ac:dyDescent="0.25">
      <c r="A11" s="5">
        <f ca="1">IFERROR(__xludf.DUMMYFUNCTION("""COMPUTED_VALUE"""),1288)</f>
        <v>1288</v>
      </c>
      <c r="B11" s="5" t="str">
        <f ca="1">IFERROR(__xludf.DUMMYFUNCTION("""COMPUTED_VALUE"""),"Чечетин")</f>
        <v>Чечетин</v>
      </c>
      <c r="C11" s="5" t="str">
        <f ca="1">IFERROR(__xludf.DUMMYFUNCTION("""COMPUTED_VALUE"""),"Максим")</f>
        <v>Максим</v>
      </c>
      <c r="D11" s="5" t="str">
        <f ca="1">IFERROR(__xludf.DUMMYFUNCTION("""COMPUTED_VALUE"""),"Андреевич")</f>
        <v>Андреевич</v>
      </c>
      <c r="E11" s="5" t="str">
        <f ca="1">IFERROR(__xludf.DUMMYFUNCTION("""COMPUTED_VALUE"""),"ANDROID ARE TRAVELERS")</f>
        <v>ANDROID ARE TRAVELERS</v>
      </c>
      <c r="F11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11" s="7">
        <f ca="1">IFERROR(__xludf.DUMMYFUNCTION("""COMPUTED_VALUE"""),90)</f>
        <v>90</v>
      </c>
    </row>
    <row r="12" spans="1:26" ht="39.6" x14ac:dyDescent="0.25">
      <c r="A12" s="5">
        <f ca="1">IFERROR(__xludf.DUMMYFUNCTION("""COMPUTED_VALUE"""),157)</f>
        <v>157</v>
      </c>
      <c r="B12" s="5" t="str">
        <f ca="1">IFERROR(__xludf.DUMMYFUNCTION("""COMPUTED_VALUE"""),"Бураков")</f>
        <v>Бураков</v>
      </c>
      <c r="C12" s="5" t="str">
        <f ca="1">IFERROR(__xludf.DUMMYFUNCTION("""COMPUTED_VALUE"""),"Никита")</f>
        <v>Никита</v>
      </c>
      <c r="D12" s="5" t="str">
        <f ca="1">IFERROR(__xludf.DUMMYFUNCTION("""COMPUTED_VALUE"""),"Сергеевич")</f>
        <v>Сергеевич</v>
      </c>
      <c r="E12" s="5" t="str">
        <f ca="1">IFERROR(__xludf.DUMMYFUNCTION("""COMPUTED_VALUE"""),"AnyKeyers")</f>
        <v>AnyKeyers</v>
      </c>
      <c r="F12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2" s="7">
        <f ca="1">IFERROR(__xludf.DUMMYFUNCTION("""COMPUTED_VALUE"""),80)</f>
        <v>80</v>
      </c>
    </row>
    <row r="13" spans="1:26" ht="39.6" x14ac:dyDescent="0.25">
      <c r="A13" s="5">
        <f ca="1">IFERROR(__xludf.DUMMYFUNCTION("""COMPUTED_VALUE"""),460)</f>
        <v>460</v>
      </c>
      <c r="B13" s="5" t="str">
        <f ca="1">IFERROR(__xludf.DUMMYFUNCTION("""COMPUTED_VALUE"""),"Ивачев")</f>
        <v>Ивачев</v>
      </c>
      <c r="C13" s="5" t="str">
        <f ca="1">IFERROR(__xludf.DUMMYFUNCTION("""COMPUTED_VALUE"""),"Никита")</f>
        <v>Никита</v>
      </c>
      <c r="D13" s="5" t="str">
        <f ca="1">IFERROR(__xludf.DUMMYFUNCTION("""COMPUTED_VALUE"""),"Борисович")</f>
        <v>Борисович</v>
      </c>
      <c r="E13" s="5" t="str">
        <f ca="1">IFERROR(__xludf.DUMMYFUNCTION("""COMPUTED_VALUE"""),"AnyKeyers")</f>
        <v>AnyKeyers</v>
      </c>
      <c r="F13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3" s="7">
        <f ca="1">IFERROR(__xludf.DUMMYFUNCTION("""COMPUTED_VALUE"""),80)</f>
        <v>80</v>
      </c>
    </row>
    <row r="14" spans="1:26" ht="39.6" x14ac:dyDescent="0.25">
      <c r="A14" s="5">
        <f ca="1">IFERROR(__xludf.DUMMYFUNCTION("""COMPUTED_VALUE"""),1045)</f>
        <v>1045</v>
      </c>
      <c r="B14" s="5" t="str">
        <f ca="1">IFERROR(__xludf.DUMMYFUNCTION("""COMPUTED_VALUE"""),"Свалухин")</f>
        <v>Свалухин</v>
      </c>
      <c r="C14" s="5" t="str">
        <f ca="1">IFERROR(__xludf.DUMMYFUNCTION("""COMPUTED_VALUE"""),"Евгений")</f>
        <v>Евгений</v>
      </c>
      <c r="D14" s="5" t="str">
        <f ca="1">IFERROR(__xludf.DUMMYFUNCTION("""COMPUTED_VALUE"""),"Владимирович")</f>
        <v>Владимирович</v>
      </c>
      <c r="E14" s="5" t="str">
        <f ca="1">IFERROR(__xludf.DUMMYFUNCTION("""COMPUTED_VALUE"""),"AnyKeyers")</f>
        <v>AnyKeyers</v>
      </c>
      <c r="F14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4" s="7">
        <f ca="1">IFERROR(__xludf.DUMMYFUNCTION("""COMPUTED_VALUE"""),80)</f>
        <v>80</v>
      </c>
    </row>
    <row r="15" spans="1:26" ht="26.4" x14ac:dyDescent="0.25">
      <c r="A15" s="5">
        <f ca="1">IFERROR(__xludf.DUMMYFUNCTION("""COMPUTED_VALUE"""),55)</f>
        <v>55</v>
      </c>
      <c r="B15" s="5" t="str">
        <f ca="1">IFERROR(__xludf.DUMMYFUNCTION("""COMPUTED_VALUE"""),"Арзуманов")</f>
        <v>Арзуманов</v>
      </c>
      <c r="C15" s="5" t="str">
        <f ca="1">IFERROR(__xludf.DUMMYFUNCTION("""COMPUTED_VALUE"""),"Эмиль")</f>
        <v>Эмиль</v>
      </c>
      <c r="D15" s="5" t="str">
        <f ca="1">IFERROR(__xludf.DUMMYFUNCTION("""COMPUTED_VALUE"""),"Шамсаддинович")</f>
        <v>Шамсаддинович</v>
      </c>
      <c r="E15" s="5" t="str">
        <f ca="1">IFERROR(__xludf.DUMMYFUNCTION("""COMPUTED_VALUE"""),"Arenda")</f>
        <v>Arenda</v>
      </c>
      <c r="F15" s="6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G15" s="7">
        <f ca="1">IFERROR(__xludf.DUMMYFUNCTION("""COMPUTED_VALUE"""),80)</f>
        <v>80</v>
      </c>
    </row>
    <row r="16" spans="1:26" ht="26.4" x14ac:dyDescent="0.25">
      <c r="A16" s="5">
        <f ca="1">IFERROR(__xludf.DUMMYFUNCTION("""COMPUTED_VALUE"""),186)</f>
        <v>186</v>
      </c>
      <c r="B16" s="5" t="str">
        <f ca="1">IFERROR(__xludf.DUMMYFUNCTION("""COMPUTED_VALUE"""),"Вафин")</f>
        <v>Вафин</v>
      </c>
      <c r="C16" s="5" t="str">
        <f ca="1">IFERROR(__xludf.DUMMYFUNCTION("""COMPUTED_VALUE"""),"Разиль")</f>
        <v>Разиль</v>
      </c>
      <c r="D16" s="5" t="str">
        <f ca="1">IFERROR(__xludf.DUMMYFUNCTION("""COMPUTED_VALUE"""),"Радикович")</f>
        <v>Радикович</v>
      </c>
      <c r="E16" s="5" t="str">
        <f ca="1">IFERROR(__xludf.DUMMYFUNCTION("""COMPUTED_VALUE"""),"Arenda")</f>
        <v>Arenda</v>
      </c>
      <c r="F16" s="6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G16" s="7">
        <f ca="1">IFERROR(__xludf.DUMMYFUNCTION("""COMPUTED_VALUE"""),80)</f>
        <v>80</v>
      </c>
    </row>
    <row r="17" spans="1:7" ht="26.4" x14ac:dyDescent="0.25">
      <c r="A17" s="5">
        <f ca="1">IFERROR(__xludf.DUMMYFUNCTION("""COMPUTED_VALUE"""),226)</f>
        <v>226</v>
      </c>
      <c r="B17" s="5" t="str">
        <f ca="1">IFERROR(__xludf.DUMMYFUNCTION("""COMPUTED_VALUE"""),"Вшивцев")</f>
        <v>Вшивцев</v>
      </c>
      <c r="C17" s="5" t="str">
        <f ca="1">IFERROR(__xludf.DUMMYFUNCTION("""COMPUTED_VALUE"""),"Даниил")</f>
        <v>Даниил</v>
      </c>
      <c r="D17" s="5" t="str">
        <f ca="1">IFERROR(__xludf.DUMMYFUNCTION("""COMPUTED_VALUE"""),"Павлович")</f>
        <v>Павлович</v>
      </c>
      <c r="E17" s="5" t="str">
        <f ca="1">IFERROR(__xludf.DUMMYFUNCTION("""COMPUTED_VALUE"""),"Arenda")</f>
        <v>Arenda</v>
      </c>
      <c r="F17" s="6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G17" s="7">
        <f ca="1">IFERROR(__xludf.DUMMYFUNCTION("""COMPUTED_VALUE"""),80)</f>
        <v>80</v>
      </c>
    </row>
    <row r="18" spans="1:7" ht="26.4" x14ac:dyDescent="0.25">
      <c r="A18" s="5">
        <f ca="1">IFERROR(__xludf.DUMMYFUNCTION("""COMPUTED_VALUE"""),629)</f>
        <v>629</v>
      </c>
      <c r="B18" s="5" t="str">
        <f ca="1">IFERROR(__xludf.DUMMYFUNCTION("""COMPUTED_VALUE"""),"Кузнецов")</f>
        <v>Кузнецов</v>
      </c>
      <c r="C18" s="5" t="str">
        <f ca="1">IFERROR(__xludf.DUMMYFUNCTION("""COMPUTED_VALUE"""),"Евгений")</f>
        <v>Евгений</v>
      </c>
      <c r="D18" s="5" t="str">
        <f ca="1">IFERROR(__xludf.DUMMYFUNCTION("""COMPUTED_VALUE"""),"Андреевич")</f>
        <v>Андреевич</v>
      </c>
      <c r="E18" s="5" t="str">
        <f ca="1">IFERROR(__xludf.DUMMYFUNCTION("""COMPUTED_VALUE"""),"Arenda")</f>
        <v>Arenda</v>
      </c>
      <c r="F18" s="6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G18" s="7">
        <f ca="1">IFERROR(__xludf.DUMMYFUNCTION("""COMPUTED_VALUE"""),80)</f>
        <v>80</v>
      </c>
    </row>
    <row r="19" spans="1:7" ht="26.4" x14ac:dyDescent="0.25">
      <c r="A19" s="5">
        <f ca="1">IFERROR(__xludf.DUMMYFUNCTION("""COMPUTED_VALUE"""),1007)</f>
        <v>1007</v>
      </c>
      <c r="B19" s="5" t="str">
        <f ca="1">IFERROR(__xludf.DUMMYFUNCTION("""COMPUTED_VALUE"""),"Рыбина")</f>
        <v>Рыбина</v>
      </c>
      <c r="C19" s="5" t="str">
        <f ca="1">IFERROR(__xludf.DUMMYFUNCTION("""COMPUTED_VALUE"""),"Анастасия")</f>
        <v>Анастасия</v>
      </c>
      <c r="D19" s="5" t="str">
        <f ca="1">IFERROR(__xludf.DUMMYFUNCTION("""COMPUTED_VALUE"""),"Эдуардовна")</f>
        <v>Эдуардовна</v>
      </c>
      <c r="E19" s="5" t="str">
        <f ca="1">IFERROR(__xludf.DUMMYFUNCTION("""COMPUTED_VALUE"""),"Arenda")</f>
        <v>Arenda</v>
      </c>
      <c r="F19" s="6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G19" s="7">
        <f ca="1">IFERROR(__xludf.DUMMYFUNCTION("""COMPUTED_VALUE"""),80)</f>
        <v>80</v>
      </c>
    </row>
    <row r="20" spans="1:7" ht="26.4" x14ac:dyDescent="0.25">
      <c r="A20" s="5">
        <f ca="1">IFERROR(__xludf.DUMMYFUNCTION("""COMPUTED_VALUE"""),1088)</f>
        <v>1088</v>
      </c>
      <c r="B20" s="5" t="str">
        <f ca="1">IFERROR(__xludf.DUMMYFUNCTION("""COMPUTED_VALUE"""),"Смолин")</f>
        <v>Смолин</v>
      </c>
      <c r="C20" s="5" t="str">
        <f ca="1">IFERROR(__xludf.DUMMYFUNCTION("""COMPUTED_VALUE"""),"Тимофей")</f>
        <v>Тимофей</v>
      </c>
      <c r="D20" s="5" t="str">
        <f ca="1">IFERROR(__xludf.DUMMYFUNCTION("""COMPUTED_VALUE"""),"Юрьевич")</f>
        <v>Юрьевич</v>
      </c>
      <c r="E20" s="5" t="str">
        <f ca="1">IFERROR(__xludf.DUMMYFUNCTION("""COMPUTED_VALUE"""),"Arenda")</f>
        <v>Arenda</v>
      </c>
      <c r="F20" s="6" t="str">
        <f ca="1">IFERROR(__xludf.DUMMYFUNCTION("""COMPUTED_VALUE"""),"Разработка сервиса по удобной работе между арендодателем и арендатором")</f>
        <v>Разработка сервиса по удобной работе между арендодателем и арендатором</v>
      </c>
      <c r="G20" s="7">
        <f ca="1">IFERROR(__xludf.DUMMYFUNCTION("""COMPUTED_VALUE"""),80)</f>
        <v>80</v>
      </c>
    </row>
    <row r="21" spans="1:7" ht="39.6" x14ac:dyDescent="0.25">
      <c r="A21" s="5">
        <f ca="1">IFERROR(__xludf.DUMMYFUNCTION("""COMPUTED_VALUE"""),7)</f>
        <v>7</v>
      </c>
      <c r="B21" s="5" t="str">
        <f ca="1">IFERROR(__xludf.DUMMYFUNCTION("""COMPUTED_VALUE"""),"Абдыев")</f>
        <v>Абдыев</v>
      </c>
      <c r="C21" s="5" t="str">
        <f ca="1">IFERROR(__xludf.DUMMYFUNCTION("""COMPUTED_VALUE"""),"Рафаэль")</f>
        <v>Рафаэль</v>
      </c>
      <c r="D21" s="5" t="str">
        <f ca="1">IFERROR(__xludf.DUMMYFUNCTION("""COMPUTED_VALUE"""),"Искендерович")</f>
        <v>Искендерович</v>
      </c>
      <c r="E21" s="5" t="str">
        <f ca="1">IFERROR(__xludf.DUMMYFUNCTION("""COMPUTED_VALUE"""),"Astartes")</f>
        <v>Astartes</v>
      </c>
      <c r="F21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21" s="7">
        <f ca="1">IFERROR(__xludf.DUMMYFUNCTION("""COMPUTED_VALUE"""),91)</f>
        <v>91</v>
      </c>
    </row>
    <row r="22" spans="1:7" ht="39.6" x14ac:dyDescent="0.25">
      <c r="A22" s="5">
        <f ca="1">IFERROR(__xludf.DUMMYFUNCTION("""COMPUTED_VALUE"""),273)</f>
        <v>273</v>
      </c>
      <c r="B22" s="5" t="str">
        <f ca="1">IFERROR(__xludf.DUMMYFUNCTION("""COMPUTED_VALUE"""),"Горохов")</f>
        <v>Горохов</v>
      </c>
      <c r="C22" s="5" t="str">
        <f ca="1">IFERROR(__xludf.DUMMYFUNCTION("""COMPUTED_VALUE"""),"Денис")</f>
        <v>Денис</v>
      </c>
      <c r="D22" s="5" t="str">
        <f ca="1">IFERROR(__xludf.DUMMYFUNCTION("""COMPUTED_VALUE"""),"Вячеславович")</f>
        <v>Вячеславович</v>
      </c>
      <c r="E22" s="5" t="str">
        <f ca="1">IFERROR(__xludf.DUMMYFUNCTION("""COMPUTED_VALUE"""),"Astartes")</f>
        <v>Astartes</v>
      </c>
      <c r="F22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22" s="7">
        <f ca="1">IFERROR(__xludf.DUMMYFUNCTION("""COMPUTED_VALUE"""),91)</f>
        <v>91</v>
      </c>
    </row>
    <row r="23" spans="1:7" ht="39.6" x14ac:dyDescent="0.25">
      <c r="A23" s="5">
        <f ca="1">IFERROR(__xludf.DUMMYFUNCTION("""COMPUTED_VALUE"""),1299)</f>
        <v>1299</v>
      </c>
      <c r="B23" s="5" t="str">
        <f ca="1">IFERROR(__xludf.DUMMYFUNCTION("""COMPUTED_VALUE"""),"Чуркин")</f>
        <v>Чуркин</v>
      </c>
      <c r="C23" s="5" t="str">
        <f ca="1">IFERROR(__xludf.DUMMYFUNCTION("""COMPUTED_VALUE"""),"Кирилл")</f>
        <v>Кирилл</v>
      </c>
      <c r="D23" s="5" t="str">
        <f ca="1">IFERROR(__xludf.DUMMYFUNCTION("""COMPUTED_VALUE"""),"Алексеевич")</f>
        <v>Алексеевич</v>
      </c>
      <c r="E23" s="5" t="str">
        <f ca="1">IFERROR(__xludf.DUMMYFUNCTION("""COMPUTED_VALUE"""),"Astartes")</f>
        <v>Astartes</v>
      </c>
      <c r="F23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23" s="7">
        <f ca="1">IFERROR(__xludf.DUMMYFUNCTION("""COMPUTED_VALUE"""),91)</f>
        <v>91</v>
      </c>
    </row>
    <row r="24" spans="1:7" ht="39.6" x14ac:dyDescent="0.25">
      <c r="A24" s="5">
        <f ca="1">IFERROR(__xludf.DUMMYFUNCTION("""COMPUTED_VALUE"""),1327)</f>
        <v>1327</v>
      </c>
      <c r="B24" s="5" t="str">
        <f ca="1">IFERROR(__xludf.DUMMYFUNCTION("""COMPUTED_VALUE"""),"Шершнев")</f>
        <v>Шершнев</v>
      </c>
      <c r="C24" s="5" t="str">
        <f ca="1">IFERROR(__xludf.DUMMYFUNCTION("""COMPUTED_VALUE"""),"Павел")</f>
        <v>Павел</v>
      </c>
      <c r="D24" s="5" t="str">
        <f ca="1">IFERROR(__xludf.DUMMYFUNCTION("""COMPUTED_VALUE"""),"Владимирович")</f>
        <v>Владимирович</v>
      </c>
      <c r="E24" s="5" t="str">
        <f ca="1">IFERROR(__xludf.DUMMYFUNCTION("""COMPUTED_VALUE"""),"Astartes")</f>
        <v>Astartes</v>
      </c>
      <c r="F24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24" s="7">
        <f ca="1">IFERROR(__xludf.DUMMYFUNCTION("""COMPUTED_VALUE"""),91)</f>
        <v>91</v>
      </c>
    </row>
    <row r="25" spans="1:7" ht="13.2" x14ac:dyDescent="0.25">
      <c r="A25" s="5">
        <f ca="1">IFERROR(__xludf.DUMMYFUNCTION("""COMPUTED_VALUE"""),635)</f>
        <v>635</v>
      </c>
      <c r="B25" s="5" t="str">
        <f ca="1">IFERROR(__xludf.DUMMYFUNCTION("""COMPUTED_VALUE"""),"Кулаков")</f>
        <v>Кулаков</v>
      </c>
      <c r="C25" s="5" t="str">
        <f ca="1">IFERROR(__xludf.DUMMYFUNCTION("""COMPUTED_VALUE"""),"Иван")</f>
        <v>Иван</v>
      </c>
      <c r="D25" s="5" t="str">
        <f ca="1">IFERROR(__xludf.DUMMYFUNCTION("""COMPUTED_VALUE"""),"Александрович")</f>
        <v>Александрович</v>
      </c>
      <c r="E25" s="5" t="str">
        <f ca="1">IFERROR(__xludf.DUMMYFUNCTION("""COMPUTED_VALUE"""),"DemoDreams")</f>
        <v>DemoDreams</v>
      </c>
      <c r="F25" s="6" t="str">
        <f ca="1">IFERROR(__xludf.DUMMYFUNCTION("""COMPUTED_VALUE"""),"Разработка прототипа Action-RPG игры")</f>
        <v>Разработка прототипа Action-RPG игры</v>
      </c>
      <c r="G25" s="7">
        <f ca="1">IFERROR(__xludf.DUMMYFUNCTION("""COMPUTED_VALUE"""),60)</f>
        <v>60</v>
      </c>
    </row>
    <row r="26" spans="1:7" ht="13.2" x14ac:dyDescent="0.25">
      <c r="A26" s="5">
        <f ca="1">IFERROR(__xludf.DUMMYFUNCTION("""COMPUTED_VALUE"""),1008)</f>
        <v>1008</v>
      </c>
      <c r="B26" s="5" t="str">
        <f ca="1">IFERROR(__xludf.DUMMYFUNCTION("""COMPUTED_VALUE"""),"Рыбкин")</f>
        <v>Рыбкин</v>
      </c>
      <c r="C26" s="5" t="str">
        <f ca="1">IFERROR(__xludf.DUMMYFUNCTION("""COMPUTED_VALUE"""),"Сергей")</f>
        <v>Сергей</v>
      </c>
      <c r="D26" s="5" t="str">
        <f ca="1">IFERROR(__xludf.DUMMYFUNCTION("""COMPUTED_VALUE"""),"Денисович")</f>
        <v>Денисович</v>
      </c>
      <c r="E26" s="5" t="str">
        <f ca="1">IFERROR(__xludf.DUMMYFUNCTION("""COMPUTED_VALUE"""),"DemoDreams")</f>
        <v>DemoDreams</v>
      </c>
      <c r="F26" s="6" t="str">
        <f ca="1">IFERROR(__xludf.DUMMYFUNCTION("""COMPUTED_VALUE"""),"Разработка прототипа Action-RPG игры")</f>
        <v>Разработка прототипа Action-RPG игры</v>
      </c>
      <c r="G26" s="7">
        <f ca="1">IFERROR(__xludf.DUMMYFUNCTION("""COMPUTED_VALUE"""),60)</f>
        <v>60</v>
      </c>
    </row>
    <row r="27" spans="1:7" ht="13.2" x14ac:dyDescent="0.25">
      <c r="A27" s="5">
        <f ca="1">IFERROR(__xludf.DUMMYFUNCTION("""COMPUTED_VALUE"""),1319)</f>
        <v>1319</v>
      </c>
      <c r="B27" s="5" t="str">
        <f ca="1">IFERROR(__xludf.DUMMYFUNCTION("""COMPUTED_VALUE"""),"Шаронов")</f>
        <v>Шаронов</v>
      </c>
      <c r="C27" s="5" t="str">
        <f ca="1">IFERROR(__xludf.DUMMYFUNCTION("""COMPUTED_VALUE"""),"Владислав")</f>
        <v>Владислав</v>
      </c>
      <c r="D27" s="5" t="str">
        <f ca="1">IFERROR(__xludf.DUMMYFUNCTION("""COMPUTED_VALUE"""),"Алексеевич")</f>
        <v>Алексеевич</v>
      </c>
      <c r="E27" s="5" t="str">
        <f ca="1">IFERROR(__xludf.DUMMYFUNCTION("""COMPUTED_VALUE"""),"DemoDreams")</f>
        <v>DemoDreams</v>
      </c>
      <c r="F27" s="6" t="str">
        <f ca="1">IFERROR(__xludf.DUMMYFUNCTION("""COMPUTED_VALUE"""),"Разработка прототипа Action-RPG игры")</f>
        <v>Разработка прототипа Action-RPG игры</v>
      </c>
      <c r="G27" s="7">
        <f ca="1">IFERROR(__xludf.DUMMYFUNCTION("""COMPUTED_VALUE"""),60)</f>
        <v>60</v>
      </c>
    </row>
    <row r="28" spans="1:7" ht="26.4" x14ac:dyDescent="0.25">
      <c r="A28" s="5">
        <f ca="1">IFERROR(__xludf.DUMMYFUNCTION("""COMPUTED_VALUE"""),232)</f>
        <v>232</v>
      </c>
      <c r="B28" s="5" t="str">
        <f ca="1">IFERROR(__xludf.DUMMYFUNCTION("""COMPUTED_VALUE"""),"Гайдабура")</f>
        <v>Гайдабура</v>
      </c>
      <c r="C28" s="5" t="str">
        <f ca="1">IFERROR(__xludf.DUMMYFUNCTION("""COMPUTED_VALUE"""),"Олег")</f>
        <v>Олег</v>
      </c>
      <c r="D28" s="5" t="str">
        <f ca="1">IFERROR(__xludf.DUMMYFUNCTION("""COMPUTED_VALUE"""),"Андреевич")</f>
        <v>Андреевич</v>
      </c>
      <c r="E28" s="5" t="str">
        <f ca="1">IFERROR(__xludf.DUMMYFUNCTION("""COMPUTED_VALUE"""),"ExpTeam")</f>
        <v>ExpTeam</v>
      </c>
      <c r="F28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28" s="7">
        <f ca="1">IFERROR(__xludf.DUMMYFUNCTION("""COMPUTED_VALUE"""),100)</f>
        <v>100</v>
      </c>
    </row>
    <row r="29" spans="1:7" ht="26.4" x14ac:dyDescent="0.25">
      <c r="A29" s="5">
        <f ca="1">IFERROR(__xludf.DUMMYFUNCTION("""COMPUTED_VALUE"""),683)</f>
        <v>683</v>
      </c>
      <c r="B29" s="5" t="str">
        <f ca="1">IFERROR(__xludf.DUMMYFUNCTION("""COMPUTED_VALUE"""),"Логвинов")</f>
        <v>Логвинов</v>
      </c>
      <c r="C29" s="5" t="str">
        <f ca="1">IFERROR(__xludf.DUMMYFUNCTION("""COMPUTED_VALUE"""),"Максим")</f>
        <v>Максим</v>
      </c>
      <c r="D29" s="5" t="str">
        <f ca="1">IFERROR(__xludf.DUMMYFUNCTION("""COMPUTED_VALUE"""),"Олегович")</f>
        <v>Олегович</v>
      </c>
      <c r="E29" s="5" t="str">
        <f ca="1">IFERROR(__xludf.DUMMYFUNCTION("""COMPUTED_VALUE"""),"ExpTeam")</f>
        <v>ExpTeam</v>
      </c>
      <c r="F29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29" s="7">
        <f ca="1">IFERROR(__xludf.DUMMYFUNCTION("""COMPUTED_VALUE"""),100)</f>
        <v>100</v>
      </c>
    </row>
    <row r="30" spans="1:7" ht="26.4" x14ac:dyDescent="0.25">
      <c r="A30" s="5">
        <f ca="1">IFERROR(__xludf.DUMMYFUNCTION("""COMPUTED_VALUE"""),824)</f>
        <v>824</v>
      </c>
      <c r="B30" s="5" t="str">
        <f ca="1">IFERROR(__xludf.DUMMYFUNCTION("""COMPUTED_VALUE"""),"Недогреева")</f>
        <v>Недогреева</v>
      </c>
      <c r="C30" s="5" t="str">
        <f ca="1">IFERROR(__xludf.DUMMYFUNCTION("""COMPUTED_VALUE"""),"Яна")</f>
        <v>Яна</v>
      </c>
      <c r="D30" s="5" t="str">
        <f ca="1">IFERROR(__xludf.DUMMYFUNCTION("""COMPUTED_VALUE"""),"Александровна")</f>
        <v>Александровна</v>
      </c>
      <c r="E30" s="5" t="str">
        <f ca="1">IFERROR(__xludf.DUMMYFUNCTION("""COMPUTED_VALUE"""),"ExpTeam")</f>
        <v>ExpTeam</v>
      </c>
      <c r="F30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30" s="7">
        <f ca="1">IFERROR(__xludf.DUMMYFUNCTION("""COMPUTED_VALUE"""),100)</f>
        <v>100</v>
      </c>
    </row>
    <row r="31" spans="1:7" ht="26.4" x14ac:dyDescent="0.25">
      <c r="A31" s="5">
        <f ca="1">IFERROR(__xludf.DUMMYFUNCTION("""COMPUTED_VALUE"""),1192)</f>
        <v>1192</v>
      </c>
      <c r="B31" s="5" t="str">
        <f ca="1">IFERROR(__xludf.DUMMYFUNCTION("""COMPUTED_VALUE"""),"Удовенко")</f>
        <v>Удовенко</v>
      </c>
      <c r="C31" s="5" t="str">
        <f ca="1">IFERROR(__xludf.DUMMYFUNCTION("""COMPUTED_VALUE"""),"Владислав")</f>
        <v>Владислав</v>
      </c>
      <c r="D31" s="5" t="str">
        <f ca="1">IFERROR(__xludf.DUMMYFUNCTION("""COMPUTED_VALUE"""),"Александрович")</f>
        <v>Александрович</v>
      </c>
      <c r="E31" s="5" t="str">
        <f ca="1">IFERROR(__xludf.DUMMYFUNCTION("""COMPUTED_VALUE"""),"ExpTeam")</f>
        <v>ExpTeam</v>
      </c>
      <c r="F31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31" s="7">
        <f ca="1">IFERROR(__xludf.DUMMYFUNCTION("""COMPUTED_VALUE"""),100)</f>
        <v>100</v>
      </c>
    </row>
    <row r="32" spans="1:7" ht="26.4" x14ac:dyDescent="0.25">
      <c r="A32" s="5">
        <f ca="1">IFERROR(__xludf.DUMMYFUNCTION("""COMPUTED_VALUE"""),334)</f>
        <v>334</v>
      </c>
      <c r="B32" s="5" t="str">
        <f ca="1">IFERROR(__xludf.DUMMYFUNCTION("""COMPUTED_VALUE"""),"Дорох")</f>
        <v>Дорох</v>
      </c>
      <c r="C32" s="5" t="str">
        <f ca="1">IFERROR(__xludf.DUMMYFUNCTION("""COMPUTED_VALUE"""),"Данила")</f>
        <v>Данила</v>
      </c>
      <c r="D32" s="5" t="str">
        <f ca="1">IFERROR(__xludf.DUMMYFUNCTION("""COMPUTED_VALUE"""),"Васильевич")</f>
        <v>Васильевич</v>
      </c>
      <c r="E32" s="5" t="str">
        <f ca="1">IFERROR(__xludf.DUMMYFUNCTION("""COMPUTED_VALUE"""),"Gang Bros")</f>
        <v>Gang Bros</v>
      </c>
      <c r="F32" s="6" t="str">
        <f ca="1">IFERROR(__xludf.DUMMYFUNCTION("""COMPUTED_VALUE"""),"Human Voice Data Transmission: An Investigation Using Machine Learning.")</f>
        <v>Human Voice Data Transmission: An Investigation Using Machine Learning.</v>
      </c>
      <c r="G32" s="7">
        <f ca="1">IFERROR(__xludf.DUMMYFUNCTION("""COMPUTED_VALUE"""),97)</f>
        <v>97</v>
      </c>
    </row>
    <row r="33" spans="1:7" ht="26.4" x14ac:dyDescent="0.25">
      <c r="A33" s="5">
        <f ca="1">IFERROR(__xludf.DUMMYFUNCTION("""COMPUTED_VALUE"""),752)</f>
        <v>752</v>
      </c>
      <c r="B33" s="5" t="str">
        <f ca="1">IFERROR(__xludf.DUMMYFUNCTION("""COMPUTED_VALUE"""),"Мельников")</f>
        <v>Мельников</v>
      </c>
      <c r="C33" s="5" t="str">
        <f ca="1">IFERROR(__xludf.DUMMYFUNCTION("""COMPUTED_VALUE"""),"Александр")</f>
        <v>Александр</v>
      </c>
      <c r="D33" s="5" t="str">
        <f ca="1">IFERROR(__xludf.DUMMYFUNCTION("""COMPUTED_VALUE"""),"Валерьевич")</f>
        <v>Валерьевич</v>
      </c>
      <c r="E33" s="5" t="str">
        <f ca="1">IFERROR(__xludf.DUMMYFUNCTION("""COMPUTED_VALUE"""),"Gang Bros")</f>
        <v>Gang Bros</v>
      </c>
      <c r="F33" s="6" t="str">
        <f ca="1">IFERROR(__xludf.DUMMYFUNCTION("""COMPUTED_VALUE"""),"Human Voice Data Transmission: An Investigation Using Machine Learning.")</f>
        <v>Human Voice Data Transmission: An Investigation Using Machine Learning.</v>
      </c>
      <c r="G33" s="7">
        <f ca="1">IFERROR(__xludf.DUMMYFUNCTION("""COMPUTED_VALUE"""),97)</f>
        <v>97</v>
      </c>
    </row>
    <row r="34" spans="1:7" ht="26.4" x14ac:dyDescent="0.25">
      <c r="A34" s="5">
        <f ca="1">IFERROR(__xludf.DUMMYFUNCTION("""COMPUTED_VALUE"""),789)</f>
        <v>789</v>
      </c>
      <c r="B34" s="5" t="str">
        <f ca="1">IFERROR(__xludf.DUMMYFUNCTION("""COMPUTED_VALUE"""),"Мохамед")</f>
        <v>Мохамед</v>
      </c>
      <c r="C34" s="5" t="str">
        <f ca="1">IFERROR(__xludf.DUMMYFUNCTION("""COMPUTED_VALUE"""),"Магди")</f>
        <v>Магди</v>
      </c>
      <c r="D34" s="5" t="str">
        <f ca="1">IFERROR(__xludf.DUMMYFUNCTION("""COMPUTED_VALUE"""),"Магди")</f>
        <v>Магди</v>
      </c>
      <c r="E34" s="5" t="str">
        <f ca="1">IFERROR(__xludf.DUMMYFUNCTION("""COMPUTED_VALUE"""),"Gang Bros")</f>
        <v>Gang Bros</v>
      </c>
      <c r="F34" s="6" t="str">
        <f ca="1">IFERROR(__xludf.DUMMYFUNCTION("""COMPUTED_VALUE"""),"Human Voice Data Transmission: An Investigation Using Machine Learning.")</f>
        <v>Human Voice Data Transmission: An Investigation Using Machine Learning.</v>
      </c>
      <c r="G34" s="7">
        <f ca="1">IFERROR(__xludf.DUMMYFUNCTION("""COMPUTED_VALUE"""),97)</f>
        <v>97</v>
      </c>
    </row>
    <row r="35" spans="1:7" ht="26.4" x14ac:dyDescent="0.25">
      <c r="A35" s="5">
        <f ca="1">IFERROR(__xludf.DUMMYFUNCTION("""COMPUTED_VALUE"""),1159)</f>
        <v>1159</v>
      </c>
      <c r="B35" s="5" t="str">
        <f ca="1">IFERROR(__xludf.DUMMYFUNCTION("""COMPUTED_VALUE"""),"Тодикос")</f>
        <v>Тодикос</v>
      </c>
      <c r="C35" s="5" t="str">
        <f ca="1">IFERROR(__xludf.DUMMYFUNCTION("""COMPUTED_VALUE"""),"Дмитрий")</f>
        <v>Дмитрий</v>
      </c>
      <c r="D35" s="5" t="str">
        <f ca="1">IFERROR(__xludf.DUMMYFUNCTION("""COMPUTED_VALUE"""),"Александрович")</f>
        <v>Александрович</v>
      </c>
      <c r="E35" s="5" t="str">
        <f ca="1">IFERROR(__xludf.DUMMYFUNCTION("""COMPUTED_VALUE"""),"Gang Bros")</f>
        <v>Gang Bros</v>
      </c>
      <c r="F35" s="6" t="str">
        <f ca="1">IFERROR(__xludf.DUMMYFUNCTION("""COMPUTED_VALUE"""),"Human Voice Data Transmission: An Investigation Using Machine Learning.")</f>
        <v>Human Voice Data Transmission: An Investigation Using Machine Learning.</v>
      </c>
      <c r="G35" s="7">
        <f ca="1">IFERROR(__xludf.DUMMYFUNCTION("""COMPUTED_VALUE"""),97)</f>
        <v>97</v>
      </c>
    </row>
    <row r="36" spans="1:7" ht="26.4" x14ac:dyDescent="0.25">
      <c r="A36" s="5">
        <f ca="1">IFERROR(__xludf.DUMMYFUNCTION("""COMPUTED_VALUE"""),1270)</f>
        <v>1270</v>
      </c>
      <c r="B36" s="5" t="str">
        <f ca="1">IFERROR(__xludf.DUMMYFUNCTION("""COMPUTED_VALUE"""),"Чаганов")</f>
        <v>Чаганов</v>
      </c>
      <c r="C36" s="5" t="str">
        <f ca="1">IFERROR(__xludf.DUMMYFUNCTION("""COMPUTED_VALUE"""),"Роман")</f>
        <v>Роман</v>
      </c>
      <c r="D36" s="5" t="str">
        <f ca="1">IFERROR(__xludf.DUMMYFUNCTION("""COMPUTED_VALUE"""),"Дмитриевич")</f>
        <v>Дмитриевич</v>
      </c>
      <c r="E36" s="5" t="str">
        <f ca="1">IFERROR(__xludf.DUMMYFUNCTION("""COMPUTED_VALUE"""),"Gang Bros")</f>
        <v>Gang Bros</v>
      </c>
      <c r="F36" s="6" t="str">
        <f ca="1">IFERROR(__xludf.DUMMYFUNCTION("""COMPUTED_VALUE"""),"Human Voice Data Transmission: An Investigation Using Machine Learning.")</f>
        <v>Human Voice Data Transmission: An Investigation Using Machine Learning.</v>
      </c>
      <c r="G36" s="7">
        <f ca="1">IFERROR(__xludf.DUMMYFUNCTION("""COMPUTED_VALUE"""),97)</f>
        <v>97</v>
      </c>
    </row>
    <row r="37" spans="1:7" ht="26.4" x14ac:dyDescent="0.25">
      <c r="A37" s="5">
        <f ca="1">IFERROR(__xludf.DUMMYFUNCTION("""COMPUTED_VALUE"""),43)</f>
        <v>43</v>
      </c>
      <c r="B37" s="5" t="str">
        <f ca="1">IFERROR(__xludf.DUMMYFUNCTION("""COMPUTED_VALUE"""),"Антонюк")</f>
        <v>Антонюк</v>
      </c>
      <c r="C37" s="5" t="str">
        <f ca="1">IFERROR(__xludf.DUMMYFUNCTION("""COMPUTED_VALUE"""),"Глеб")</f>
        <v>Глеб</v>
      </c>
      <c r="D37" s="5" t="str">
        <f ca="1">IFERROR(__xludf.DUMMYFUNCTION("""COMPUTED_VALUE"""),"Сергеевич")</f>
        <v>Сергеевич</v>
      </c>
      <c r="E37" s="5" t="str">
        <f ca="1">IFERROR(__xludf.DUMMYFUNCTION("""COMPUTED_VALUE"""),"Gervel Team")</f>
        <v>Gervel Team</v>
      </c>
      <c r="F37" s="6" t="str">
        <f ca="1">IFERROR(__xludf.DUMMYFUNCTION("""COMPUTED_VALUE"""),"Разработка модели прогнозирования спроса покупателей для вендинговых автоматов")</f>
        <v>Разработка модели прогнозирования спроса покупателей для вендинговых автоматов</v>
      </c>
      <c r="G37" s="7">
        <f ca="1">IFERROR(__xludf.DUMMYFUNCTION("""COMPUTED_VALUE"""),90)</f>
        <v>90</v>
      </c>
    </row>
    <row r="38" spans="1:7" ht="26.4" x14ac:dyDescent="0.25">
      <c r="A38" s="5">
        <f ca="1">IFERROR(__xludf.DUMMYFUNCTION("""COMPUTED_VALUE"""),822)</f>
        <v>822</v>
      </c>
      <c r="B38" s="5" t="str">
        <f ca="1">IFERROR(__xludf.DUMMYFUNCTION("""COMPUTED_VALUE"""),"Нгуен")</f>
        <v>Нгуен</v>
      </c>
      <c r="C38" s="5" t="str">
        <f ca="1">IFERROR(__xludf.DUMMYFUNCTION("""COMPUTED_VALUE"""),"Суан")</f>
        <v>Суан</v>
      </c>
      <c r="D38" s="5" t="str">
        <f ca="1">IFERROR(__xludf.DUMMYFUNCTION("""COMPUTED_VALUE"""),"Минь")</f>
        <v>Минь</v>
      </c>
      <c r="E38" s="5" t="str">
        <f ca="1">IFERROR(__xludf.DUMMYFUNCTION("""COMPUTED_VALUE"""),"Gervel Team")</f>
        <v>Gervel Team</v>
      </c>
      <c r="F38" s="6" t="str">
        <f ca="1">IFERROR(__xludf.DUMMYFUNCTION("""COMPUTED_VALUE"""),"Разработка модели прогнозирования спроса покупателей для вендинговых автоматов")</f>
        <v>Разработка модели прогнозирования спроса покупателей для вендинговых автоматов</v>
      </c>
      <c r="G38" s="7">
        <f ca="1">IFERROR(__xludf.DUMMYFUNCTION("""COMPUTED_VALUE"""),90)</f>
        <v>90</v>
      </c>
    </row>
    <row r="39" spans="1:7" ht="26.4" x14ac:dyDescent="0.25">
      <c r="A39" s="5">
        <f ca="1">IFERROR(__xludf.DUMMYFUNCTION("""COMPUTED_VALUE"""),993)</f>
        <v>993</v>
      </c>
      <c r="B39" s="5" t="str">
        <f ca="1">IFERROR(__xludf.DUMMYFUNCTION("""COMPUTED_VALUE"""),"Розенков")</f>
        <v>Розенков</v>
      </c>
      <c r="C39" s="5" t="str">
        <f ca="1">IFERROR(__xludf.DUMMYFUNCTION("""COMPUTED_VALUE"""),"Роберт")</f>
        <v>Роберт</v>
      </c>
      <c r="D39" s="5" t="str">
        <f ca="1">IFERROR(__xludf.DUMMYFUNCTION("""COMPUTED_VALUE"""),"Дмитриевич")</f>
        <v>Дмитриевич</v>
      </c>
      <c r="E39" s="5" t="str">
        <f ca="1">IFERROR(__xludf.DUMMYFUNCTION("""COMPUTED_VALUE"""),"Gervel Team")</f>
        <v>Gervel Team</v>
      </c>
      <c r="F39" s="6" t="str">
        <f ca="1">IFERROR(__xludf.DUMMYFUNCTION("""COMPUTED_VALUE"""),"Разработка модели прогнозирования спроса покупателей для вендинговых автоматов")</f>
        <v>Разработка модели прогнозирования спроса покупателей для вендинговых автоматов</v>
      </c>
      <c r="G39" s="7">
        <f ca="1">IFERROR(__xludf.DUMMYFUNCTION("""COMPUTED_VALUE"""),90)</f>
        <v>90</v>
      </c>
    </row>
    <row r="40" spans="1:7" ht="26.4" x14ac:dyDescent="0.25">
      <c r="A40" s="5">
        <f ca="1">IFERROR(__xludf.DUMMYFUNCTION("""COMPUTED_VALUE"""),1200)</f>
        <v>1200</v>
      </c>
      <c r="B40" s="5" t="str">
        <f ca="1">IFERROR(__xludf.DUMMYFUNCTION("""COMPUTED_VALUE"""),"Устинович")</f>
        <v>Устинович</v>
      </c>
      <c r="C40" s="5" t="str">
        <f ca="1">IFERROR(__xludf.DUMMYFUNCTION("""COMPUTED_VALUE"""),"Ратибор")</f>
        <v>Ратибор</v>
      </c>
      <c r="D40" s="5" t="str">
        <f ca="1">IFERROR(__xludf.DUMMYFUNCTION("""COMPUTED_VALUE"""),"Павлович")</f>
        <v>Павлович</v>
      </c>
      <c r="E40" s="5" t="str">
        <f ca="1">IFERROR(__xludf.DUMMYFUNCTION("""COMPUTED_VALUE"""),"Gervel Team")</f>
        <v>Gervel Team</v>
      </c>
      <c r="F40" s="6" t="str">
        <f ca="1">IFERROR(__xludf.DUMMYFUNCTION("""COMPUTED_VALUE"""),"Разработка модели прогнозирования спроса покупателей для вендинговых автоматов")</f>
        <v>Разработка модели прогнозирования спроса покупателей для вендинговых автоматов</v>
      </c>
      <c r="G40" s="7">
        <f ca="1">IFERROR(__xludf.DUMMYFUNCTION("""COMPUTED_VALUE"""),90)</f>
        <v>90</v>
      </c>
    </row>
    <row r="41" spans="1:7" ht="26.4" x14ac:dyDescent="0.25">
      <c r="A41" s="5">
        <f ca="1">IFERROR(__xludf.DUMMYFUNCTION("""COMPUTED_VALUE"""),1263)</f>
        <v>1263</v>
      </c>
      <c r="B41" s="5" t="str">
        <f ca="1">IFERROR(__xludf.DUMMYFUNCTION("""COMPUTED_VALUE"""),"Хусяинов")</f>
        <v>Хусяинов</v>
      </c>
      <c r="C41" s="5" t="str">
        <f ca="1">IFERROR(__xludf.DUMMYFUNCTION("""COMPUTED_VALUE"""),"Рустам")</f>
        <v>Рустам</v>
      </c>
      <c r="D41" s="5" t="str">
        <f ca="1">IFERROR(__xludf.DUMMYFUNCTION("""COMPUTED_VALUE"""),"Маратович")</f>
        <v>Маратович</v>
      </c>
      <c r="E41" s="5" t="str">
        <f ca="1">IFERROR(__xludf.DUMMYFUNCTION("""COMPUTED_VALUE"""),"Gervel Team")</f>
        <v>Gervel Team</v>
      </c>
      <c r="F41" s="6" t="str">
        <f ca="1">IFERROR(__xludf.DUMMYFUNCTION("""COMPUTED_VALUE"""),"Разработка модели прогнозирования спроса покупателей для вендинговых автоматов")</f>
        <v>Разработка модели прогнозирования спроса покупателей для вендинговых автоматов</v>
      </c>
      <c r="G41" s="7">
        <f ca="1">IFERROR(__xludf.DUMMYFUNCTION("""COMPUTED_VALUE"""),90)</f>
        <v>90</v>
      </c>
    </row>
    <row r="42" spans="1:7" ht="13.2" x14ac:dyDescent="0.25">
      <c r="A42" s="5">
        <f ca="1">IFERROR(__xludf.DUMMYFUNCTION("""COMPUTED_VALUE"""),288)</f>
        <v>288</v>
      </c>
      <c r="B42" s="5" t="str">
        <f ca="1">IFERROR(__xludf.DUMMYFUNCTION("""COMPUTED_VALUE"""),"Грубник")</f>
        <v>Грубник</v>
      </c>
      <c r="C42" s="5" t="str">
        <f ca="1">IFERROR(__xludf.DUMMYFUNCTION("""COMPUTED_VALUE"""),"Хортислав")</f>
        <v>Хортислав</v>
      </c>
      <c r="D42" s="5" t="str">
        <f ca="1">IFERROR(__xludf.DUMMYFUNCTION("""COMPUTED_VALUE"""),"Евгеньевич")</f>
        <v>Евгеньевич</v>
      </c>
      <c r="E42" s="5" t="str">
        <f ca="1">IFERROR(__xludf.DUMMYFUNCTION("""COMPUTED_VALUE"""),"GOLDEN RATIO")</f>
        <v>GOLDEN RATIO</v>
      </c>
      <c r="F42" s="6" t="str">
        <f ca="1">IFERROR(__xludf.DUMMYFUNCTION("""COMPUTED_VALUE"""),"Разработка игры в жанре Tower Defence")</f>
        <v>Разработка игры в жанре Tower Defence</v>
      </c>
      <c r="G42" s="7">
        <f ca="1">IFERROR(__xludf.DUMMYFUNCTION("""COMPUTED_VALUE"""),83)</f>
        <v>83</v>
      </c>
    </row>
    <row r="43" spans="1:7" ht="13.2" x14ac:dyDescent="0.25">
      <c r="A43" s="5">
        <f ca="1">IFERROR(__xludf.DUMMYFUNCTION("""COMPUTED_VALUE"""),817)</f>
        <v>817</v>
      </c>
      <c r="B43" s="5" t="str">
        <f ca="1">IFERROR(__xludf.DUMMYFUNCTION("""COMPUTED_VALUE"""),"Наймушин")</f>
        <v>Наймушин</v>
      </c>
      <c r="C43" s="5" t="str">
        <f ca="1">IFERROR(__xludf.DUMMYFUNCTION("""COMPUTED_VALUE"""),"Федор")</f>
        <v>Федор</v>
      </c>
      <c r="D43" s="5" t="str">
        <f ca="1">IFERROR(__xludf.DUMMYFUNCTION("""COMPUTED_VALUE"""),"Николаевич")</f>
        <v>Николаевич</v>
      </c>
      <c r="E43" s="5" t="str">
        <f ca="1">IFERROR(__xludf.DUMMYFUNCTION("""COMPUTED_VALUE"""),"GOLDEN RATIO")</f>
        <v>GOLDEN RATIO</v>
      </c>
      <c r="F43" s="6" t="str">
        <f ca="1">IFERROR(__xludf.DUMMYFUNCTION("""COMPUTED_VALUE"""),"Разработка игры в жанре Tower Defence")</f>
        <v>Разработка игры в жанре Tower Defence</v>
      </c>
      <c r="G43" s="7">
        <f ca="1">IFERROR(__xludf.DUMMYFUNCTION("""COMPUTED_VALUE"""),83)</f>
        <v>83</v>
      </c>
    </row>
    <row r="44" spans="1:7" ht="13.2" x14ac:dyDescent="0.25">
      <c r="A44" s="5">
        <f ca="1">IFERROR(__xludf.DUMMYFUNCTION("""COMPUTED_VALUE"""),910)</f>
        <v>910</v>
      </c>
      <c r="B44" s="5" t="str">
        <f ca="1">IFERROR(__xludf.DUMMYFUNCTION("""COMPUTED_VALUE"""),"Пепелев")</f>
        <v>Пепелев</v>
      </c>
      <c r="C44" s="5" t="str">
        <f ca="1">IFERROR(__xludf.DUMMYFUNCTION("""COMPUTED_VALUE"""),"Андрей")</f>
        <v>Андрей</v>
      </c>
      <c r="D44" s="5" t="str">
        <f ca="1">IFERROR(__xludf.DUMMYFUNCTION("""COMPUTED_VALUE"""),"Михайлович")</f>
        <v>Михайлович</v>
      </c>
      <c r="E44" s="5" t="str">
        <f ca="1">IFERROR(__xludf.DUMMYFUNCTION("""COMPUTED_VALUE"""),"GOLDEN RATIO")</f>
        <v>GOLDEN RATIO</v>
      </c>
      <c r="F44" s="6" t="str">
        <f ca="1">IFERROR(__xludf.DUMMYFUNCTION("""COMPUTED_VALUE"""),"Разработка игры в жанре Tower Defence")</f>
        <v>Разработка игры в жанре Tower Defence</v>
      </c>
      <c r="G44" s="7">
        <f ca="1">IFERROR(__xludf.DUMMYFUNCTION("""COMPUTED_VALUE"""),83)</f>
        <v>83</v>
      </c>
    </row>
    <row r="45" spans="1:7" ht="13.2" x14ac:dyDescent="0.25">
      <c r="A45" s="5">
        <f ca="1">IFERROR(__xludf.DUMMYFUNCTION("""COMPUTED_VALUE"""),1009)</f>
        <v>1009</v>
      </c>
      <c r="B45" s="5" t="str">
        <f ca="1">IFERROR(__xludf.DUMMYFUNCTION("""COMPUTED_VALUE"""),"Рыжанков")</f>
        <v>Рыжанков</v>
      </c>
      <c r="C45" s="5" t="str">
        <f ca="1">IFERROR(__xludf.DUMMYFUNCTION("""COMPUTED_VALUE"""),"Илья")</f>
        <v>Илья</v>
      </c>
      <c r="D45" s="5" t="str">
        <f ca="1">IFERROR(__xludf.DUMMYFUNCTION("""COMPUTED_VALUE"""),"Александрович")</f>
        <v>Александрович</v>
      </c>
      <c r="E45" s="5" t="str">
        <f ca="1">IFERROR(__xludf.DUMMYFUNCTION("""COMPUTED_VALUE"""),"GOLDEN RATIO")</f>
        <v>GOLDEN RATIO</v>
      </c>
      <c r="F45" s="6" t="str">
        <f ca="1">IFERROR(__xludf.DUMMYFUNCTION("""COMPUTED_VALUE"""),"Разработка игры в жанре Tower Defence")</f>
        <v>Разработка игры в жанре Tower Defence</v>
      </c>
      <c r="G45" s="7">
        <f ca="1">IFERROR(__xludf.DUMMYFUNCTION("""COMPUTED_VALUE"""),83)</f>
        <v>83</v>
      </c>
    </row>
    <row r="46" spans="1:7" ht="13.2" x14ac:dyDescent="0.25">
      <c r="A46" s="5">
        <f ca="1">IFERROR(__xludf.DUMMYFUNCTION("""COMPUTED_VALUE"""),1130)</f>
        <v>1130</v>
      </c>
      <c r="B46" s="5" t="str">
        <f ca="1">IFERROR(__xludf.DUMMYFUNCTION("""COMPUTED_VALUE"""),"Сурков")</f>
        <v>Сурков</v>
      </c>
      <c r="C46" s="5" t="str">
        <f ca="1">IFERROR(__xludf.DUMMYFUNCTION("""COMPUTED_VALUE"""),"Степан")</f>
        <v>Степан</v>
      </c>
      <c r="D46" s="5" t="str">
        <f ca="1">IFERROR(__xludf.DUMMYFUNCTION("""COMPUTED_VALUE"""),"Васильевич")</f>
        <v>Васильевич</v>
      </c>
      <c r="E46" s="5" t="str">
        <f ca="1">IFERROR(__xludf.DUMMYFUNCTION("""COMPUTED_VALUE"""),"GOLDEN RATIO")</f>
        <v>GOLDEN RATIO</v>
      </c>
      <c r="F46" s="6" t="str">
        <f ca="1">IFERROR(__xludf.DUMMYFUNCTION("""COMPUTED_VALUE"""),"Разработка игры в жанре Tower Defence")</f>
        <v>Разработка игры в жанре Tower Defence</v>
      </c>
      <c r="G46" s="7">
        <f ca="1">IFERROR(__xludf.DUMMYFUNCTION("""COMPUTED_VALUE"""),83)</f>
        <v>83</v>
      </c>
    </row>
    <row r="47" spans="1:7" ht="13.2" x14ac:dyDescent="0.25">
      <c r="A47" s="5">
        <f ca="1">IFERROR(__xludf.DUMMYFUNCTION("""COMPUTED_VALUE"""),242)</f>
        <v>242</v>
      </c>
      <c r="B47" s="5" t="str">
        <f ca="1">IFERROR(__xludf.DUMMYFUNCTION("""COMPUTED_VALUE"""),"Гарибян")</f>
        <v>Гарибян</v>
      </c>
      <c r="C47" s="5" t="str">
        <f ca="1">IFERROR(__xludf.DUMMYFUNCTION("""COMPUTED_VALUE"""),"Сергей")</f>
        <v>Сергей</v>
      </c>
      <c r="D47" s="5" t="str">
        <f ca="1">IFERROR(__xludf.DUMMYFUNCTION("""COMPUTED_VALUE"""),"Арменович")</f>
        <v>Арменович</v>
      </c>
      <c r="E47" s="5" t="str">
        <f ca="1">IFERROR(__xludf.DUMMYFUNCTION("""COMPUTED_VALUE"""),"HELP?")</f>
        <v>HELP?</v>
      </c>
      <c r="F47" s="6" t="str">
        <f ca="1">IFERROR(__xludf.DUMMYFUNCTION("""COMPUTED_VALUE"""),"Разработка 3D-навигатора по УрФУ")</f>
        <v>Разработка 3D-навигатора по УрФУ</v>
      </c>
      <c r="G47" s="7">
        <f ca="1">IFERROR(__xludf.DUMMYFUNCTION("""COMPUTED_VALUE"""),70)</f>
        <v>70</v>
      </c>
    </row>
    <row r="48" spans="1:7" ht="13.2" x14ac:dyDescent="0.25">
      <c r="A48" s="5">
        <f ca="1">IFERROR(__xludf.DUMMYFUNCTION("""COMPUTED_VALUE"""),409)</f>
        <v>409</v>
      </c>
      <c r="B48" s="5" t="str">
        <f ca="1">IFERROR(__xludf.DUMMYFUNCTION("""COMPUTED_VALUE"""),"Зайнетдинов")</f>
        <v>Зайнетдинов</v>
      </c>
      <c r="C48" s="5" t="str">
        <f ca="1">IFERROR(__xludf.DUMMYFUNCTION("""COMPUTED_VALUE"""),"Олег")</f>
        <v>Олег</v>
      </c>
      <c r="D48" s="5" t="str">
        <f ca="1">IFERROR(__xludf.DUMMYFUNCTION("""COMPUTED_VALUE"""),"Романович")</f>
        <v>Романович</v>
      </c>
      <c r="E48" s="5" t="str">
        <f ca="1">IFERROR(__xludf.DUMMYFUNCTION("""COMPUTED_VALUE"""),"HELP?")</f>
        <v>HELP?</v>
      </c>
      <c r="F48" s="6" t="str">
        <f ca="1">IFERROR(__xludf.DUMMYFUNCTION("""COMPUTED_VALUE"""),"Разработка 3D-навигатора по УрФУ")</f>
        <v>Разработка 3D-навигатора по УрФУ</v>
      </c>
      <c r="G48" s="7">
        <f ca="1">IFERROR(__xludf.DUMMYFUNCTION("""COMPUTED_VALUE"""),70)</f>
        <v>70</v>
      </c>
    </row>
    <row r="49" spans="1:7" ht="13.2" x14ac:dyDescent="0.25">
      <c r="A49" s="5">
        <f ca="1">IFERROR(__xludf.DUMMYFUNCTION("""COMPUTED_VALUE"""),421)</f>
        <v>421</v>
      </c>
      <c r="B49" s="5" t="str">
        <f ca="1">IFERROR(__xludf.DUMMYFUNCTION("""COMPUTED_VALUE"""),"Захаров")</f>
        <v>Захаров</v>
      </c>
      <c r="C49" s="5" t="str">
        <f ca="1">IFERROR(__xludf.DUMMYFUNCTION("""COMPUTED_VALUE"""),"Вадим")</f>
        <v>Вадим</v>
      </c>
      <c r="D49" s="5" t="str">
        <f ca="1">IFERROR(__xludf.DUMMYFUNCTION("""COMPUTED_VALUE"""),"Владимирович")</f>
        <v>Владимирович</v>
      </c>
      <c r="E49" s="5" t="str">
        <f ca="1">IFERROR(__xludf.DUMMYFUNCTION("""COMPUTED_VALUE"""),"HELP?")</f>
        <v>HELP?</v>
      </c>
      <c r="F49" s="6" t="str">
        <f ca="1">IFERROR(__xludf.DUMMYFUNCTION("""COMPUTED_VALUE"""),"Разработка 3D-навигатора по УрФУ")</f>
        <v>Разработка 3D-навигатора по УрФУ</v>
      </c>
      <c r="G49" s="7">
        <f ca="1">IFERROR(__xludf.DUMMYFUNCTION("""COMPUTED_VALUE"""),70)</f>
        <v>70</v>
      </c>
    </row>
    <row r="50" spans="1:7" ht="13.2" x14ac:dyDescent="0.25">
      <c r="A50" s="5">
        <f ca="1">IFERROR(__xludf.DUMMYFUNCTION("""COMPUTED_VALUE"""),1181)</f>
        <v>1181</v>
      </c>
      <c r="B50" s="5" t="str">
        <f ca="1">IFERROR(__xludf.DUMMYFUNCTION("""COMPUTED_VALUE"""),"Турницкий")</f>
        <v>Турницкий</v>
      </c>
      <c r="C50" s="5" t="str">
        <f ca="1">IFERROR(__xludf.DUMMYFUNCTION("""COMPUTED_VALUE"""),"Никита")</f>
        <v>Никита</v>
      </c>
      <c r="D50" s="5" t="str">
        <f ca="1">IFERROR(__xludf.DUMMYFUNCTION("""COMPUTED_VALUE"""),"Александрович")</f>
        <v>Александрович</v>
      </c>
      <c r="E50" s="5" t="str">
        <f ca="1">IFERROR(__xludf.DUMMYFUNCTION("""COMPUTED_VALUE"""),"HELP?")</f>
        <v>HELP?</v>
      </c>
      <c r="F50" s="6" t="str">
        <f ca="1">IFERROR(__xludf.DUMMYFUNCTION("""COMPUTED_VALUE"""),"Разработка 3D-навигатора по УрФУ")</f>
        <v>Разработка 3D-навигатора по УрФУ</v>
      </c>
      <c r="G50" s="7">
        <f ca="1">IFERROR(__xludf.DUMMYFUNCTION("""COMPUTED_VALUE"""),70)</f>
        <v>70</v>
      </c>
    </row>
    <row r="51" spans="1:7" ht="26.4" x14ac:dyDescent="0.25">
      <c r="A51" s="5">
        <f ca="1">IFERROR(__xludf.DUMMYFUNCTION("""COMPUTED_VALUE"""),303)</f>
        <v>303</v>
      </c>
      <c r="B51" s="5" t="str">
        <f ca="1">IFERROR(__xludf.DUMMYFUNCTION("""COMPUTED_VALUE"""),"Дегтярёв")</f>
        <v>Дегтярёв</v>
      </c>
      <c r="C51" s="5" t="str">
        <f ca="1">IFERROR(__xludf.DUMMYFUNCTION("""COMPUTED_VALUE"""),"Семён")</f>
        <v>Семён</v>
      </c>
      <c r="D51" s="5" t="str">
        <f ca="1">IFERROR(__xludf.DUMMYFUNCTION("""COMPUTED_VALUE"""),"Сергеевич")</f>
        <v>Сергеевич</v>
      </c>
      <c r="E51" s="5" t="str">
        <f ca="1">IFERROR(__xludf.DUMMYFUNCTION("""COMPUTED_VALUE"""),"ITальянцы")</f>
        <v>ITальянцы</v>
      </c>
      <c r="F51" s="6" t="str">
        <f ca="1">IFERROR(__xludf.DUMMYFUNCTION("""COMPUTED_VALUE"""),"Разработка сервисс для упрощения выбора кулинарных рецептов.")</f>
        <v>Разработка сервисс для упрощения выбора кулинарных рецептов.</v>
      </c>
      <c r="G51" s="7">
        <f ca="1">IFERROR(__xludf.DUMMYFUNCTION("""COMPUTED_VALUE"""),94)</f>
        <v>94</v>
      </c>
    </row>
    <row r="52" spans="1:7" ht="26.4" x14ac:dyDescent="0.25">
      <c r="A52" s="5">
        <f ca="1">IFERROR(__xludf.DUMMYFUNCTION("""COMPUTED_VALUE"""),326)</f>
        <v>326</v>
      </c>
      <c r="B52" s="5" t="str">
        <f ca="1">IFERROR(__xludf.DUMMYFUNCTION("""COMPUTED_VALUE"""),"Довгий")</f>
        <v>Довгий</v>
      </c>
      <c r="C52" s="5" t="str">
        <f ca="1">IFERROR(__xludf.DUMMYFUNCTION("""COMPUTED_VALUE"""),"Вадим")</f>
        <v>Вадим</v>
      </c>
      <c r="D52" s="5" t="str">
        <f ca="1">IFERROR(__xludf.DUMMYFUNCTION("""COMPUTED_VALUE"""),"Игоревич")</f>
        <v>Игоревич</v>
      </c>
      <c r="E52" s="5" t="str">
        <f ca="1">IFERROR(__xludf.DUMMYFUNCTION("""COMPUTED_VALUE"""),"ITальянцы")</f>
        <v>ITальянцы</v>
      </c>
      <c r="F52" s="6" t="str">
        <f ca="1">IFERROR(__xludf.DUMMYFUNCTION("""COMPUTED_VALUE"""),"Разработка сервисс для упрощения выбора кулинарных рецептов.")</f>
        <v>Разработка сервисс для упрощения выбора кулинарных рецептов.</v>
      </c>
      <c r="G52" s="7">
        <f ca="1">IFERROR(__xludf.DUMMYFUNCTION("""COMPUTED_VALUE"""),94)</f>
        <v>94</v>
      </c>
    </row>
    <row r="53" spans="1:7" ht="26.4" x14ac:dyDescent="0.25">
      <c r="A53" s="5">
        <f ca="1">IFERROR(__xludf.DUMMYFUNCTION("""COMPUTED_VALUE"""),808)</f>
        <v>808</v>
      </c>
      <c r="B53" s="5" t="str">
        <f ca="1">IFERROR(__xludf.DUMMYFUNCTION("""COMPUTED_VALUE"""),"Мыльников")</f>
        <v>Мыльников</v>
      </c>
      <c r="C53" s="5" t="str">
        <f ca="1">IFERROR(__xludf.DUMMYFUNCTION("""COMPUTED_VALUE"""),"Николай")</f>
        <v>Николай</v>
      </c>
      <c r="D53" s="5" t="str">
        <f ca="1">IFERROR(__xludf.DUMMYFUNCTION("""COMPUTED_VALUE"""),"Вячеславович")</f>
        <v>Вячеславович</v>
      </c>
      <c r="E53" s="5" t="str">
        <f ca="1">IFERROR(__xludf.DUMMYFUNCTION("""COMPUTED_VALUE"""),"ITальянцы")</f>
        <v>ITальянцы</v>
      </c>
      <c r="F53" s="6" t="str">
        <f ca="1">IFERROR(__xludf.DUMMYFUNCTION("""COMPUTED_VALUE"""),"Разработка сервисс для упрощения выбора кулинарных рецептов.")</f>
        <v>Разработка сервисс для упрощения выбора кулинарных рецептов.</v>
      </c>
      <c r="G53" s="7">
        <f ca="1">IFERROR(__xludf.DUMMYFUNCTION("""COMPUTED_VALUE"""),94)</f>
        <v>94</v>
      </c>
    </row>
    <row r="54" spans="1:7" ht="26.4" x14ac:dyDescent="0.25">
      <c r="A54" s="5">
        <f ca="1">IFERROR(__xludf.DUMMYFUNCTION("""COMPUTED_VALUE"""),874)</f>
        <v>874</v>
      </c>
      <c r="B54" s="5" t="str">
        <f ca="1">IFERROR(__xludf.DUMMYFUNCTION("""COMPUTED_VALUE"""),"Оганнисян")</f>
        <v>Оганнисян</v>
      </c>
      <c r="C54" s="5" t="str">
        <f ca="1">IFERROR(__xludf.DUMMYFUNCTION("""COMPUTED_VALUE"""),"Сергей")</f>
        <v>Сергей</v>
      </c>
      <c r="D54" s="5" t="str">
        <f ca="1">IFERROR(__xludf.DUMMYFUNCTION("""COMPUTED_VALUE"""),"Степанович")</f>
        <v>Степанович</v>
      </c>
      <c r="E54" s="5" t="str">
        <f ca="1">IFERROR(__xludf.DUMMYFUNCTION("""COMPUTED_VALUE"""),"ITальянцы")</f>
        <v>ITальянцы</v>
      </c>
      <c r="F54" s="6" t="str">
        <f ca="1">IFERROR(__xludf.DUMMYFUNCTION("""COMPUTED_VALUE"""),"Разработка сервисс для упрощения выбора кулинарных рецептов.")</f>
        <v>Разработка сервисс для упрощения выбора кулинарных рецептов.</v>
      </c>
      <c r="G54" s="7">
        <f ca="1">IFERROR(__xludf.DUMMYFUNCTION("""COMPUTED_VALUE"""),94)</f>
        <v>94</v>
      </c>
    </row>
    <row r="55" spans="1:7" ht="26.4" x14ac:dyDescent="0.25">
      <c r="A55" s="5">
        <f ca="1">IFERROR(__xludf.DUMMYFUNCTION("""COMPUTED_VALUE"""),901)</f>
        <v>901</v>
      </c>
      <c r="B55" s="5" t="str">
        <f ca="1">IFERROR(__xludf.DUMMYFUNCTION("""COMPUTED_VALUE"""),"Панова")</f>
        <v>Панова</v>
      </c>
      <c r="C55" s="5" t="str">
        <f ca="1">IFERROR(__xludf.DUMMYFUNCTION("""COMPUTED_VALUE"""),"Дарья")</f>
        <v>Дарья</v>
      </c>
      <c r="D55" s="5" t="str">
        <f ca="1">IFERROR(__xludf.DUMMYFUNCTION("""COMPUTED_VALUE"""),"Сергеевна")</f>
        <v>Сергеевна</v>
      </c>
      <c r="E55" s="5" t="str">
        <f ca="1">IFERROR(__xludf.DUMMYFUNCTION("""COMPUTED_VALUE"""),"ITальянцы")</f>
        <v>ITальянцы</v>
      </c>
      <c r="F55" s="6" t="str">
        <f ca="1">IFERROR(__xludf.DUMMYFUNCTION("""COMPUTED_VALUE"""),"Разработка сервисс для упрощения выбора кулинарных рецептов.")</f>
        <v>Разработка сервисс для упрощения выбора кулинарных рецептов.</v>
      </c>
      <c r="G55" s="7">
        <f ca="1">IFERROR(__xludf.DUMMYFUNCTION("""COMPUTED_VALUE"""),94)</f>
        <v>94</v>
      </c>
    </row>
    <row r="56" spans="1:7" ht="26.4" x14ac:dyDescent="0.25">
      <c r="A56" s="5">
        <f ca="1">IFERROR(__xludf.DUMMYFUNCTION("""COMPUTED_VALUE"""),376)</f>
        <v>376</v>
      </c>
      <c r="B56" s="5" t="str">
        <f ca="1">IFERROR(__xludf.DUMMYFUNCTION("""COMPUTED_VALUE"""),"Ермолаев")</f>
        <v>Ермолаев</v>
      </c>
      <c r="C56" s="5" t="str">
        <f ca="1">IFERROR(__xludf.DUMMYFUNCTION("""COMPUTED_VALUE"""),"Илья")</f>
        <v>Илья</v>
      </c>
      <c r="D56" s="5" t="str">
        <f ca="1">IFERROR(__xludf.DUMMYFUNCTION("""COMPUTED_VALUE"""),"Дмитриевич")</f>
        <v>Дмитриевич</v>
      </c>
      <c r="E56" s="5" t="str">
        <f ca="1">IFERROR(__xludf.DUMMYFUNCTION("""COMPUTED_VALUE"""),"M.I.N.D")</f>
        <v>M.I.N.D</v>
      </c>
      <c r="F56" s="6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G56" s="7">
        <f ca="1">IFERROR(__xludf.DUMMYFUNCTION("""COMPUTED_VALUE"""),90)</f>
        <v>90</v>
      </c>
    </row>
    <row r="57" spans="1:7" ht="26.4" x14ac:dyDescent="0.25">
      <c r="A57" s="5">
        <f ca="1">IFERROR(__xludf.DUMMYFUNCTION("""COMPUTED_VALUE"""),558)</f>
        <v>558</v>
      </c>
      <c r="B57" s="5" t="str">
        <f ca="1">IFERROR(__xludf.DUMMYFUNCTION("""COMPUTED_VALUE"""),"Колтунов")</f>
        <v>Колтунов</v>
      </c>
      <c r="C57" s="5" t="str">
        <f ca="1">IFERROR(__xludf.DUMMYFUNCTION("""COMPUTED_VALUE"""),"Матвей")</f>
        <v>Матвей</v>
      </c>
      <c r="D57" s="5" t="str">
        <f ca="1">IFERROR(__xludf.DUMMYFUNCTION("""COMPUTED_VALUE"""),"Максимович")</f>
        <v>Максимович</v>
      </c>
      <c r="E57" s="5" t="str">
        <f ca="1">IFERROR(__xludf.DUMMYFUNCTION("""COMPUTED_VALUE"""),"M.I.N.D")</f>
        <v>M.I.N.D</v>
      </c>
      <c r="F57" s="6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G57" s="7">
        <f ca="1">IFERROR(__xludf.DUMMYFUNCTION("""COMPUTED_VALUE"""),90)</f>
        <v>90</v>
      </c>
    </row>
    <row r="58" spans="1:7" ht="26.4" x14ac:dyDescent="0.25">
      <c r="A58" s="5">
        <f ca="1">IFERROR(__xludf.DUMMYFUNCTION("""COMPUTED_VALUE"""),585)</f>
        <v>585</v>
      </c>
      <c r="B58" s="5" t="str">
        <f ca="1">IFERROR(__xludf.DUMMYFUNCTION("""COMPUTED_VALUE"""),"Коробицын")</f>
        <v>Коробицын</v>
      </c>
      <c r="C58" s="5" t="str">
        <f ca="1">IFERROR(__xludf.DUMMYFUNCTION("""COMPUTED_VALUE"""),"Дмитрий")</f>
        <v>Дмитрий</v>
      </c>
      <c r="D58" s="5" t="str">
        <f ca="1">IFERROR(__xludf.DUMMYFUNCTION("""COMPUTED_VALUE"""),"Кириллович")</f>
        <v>Кириллович</v>
      </c>
      <c r="E58" s="5" t="str">
        <f ca="1">IFERROR(__xludf.DUMMYFUNCTION("""COMPUTED_VALUE"""),"M.I.N.D")</f>
        <v>M.I.N.D</v>
      </c>
      <c r="F58" s="6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G58" s="7">
        <f ca="1">IFERROR(__xludf.DUMMYFUNCTION("""COMPUTED_VALUE"""),90)</f>
        <v>90</v>
      </c>
    </row>
    <row r="59" spans="1:7" ht="26.4" x14ac:dyDescent="0.25">
      <c r="A59" s="5">
        <f ca="1">IFERROR(__xludf.DUMMYFUNCTION("""COMPUTED_VALUE"""),831)</f>
        <v>831</v>
      </c>
      <c r="B59" s="5" t="str">
        <f ca="1">IFERROR(__xludf.DUMMYFUNCTION("""COMPUTED_VALUE"""),"Непочатый")</f>
        <v>Непочатый</v>
      </c>
      <c r="C59" s="5" t="str">
        <f ca="1">IFERROR(__xludf.DUMMYFUNCTION("""COMPUTED_VALUE"""),"Никита")</f>
        <v>Никита</v>
      </c>
      <c r="D59" s="5" t="str">
        <f ca="1">IFERROR(__xludf.DUMMYFUNCTION("""COMPUTED_VALUE"""),"Владимирович")</f>
        <v>Владимирович</v>
      </c>
      <c r="E59" s="5" t="str">
        <f ca="1">IFERROR(__xludf.DUMMYFUNCTION("""COMPUTED_VALUE"""),"M.I.N.D")</f>
        <v>M.I.N.D</v>
      </c>
      <c r="F59" s="6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G59" s="7">
        <f ca="1">IFERROR(__xludf.DUMMYFUNCTION("""COMPUTED_VALUE"""),90)</f>
        <v>90</v>
      </c>
    </row>
    <row r="60" spans="1:7" ht="26.4" x14ac:dyDescent="0.25">
      <c r="A60" s="5">
        <f ca="1">IFERROR(__xludf.DUMMYFUNCTION("""COMPUTED_VALUE"""),918)</f>
        <v>918</v>
      </c>
      <c r="B60" s="5" t="str">
        <f ca="1">IFERROR(__xludf.DUMMYFUNCTION("""COMPUTED_VALUE"""),"Пермяков")</f>
        <v>Пермяков</v>
      </c>
      <c r="C60" s="5" t="str">
        <f ca="1">IFERROR(__xludf.DUMMYFUNCTION("""COMPUTED_VALUE"""),"Роман")</f>
        <v>Роман</v>
      </c>
      <c r="D60" s="5" t="str">
        <f ca="1">IFERROR(__xludf.DUMMYFUNCTION("""COMPUTED_VALUE"""),"Александрович")</f>
        <v>Александрович</v>
      </c>
      <c r="E60" s="5" t="str">
        <f ca="1">IFERROR(__xludf.DUMMYFUNCTION("""COMPUTED_VALUE"""),"M.I.N.D")</f>
        <v>M.I.N.D</v>
      </c>
      <c r="F60" s="6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G60" s="7">
        <f ca="1">IFERROR(__xludf.DUMMYFUNCTION("""COMPUTED_VALUE"""),90)</f>
        <v>90</v>
      </c>
    </row>
    <row r="61" spans="1:7" ht="26.4" x14ac:dyDescent="0.25">
      <c r="A61" s="5">
        <f ca="1">IFERROR(__xludf.DUMMYFUNCTION("""COMPUTED_VALUE"""),931)</f>
        <v>931</v>
      </c>
      <c r="B61" s="5" t="str">
        <f ca="1">IFERROR(__xludf.DUMMYFUNCTION("""COMPUTED_VALUE"""),"Пименов")</f>
        <v>Пименов</v>
      </c>
      <c r="C61" s="5" t="str">
        <f ca="1">IFERROR(__xludf.DUMMYFUNCTION("""COMPUTED_VALUE"""),"Александр")</f>
        <v>Александр</v>
      </c>
      <c r="D61" s="5" t="str">
        <f ca="1">IFERROR(__xludf.DUMMYFUNCTION("""COMPUTED_VALUE"""),"Алексеевич")</f>
        <v>Алексеевич</v>
      </c>
      <c r="E61" s="5" t="str">
        <f ca="1">IFERROR(__xludf.DUMMYFUNCTION("""COMPUTED_VALUE"""),"M.I.N.D")</f>
        <v>M.I.N.D</v>
      </c>
      <c r="F61" s="6" t="str">
        <f ca="1">IFERROR(__xludf.DUMMYFUNCTION("""COMPUTED_VALUE"""),"Создание модели автоматизированной парковочной системы")</f>
        <v>Создание модели автоматизированной парковочной системы</v>
      </c>
      <c r="G61" s="7">
        <f ca="1">IFERROR(__xludf.DUMMYFUNCTION("""COMPUTED_VALUE"""),90)</f>
        <v>90</v>
      </c>
    </row>
    <row r="62" spans="1:7" ht="39.6" x14ac:dyDescent="0.25">
      <c r="A62" s="5">
        <f ca="1">IFERROR(__xludf.DUMMYFUNCTION("""COMPUTED_VALUE"""),38)</f>
        <v>38</v>
      </c>
      <c r="B62" s="5" t="str">
        <f ca="1">IFERROR(__xludf.DUMMYFUNCTION("""COMPUTED_VALUE"""),"Андриянов")</f>
        <v>Андриянов</v>
      </c>
      <c r="C62" s="5" t="str">
        <f ca="1">IFERROR(__xludf.DUMMYFUNCTION("""COMPUTED_VALUE"""),"Никита")</f>
        <v>Никита</v>
      </c>
      <c r="D62" s="5" t="str">
        <f ca="1">IFERROR(__xludf.DUMMYFUNCTION("""COMPUTED_VALUE"""),"Дмитриевич")</f>
        <v>Дмитриевич</v>
      </c>
      <c r="E62" s="5" t="str">
        <f ca="1">IFERROR(__xludf.DUMMYFUNCTION("""COMPUTED_VALUE"""),"Mæa Softworks")</f>
        <v>Mæa Softworks</v>
      </c>
      <c r="F62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62" s="7">
        <f ca="1">IFERROR(__xludf.DUMMYFUNCTION("""COMPUTED_VALUE"""),100)</f>
        <v>100</v>
      </c>
    </row>
    <row r="63" spans="1:7" ht="39.6" x14ac:dyDescent="0.25">
      <c r="A63" s="5">
        <f ca="1">IFERROR(__xludf.DUMMYFUNCTION("""COMPUTED_VALUE"""),244)</f>
        <v>244</v>
      </c>
      <c r="B63" s="5" t="str">
        <f ca="1">IFERROR(__xludf.DUMMYFUNCTION("""COMPUTED_VALUE"""),"Гарипов")</f>
        <v>Гарипов</v>
      </c>
      <c r="C63" s="5" t="str">
        <f ca="1">IFERROR(__xludf.DUMMYFUNCTION("""COMPUTED_VALUE"""),"Эльдар")</f>
        <v>Эльдар</v>
      </c>
      <c r="D63" s="5" t="str">
        <f ca="1">IFERROR(__xludf.DUMMYFUNCTION("""COMPUTED_VALUE"""),"Ахлиманович")</f>
        <v>Ахлиманович</v>
      </c>
      <c r="E63" s="5" t="str">
        <f ca="1">IFERROR(__xludf.DUMMYFUNCTION("""COMPUTED_VALUE"""),"Mæa Softworks")</f>
        <v>Mæa Softworks</v>
      </c>
      <c r="F63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63" s="7">
        <f ca="1">IFERROR(__xludf.DUMMYFUNCTION("""COMPUTED_VALUE"""),100)</f>
        <v>100</v>
      </c>
    </row>
    <row r="64" spans="1:7" ht="39.6" x14ac:dyDescent="0.25">
      <c r="A64" s="5">
        <f ca="1">IFERROR(__xludf.DUMMYFUNCTION("""COMPUTED_VALUE"""),353)</f>
        <v>353</v>
      </c>
      <c r="B64" s="5" t="str">
        <f ca="1">IFERROR(__xludf.DUMMYFUNCTION("""COMPUTED_VALUE"""),"Дьяченко")</f>
        <v>Дьяченко</v>
      </c>
      <c r="C64" s="5" t="str">
        <f ca="1">IFERROR(__xludf.DUMMYFUNCTION("""COMPUTED_VALUE"""),"Максим")</f>
        <v>Максим</v>
      </c>
      <c r="D64" s="5" t="str">
        <f ca="1">IFERROR(__xludf.DUMMYFUNCTION("""COMPUTED_VALUE"""),"Александрович")</f>
        <v>Александрович</v>
      </c>
      <c r="E64" s="5" t="str">
        <f ca="1">IFERROR(__xludf.DUMMYFUNCTION("""COMPUTED_VALUE"""),"Mæa Softworks")</f>
        <v>Mæa Softworks</v>
      </c>
      <c r="F64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64" s="7">
        <f ca="1">IFERROR(__xludf.DUMMYFUNCTION("""COMPUTED_VALUE"""),100)</f>
        <v>100</v>
      </c>
    </row>
    <row r="65" spans="1:7" ht="39.6" x14ac:dyDescent="0.25">
      <c r="A65" s="5">
        <f ca="1">IFERROR(__xludf.DUMMYFUNCTION("""COMPUTED_VALUE"""),1124)</f>
        <v>1124</v>
      </c>
      <c r="B65" s="5" t="str">
        <f ca="1">IFERROR(__xludf.DUMMYFUNCTION("""COMPUTED_VALUE"""),"Стремоусов")</f>
        <v>Стремоусов</v>
      </c>
      <c r="C65" s="5" t="str">
        <f ca="1">IFERROR(__xludf.DUMMYFUNCTION("""COMPUTED_VALUE"""),"Андрей")</f>
        <v>Андрей</v>
      </c>
      <c r="D65" s="5" t="str">
        <f ca="1">IFERROR(__xludf.DUMMYFUNCTION("""COMPUTED_VALUE"""),"Николаевич")</f>
        <v>Николаевич</v>
      </c>
      <c r="E65" s="5" t="str">
        <f ca="1">IFERROR(__xludf.DUMMYFUNCTION("""COMPUTED_VALUE"""),"Mæa Softworks")</f>
        <v>Mæa Softworks</v>
      </c>
      <c r="F65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65" s="7">
        <f ca="1">IFERROR(__xludf.DUMMYFUNCTION("""COMPUTED_VALUE"""),100)</f>
        <v>100</v>
      </c>
    </row>
    <row r="66" spans="1:7" ht="39.6" x14ac:dyDescent="0.25">
      <c r="A66" s="5">
        <f ca="1">IFERROR(__xludf.DUMMYFUNCTION("""COMPUTED_VALUE"""),1280)</f>
        <v>1280</v>
      </c>
      <c r="B66" s="5" t="str">
        <f ca="1">IFERROR(__xludf.DUMMYFUNCTION("""COMPUTED_VALUE"""),"Черноскутова")</f>
        <v>Черноскутова</v>
      </c>
      <c r="C66" s="5" t="str">
        <f ca="1">IFERROR(__xludf.DUMMYFUNCTION("""COMPUTED_VALUE"""),"Анастасия")</f>
        <v>Анастасия</v>
      </c>
      <c r="D66" s="5" t="str">
        <f ca="1">IFERROR(__xludf.DUMMYFUNCTION("""COMPUTED_VALUE"""),"Сергеевна")</f>
        <v>Сергеевна</v>
      </c>
      <c r="E66" s="5" t="str">
        <f ca="1">IFERROR(__xludf.DUMMYFUNCTION("""COMPUTED_VALUE"""),"Mæa Softworks")</f>
        <v>Mæa Softworks</v>
      </c>
      <c r="F66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66" s="7">
        <f ca="1">IFERROR(__xludf.DUMMYFUNCTION("""COMPUTED_VALUE"""),100)</f>
        <v>100</v>
      </c>
    </row>
    <row r="67" spans="1:7" ht="13.2" x14ac:dyDescent="0.25">
      <c r="A67" s="5">
        <f ca="1">IFERROR(__xludf.DUMMYFUNCTION("""COMPUTED_VALUE"""),327)</f>
        <v>327</v>
      </c>
      <c r="B67" s="5" t="str">
        <f ca="1">IFERROR(__xludf.DUMMYFUNCTION("""COMPUTED_VALUE"""),"Додонова")</f>
        <v>Додонова</v>
      </c>
      <c r="C67" s="5" t="str">
        <f ca="1">IFERROR(__xludf.DUMMYFUNCTION("""COMPUTED_VALUE"""),"Елена")</f>
        <v>Елена</v>
      </c>
      <c r="D67" s="5" t="str">
        <f ca="1">IFERROR(__xludf.DUMMYFUNCTION("""COMPUTED_VALUE"""),"Игоревна")</f>
        <v>Игоревна</v>
      </c>
      <c r="E67" s="5" t="str">
        <f ca="1">IFERROR(__xludf.DUMMYFUNCTION("""COMPUTED_VALUE"""),"Monkiflip Games")</f>
        <v>Monkiflip Games</v>
      </c>
      <c r="F67" s="6" t="str">
        <f ca="1">IFERROR(__xludf.DUMMYFUNCTION("""COMPUTED_VALUE"""),"Разработка игр на Unity + Игровой арт")</f>
        <v>Разработка игр на Unity + Игровой арт</v>
      </c>
      <c r="G67" s="7">
        <f ca="1">IFERROR(__xludf.DUMMYFUNCTION("""COMPUTED_VALUE"""),100)</f>
        <v>100</v>
      </c>
    </row>
    <row r="68" spans="1:7" ht="13.2" x14ac:dyDescent="0.25">
      <c r="A68" s="5">
        <f ca="1">IFERROR(__xludf.DUMMYFUNCTION("""COMPUTED_VALUE"""),771)</f>
        <v>771</v>
      </c>
      <c r="B68" s="5" t="str">
        <f ca="1">IFERROR(__xludf.DUMMYFUNCTION("""COMPUTED_VALUE"""),"Михалев")</f>
        <v>Михалев</v>
      </c>
      <c r="C68" s="5" t="str">
        <f ca="1">IFERROR(__xludf.DUMMYFUNCTION("""COMPUTED_VALUE"""),"Никита")</f>
        <v>Никита</v>
      </c>
      <c r="D68" s="5" t="str">
        <f ca="1">IFERROR(__xludf.DUMMYFUNCTION("""COMPUTED_VALUE"""),"Олегович")</f>
        <v>Олегович</v>
      </c>
      <c r="E68" s="5" t="str">
        <f ca="1">IFERROR(__xludf.DUMMYFUNCTION("""COMPUTED_VALUE"""),"Monkiflip Games")</f>
        <v>Monkiflip Games</v>
      </c>
      <c r="F68" s="6" t="str">
        <f ca="1">IFERROR(__xludf.DUMMYFUNCTION("""COMPUTED_VALUE"""),"Разработка игр на Unity + Игровой арт")</f>
        <v>Разработка игр на Unity + Игровой арт</v>
      </c>
      <c r="G68" s="7">
        <f ca="1">IFERROR(__xludf.DUMMYFUNCTION("""COMPUTED_VALUE"""),100)</f>
        <v>100</v>
      </c>
    </row>
    <row r="69" spans="1:7" ht="13.2" x14ac:dyDescent="0.25">
      <c r="A69" s="5">
        <f ca="1">IFERROR(__xludf.DUMMYFUNCTION("""COMPUTED_VALUE"""),908)</f>
        <v>908</v>
      </c>
      <c r="B69" s="5" t="str">
        <f ca="1">IFERROR(__xludf.DUMMYFUNCTION("""COMPUTED_VALUE"""),"Паханов")</f>
        <v>Паханов</v>
      </c>
      <c r="C69" s="5" t="str">
        <f ca="1">IFERROR(__xludf.DUMMYFUNCTION("""COMPUTED_VALUE"""),"Александр")</f>
        <v>Александр</v>
      </c>
      <c r="D69" s="5" t="str">
        <f ca="1">IFERROR(__xludf.DUMMYFUNCTION("""COMPUTED_VALUE"""),"Александрович")</f>
        <v>Александрович</v>
      </c>
      <c r="E69" s="5" t="str">
        <f ca="1">IFERROR(__xludf.DUMMYFUNCTION("""COMPUTED_VALUE"""),"Monkiflip Games")</f>
        <v>Monkiflip Games</v>
      </c>
      <c r="F69" s="6" t="str">
        <f ca="1">IFERROR(__xludf.DUMMYFUNCTION("""COMPUTED_VALUE"""),"Разработка игр на Unity + Игровой арт")</f>
        <v>Разработка игр на Unity + Игровой арт</v>
      </c>
      <c r="G69" s="7">
        <f ca="1">IFERROR(__xludf.DUMMYFUNCTION("""COMPUTED_VALUE"""),100)</f>
        <v>100</v>
      </c>
    </row>
    <row r="70" spans="1:7" ht="13.2" x14ac:dyDescent="0.25">
      <c r="A70" s="5">
        <f ca="1">IFERROR(__xludf.DUMMYFUNCTION("""COMPUTED_VALUE"""),1131)</f>
        <v>1131</v>
      </c>
      <c r="B70" s="5" t="str">
        <f ca="1">IFERROR(__xludf.DUMMYFUNCTION("""COMPUTED_VALUE"""),"Суслов")</f>
        <v>Суслов</v>
      </c>
      <c r="C70" s="5" t="str">
        <f ca="1">IFERROR(__xludf.DUMMYFUNCTION("""COMPUTED_VALUE"""),"Александр")</f>
        <v>Александр</v>
      </c>
      <c r="D70" s="5" t="str">
        <f ca="1">IFERROR(__xludf.DUMMYFUNCTION("""COMPUTED_VALUE"""),"Дмитриевич")</f>
        <v>Дмитриевич</v>
      </c>
      <c r="E70" s="5" t="str">
        <f ca="1">IFERROR(__xludf.DUMMYFUNCTION("""COMPUTED_VALUE"""),"Monkiflip Games")</f>
        <v>Monkiflip Games</v>
      </c>
      <c r="F70" s="6" t="str">
        <f ca="1">IFERROR(__xludf.DUMMYFUNCTION("""COMPUTED_VALUE"""),"Разработка игр на Unity + Игровой арт")</f>
        <v>Разработка игр на Unity + Игровой арт</v>
      </c>
      <c r="G70" s="7">
        <f ca="1">IFERROR(__xludf.DUMMYFUNCTION("""COMPUTED_VALUE"""),100)</f>
        <v>100</v>
      </c>
    </row>
    <row r="71" spans="1:7" ht="13.2" x14ac:dyDescent="0.25">
      <c r="A71" s="5">
        <f ca="1">IFERROR(__xludf.DUMMYFUNCTION("""COMPUTED_VALUE"""),1381)</f>
        <v>1381</v>
      </c>
      <c r="B71" s="5" t="str">
        <f ca="1">IFERROR(__xludf.DUMMYFUNCTION("""COMPUTED_VALUE"""),"Якутова")</f>
        <v>Якутова</v>
      </c>
      <c r="C71" s="5" t="str">
        <f ca="1">IFERROR(__xludf.DUMMYFUNCTION("""COMPUTED_VALUE"""),"Екатерина")</f>
        <v>Екатерина</v>
      </c>
      <c r="D71" s="5" t="str">
        <f ca="1">IFERROR(__xludf.DUMMYFUNCTION("""COMPUTED_VALUE"""),"Сергеевна")</f>
        <v>Сергеевна</v>
      </c>
      <c r="E71" s="5" t="str">
        <f ca="1">IFERROR(__xludf.DUMMYFUNCTION("""COMPUTED_VALUE"""),"Monkiflip Games")</f>
        <v>Monkiflip Games</v>
      </c>
      <c r="F71" s="6" t="str">
        <f ca="1">IFERROR(__xludf.DUMMYFUNCTION("""COMPUTED_VALUE"""),"Разработка игр на Unity + Игровой арт")</f>
        <v>Разработка игр на Unity + Игровой арт</v>
      </c>
      <c r="G71" s="7">
        <f ca="1">IFERROR(__xludf.DUMMYFUNCTION("""COMPUTED_VALUE"""),100)</f>
        <v>100</v>
      </c>
    </row>
    <row r="72" spans="1:7" ht="26.4" x14ac:dyDescent="0.25">
      <c r="A72" s="5">
        <f ca="1">IFERROR(__xludf.DUMMYFUNCTION("""COMPUTED_VALUE"""),426)</f>
        <v>426</v>
      </c>
      <c r="B72" s="5" t="str">
        <f ca="1">IFERROR(__xludf.DUMMYFUNCTION("""COMPUTED_VALUE"""),"Зверев")</f>
        <v>Зверев</v>
      </c>
      <c r="C72" s="5" t="str">
        <f ca="1">IFERROR(__xludf.DUMMYFUNCTION("""COMPUTED_VALUE"""),"Артем")</f>
        <v>Артем</v>
      </c>
      <c r="D72" s="5" t="str">
        <f ca="1">IFERROR(__xludf.DUMMYFUNCTION("""COMPUTED_VALUE"""),"Сергеевич")</f>
        <v>Сергеевич</v>
      </c>
      <c r="E72" s="5" t="str">
        <f ca="1">IFERROR(__xludf.DUMMYFUNCTION("""COMPUTED_VALUE"""),"RINEYA")</f>
        <v>RINEYA</v>
      </c>
      <c r="F72" s="6" t="str">
        <f ca="1">IFERROR(__xludf.DUMMYFUNCTION("""COMPUTED_VALUE"""),"Создание игрового ПО для ПК в жанре puzzle (головоломка)")</f>
        <v>Создание игрового ПО для ПК в жанре puzzle (головоломка)</v>
      </c>
      <c r="G72" s="7">
        <f ca="1">IFERROR(__xludf.DUMMYFUNCTION("""COMPUTED_VALUE"""),85)</f>
        <v>85</v>
      </c>
    </row>
    <row r="73" spans="1:7" ht="26.4" x14ac:dyDescent="0.25">
      <c r="A73" s="5">
        <f ca="1">IFERROR(__xludf.DUMMYFUNCTION("""COMPUTED_VALUE"""),458)</f>
        <v>458</v>
      </c>
      <c r="B73" s="5" t="str">
        <f ca="1">IFERROR(__xludf.DUMMYFUNCTION("""COMPUTED_VALUE"""),"Иванов")</f>
        <v>Иванов</v>
      </c>
      <c r="C73" s="5" t="str">
        <f ca="1">IFERROR(__xludf.DUMMYFUNCTION("""COMPUTED_VALUE"""),"Никита")</f>
        <v>Никита</v>
      </c>
      <c r="D73" s="5" t="str">
        <f ca="1">IFERROR(__xludf.DUMMYFUNCTION("""COMPUTED_VALUE"""),"Васильевич")</f>
        <v>Васильевич</v>
      </c>
      <c r="E73" s="5" t="str">
        <f ca="1">IFERROR(__xludf.DUMMYFUNCTION("""COMPUTED_VALUE"""),"RINEYA")</f>
        <v>RINEYA</v>
      </c>
      <c r="F73" s="6" t="str">
        <f ca="1">IFERROR(__xludf.DUMMYFUNCTION("""COMPUTED_VALUE"""),"Создание игрового ПО для ПК в жанре puzzle (головоломка)")</f>
        <v>Создание игрового ПО для ПК в жанре puzzle (головоломка)</v>
      </c>
      <c r="G73" s="7">
        <f ca="1">IFERROR(__xludf.DUMMYFUNCTION("""COMPUTED_VALUE"""),85)</f>
        <v>85</v>
      </c>
    </row>
    <row r="74" spans="1:7" ht="26.4" x14ac:dyDescent="0.25">
      <c r="A74" s="5">
        <f ca="1">IFERROR(__xludf.DUMMYFUNCTION("""COMPUTED_VALUE"""),518)</f>
        <v>518</v>
      </c>
      <c r="B74" s="5" t="str">
        <f ca="1">IFERROR(__xludf.DUMMYFUNCTION("""COMPUTED_VALUE"""),"Китушкин")</f>
        <v>Китушкин</v>
      </c>
      <c r="C74" s="5" t="str">
        <f ca="1">IFERROR(__xludf.DUMMYFUNCTION("""COMPUTED_VALUE"""),"Данил")</f>
        <v>Данил</v>
      </c>
      <c r="D74" s="5" t="str">
        <f ca="1">IFERROR(__xludf.DUMMYFUNCTION("""COMPUTED_VALUE"""),"Яковлевич")</f>
        <v>Яковлевич</v>
      </c>
      <c r="E74" s="5" t="str">
        <f ca="1">IFERROR(__xludf.DUMMYFUNCTION("""COMPUTED_VALUE"""),"RINEYA")</f>
        <v>RINEYA</v>
      </c>
      <c r="F74" s="6" t="str">
        <f ca="1">IFERROR(__xludf.DUMMYFUNCTION("""COMPUTED_VALUE"""),"Создание игрового ПО для ПК в жанре puzzle (головоломка)")</f>
        <v>Создание игрового ПО для ПК в жанре puzzle (головоломка)</v>
      </c>
      <c r="G74" s="7">
        <f ca="1">IFERROR(__xludf.DUMMYFUNCTION("""COMPUTED_VALUE"""),85)</f>
        <v>85</v>
      </c>
    </row>
    <row r="75" spans="1:7" ht="26.4" x14ac:dyDescent="0.25">
      <c r="A75" s="5">
        <f ca="1">IFERROR(__xludf.DUMMYFUNCTION("""COMPUTED_VALUE"""),1019)</f>
        <v>1019</v>
      </c>
      <c r="B75" s="5" t="str">
        <f ca="1">IFERROR(__xludf.DUMMYFUNCTION("""COMPUTED_VALUE"""),"Савватеев")</f>
        <v>Савватеев</v>
      </c>
      <c r="C75" s="5" t="str">
        <f ca="1">IFERROR(__xludf.DUMMYFUNCTION("""COMPUTED_VALUE"""),"Даниил")</f>
        <v>Даниил</v>
      </c>
      <c r="D75" s="5" t="str">
        <f ca="1">IFERROR(__xludf.DUMMYFUNCTION("""COMPUTED_VALUE"""),"Владимирович")</f>
        <v>Владимирович</v>
      </c>
      <c r="E75" s="5" t="str">
        <f ca="1">IFERROR(__xludf.DUMMYFUNCTION("""COMPUTED_VALUE"""),"RINEYA")</f>
        <v>RINEYA</v>
      </c>
      <c r="F75" s="6" t="str">
        <f ca="1">IFERROR(__xludf.DUMMYFUNCTION("""COMPUTED_VALUE"""),"Создание игрового ПО для ПК в жанре puzzle (головоломка)")</f>
        <v>Создание игрового ПО для ПК в жанре puzzle (головоломка)</v>
      </c>
      <c r="G75" s="7">
        <f ca="1">IFERROR(__xludf.DUMMYFUNCTION("""COMPUTED_VALUE"""),85)</f>
        <v>85</v>
      </c>
    </row>
    <row r="76" spans="1:7" ht="26.4" x14ac:dyDescent="0.25">
      <c r="A76" s="5">
        <f ca="1">IFERROR(__xludf.DUMMYFUNCTION("""COMPUTED_VALUE"""),220)</f>
        <v>220</v>
      </c>
      <c r="B76" s="5" t="str">
        <f ca="1">IFERROR(__xludf.DUMMYFUNCTION("""COMPUTED_VALUE"""),"Воронцов")</f>
        <v>Воронцов</v>
      </c>
      <c r="C76" s="5" t="str">
        <f ca="1">IFERROR(__xludf.DUMMYFUNCTION("""COMPUTED_VALUE"""),"Михаил")</f>
        <v>Михаил</v>
      </c>
      <c r="D76" s="5" t="str">
        <f ca="1">IFERROR(__xludf.DUMMYFUNCTION("""COMPUTED_VALUE"""),"Сергеевич")</f>
        <v>Сергеевич</v>
      </c>
      <c r="E76" s="5" t="str">
        <f ca="1">IFERROR(__xludf.DUMMYFUNCTION("""COMPUTED_VALUE"""),"RTF_RANGERS")</f>
        <v>RTF_RANGERS</v>
      </c>
      <c r="F76" s="6" t="str">
        <f ca="1">IFERROR(__xludf.DUMMYFUNCTION("""COMPUTED_VALUE"""),"Создание эволюционной модели возникновения интеллекта")</f>
        <v>Создание эволюционной модели возникновения интеллекта</v>
      </c>
      <c r="G76" s="7">
        <f ca="1">IFERROR(__xludf.DUMMYFUNCTION("""COMPUTED_VALUE"""),92)</f>
        <v>92</v>
      </c>
    </row>
    <row r="77" spans="1:7" ht="26.4" x14ac:dyDescent="0.25">
      <c r="A77" s="5">
        <f ca="1">IFERROR(__xludf.DUMMYFUNCTION("""COMPUTED_VALUE"""),297)</f>
        <v>297</v>
      </c>
      <c r="B77" s="5" t="str">
        <f ca="1">IFERROR(__xludf.DUMMYFUNCTION("""COMPUTED_VALUE"""),"Гуськов")</f>
        <v>Гуськов</v>
      </c>
      <c r="C77" s="5" t="str">
        <f ca="1">IFERROR(__xludf.DUMMYFUNCTION("""COMPUTED_VALUE"""),"Захар")</f>
        <v>Захар</v>
      </c>
      <c r="D77" s="5" t="str">
        <f ca="1">IFERROR(__xludf.DUMMYFUNCTION("""COMPUTED_VALUE"""),"Максимович")</f>
        <v>Максимович</v>
      </c>
      <c r="E77" s="5" t="str">
        <f ca="1">IFERROR(__xludf.DUMMYFUNCTION("""COMPUTED_VALUE"""),"RTF_RANGERS")</f>
        <v>RTF_RANGERS</v>
      </c>
      <c r="F77" s="6" t="str">
        <f ca="1">IFERROR(__xludf.DUMMYFUNCTION("""COMPUTED_VALUE"""),"Создание эволюционной модели возникновения интеллекта")</f>
        <v>Создание эволюционной модели возникновения интеллекта</v>
      </c>
      <c r="G77" s="7">
        <f ca="1">IFERROR(__xludf.DUMMYFUNCTION("""COMPUTED_VALUE"""),92)</f>
        <v>92</v>
      </c>
    </row>
    <row r="78" spans="1:7" ht="26.4" x14ac:dyDescent="0.25">
      <c r="A78" s="5">
        <f ca="1">IFERROR(__xludf.DUMMYFUNCTION("""COMPUTED_VALUE"""),977)</f>
        <v>977</v>
      </c>
      <c r="B78" s="5" t="str">
        <f ca="1">IFERROR(__xludf.DUMMYFUNCTION("""COMPUTED_VALUE"""),"Пятков")</f>
        <v>Пятков</v>
      </c>
      <c r="C78" s="5" t="str">
        <f ca="1">IFERROR(__xludf.DUMMYFUNCTION("""COMPUTED_VALUE"""),"Владислав")</f>
        <v>Владислав</v>
      </c>
      <c r="D78" s="5" t="str">
        <f ca="1">IFERROR(__xludf.DUMMYFUNCTION("""COMPUTED_VALUE"""),"Александрович")</f>
        <v>Александрович</v>
      </c>
      <c r="E78" s="5" t="str">
        <f ca="1">IFERROR(__xludf.DUMMYFUNCTION("""COMPUTED_VALUE"""),"RTF_RANGERS")</f>
        <v>RTF_RANGERS</v>
      </c>
      <c r="F78" s="6" t="str">
        <f ca="1">IFERROR(__xludf.DUMMYFUNCTION("""COMPUTED_VALUE"""),"Создание эволюционной модели возникновения интеллекта")</f>
        <v>Создание эволюционной модели возникновения интеллекта</v>
      </c>
      <c r="G78" s="7">
        <f ca="1">IFERROR(__xludf.DUMMYFUNCTION("""COMPUTED_VALUE"""),92)</f>
        <v>92</v>
      </c>
    </row>
    <row r="79" spans="1:7" ht="13.2" x14ac:dyDescent="0.25">
      <c r="A79" s="5">
        <f ca="1">IFERROR(__xludf.DUMMYFUNCTION("""COMPUTED_VALUE"""),731)</f>
        <v>731</v>
      </c>
      <c r="B79" s="5" t="str">
        <f ca="1">IFERROR(__xludf.DUMMYFUNCTION("""COMPUTED_VALUE"""),"Масалов")</f>
        <v>Масалов</v>
      </c>
      <c r="C79" s="5" t="str">
        <f ca="1">IFERROR(__xludf.DUMMYFUNCTION("""COMPUTED_VALUE"""),"Кирилл")</f>
        <v>Кирилл</v>
      </c>
      <c r="D79" s="5" t="str">
        <f ca="1">IFERROR(__xludf.DUMMYFUNCTION("""COMPUTED_VALUE"""),"Александрович")</f>
        <v>Александрович</v>
      </c>
      <c r="E79" s="5" t="str">
        <f ca="1">IFERROR(__xludf.DUMMYFUNCTION("""COMPUTED_VALUE"""),"Sliva Entertainment")</f>
        <v>Sliva Entertainment</v>
      </c>
      <c r="F79" s="6" t="str">
        <f ca="1">IFERROR(__xludf.DUMMYFUNCTION("""COMPUTED_VALUE"""),"Создание компьютерной игры")</f>
        <v>Создание компьютерной игры</v>
      </c>
      <c r="G79" s="7">
        <f ca="1">IFERROR(__xludf.DUMMYFUNCTION("""COMPUTED_VALUE"""),90)</f>
        <v>90</v>
      </c>
    </row>
    <row r="80" spans="1:7" ht="13.2" x14ac:dyDescent="0.25">
      <c r="A80" s="5">
        <f ca="1">IFERROR(__xludf.DUMMYFUNCTION("""COMPUTED_VALUE"""),732)</f>
        <v>732</v>
      </c>
      <c r="B80" s="5" t="str">
        <f ca="1">IFERROR(__xludf.DUMMYFUNCTION("""COMPUTED_VALUE"""),"Маслаков")</f>
        <v>Маслаков</v>
      </c>
      <c r="C80" s="5" t="str">
        <f ca="1">IFERROR(__xludf.DUMMYFUNCTION("""COMPUTED_VALUE"""),"Владислав")</f>
        <v>Владислав</v>
      </c>
      <c r="D80" s="5" t="str">
        <f ca="1">IFERROR(__xludf.DUMMYFUNCTION("""COMPUTED_VALUE"""),"Денисович")</f>
        <v>Денисович</v>
      </c>
      <c r="E80" s="5" t="str">
        <f ca="1">IFERROR(__xludf.DUMMYFUNCTION("""COMPUTED_VALUE"""),"Sliva Entertainment")</f>
        <v>Sliva Entertainment</v>
      </c>
      <c r="F80" s="6" t="str">
        <f ca="1">IFERROR(__xludf.DUMMYFUNCTION("""COMPUTED_VALUE"""),"Создание компьютерной игры")</f>
        <v>Создание компьютерной игры</v>
      </c>
      <c r="G80" s="7">
        <f ca="1">IFERROR(__xludf.DUMMYFUNCTION("""COMPUTED_VALUE"""),90)</f>
        <v>90</v>
      </c>
    </row>
    <row r="81" spans="1:7" ht="13.2" x14ac:dyDescent="0.25">
      <c r="A81" s="5">
        <f ca="1">IFERROR(__xludf.DUMMYFUNCTION("""COMPUTED_VALUE"""),779)</f>
        <v>779</v>
      </c>
      <c r="B81" s="5" t="str">
        <f ca="1">IFERROR(__xludf.DUMMYFUNCTION("""COMPUTED_VALUE"""),"Мокрушин")</f>
        <v>Мокрушин</v>
      </c>
      <c r="C81" s="5" t="str">
        <f ca="1">IFERROR(__xludf.DUMMYFUNCTION("""COMPUTED_VALUE"""),"Павел")</f>
        <v>Павел</v>
      </c>
      <c r="D81" s="5" t="str">
        <f ca="1">IFERROR(__xludf.DUMMYFUNCTION("""COMPUTED_VALUE"""),"Михайлович")</f>
        <v>Михайлович</v>
      </c>
      <c r="E81" s="5" t="str">
        <f ca="1">IFERROR(__xludf.DUMMYFUNCTION("""COMPUTED_VALUE"""),"Sliva Entertainment")</f>
        <v>Sliva Entertainment</v>
      </c>
      <c r="F81" s="6" t="str">
        <f ca="1">IFERROR(__xludf.DUMMYFUNCTION("""COMPUTED_VALUE"""),"Создание компьютерной игры")</f>
        <v>Создание компьютерной игры</v>
      </c>
      <c r="G81" s="7">
        <f ca="1">IFERROR(__xludf.DUMMYFUNCTION("""COMPUTED_VALUE"""),90)</f>
        <v>90</v>
      </c>
    </row>
    <row r="82" spans="1:7" ht="13.2" x14ac:dyDescent="0.25">
      <c r="A82" s="5">
        <f ca="1">IFERROR(__xludf.DUMMYFUNCTION("""COMPUTED_VALUE"""),1023)</f>
        <v>1023</v>
      </c>
      <c r="B82" s="5" t="str">
        <f ca="1">IFERROR(__xludf.DUMMYFUNCTION("""COMPUTED_VALUE"""),"Савченков")</f>
        <v>Савченков</v>
      </c>
      <c r="C82" s="5" t="str">
        <f ca="1">IFERROR(__xludf.DUMMYFUNCTION("""COMPUTED_VALUE"""),"Иван")</f>
        <v>Иван</v>
      </c>
      <c r="D82" s="5" t="str">
        <f ca="1">IFERROR(__xludf.DUMMYFUNCTION("""COMPUTED_VALUE"""),"Алексеевич")</f>
        <v>Алексеевич</v>
      </c>
      <c r="E82" s="5" t="str">
        <f ca="1">IFERROR(__xludf.DUMMYFUNCTION("""COMPUTED_VALUE"""),"Sliva Entertainment")</f>
        <v>Sliva Entertainment</v>
      </c>
      <c r="F82" s="6" t="str">
        <f ca="1">IFERROR(__xludf.DUMMYFUNCTION("""COMPUTED_VALUE"""),"Создание компьютерной игры")</f>
        <v>Создание компьютерной игры</v>
      </c>
      <c r="G82" s="7">
        <f ca="1">IFERROR(__xludf.DUMMYFUNCTION("""COMPUTED_VALUE"""),90)</f>
        <v>90</v>
      </c>
    </row>
    <row r="83" spans="1:7" ht="13.2" x14ac:dyDescent="0.25">
      <c r="A83" s="5">
        <f ca="1">IFERROR(__xludf.DUMMYFUNCTION("""COMPUTED_VALUE"""),1185)</f>
        <v>1185</v>
      </c>
      <c r="B83" s="5" t="str">
        <f ca="1">IFERROR(__xludf.DUMMYFUNCTION("""COMPUTED_VALUE"""),"Тюленев")</f>
        <v>Тюленев</v>
      </c>
      <c r="C83" s="5" t="str">
        <f ca="1">IFERROR(__xludf.DUMMYFUNCTION("""COMPUTED_VALUE"""),"Сергей")</f>
        <v>Сергей</v>
      </c>
      <c r="D83" s="5" t="str">
        <f ca="1">IFERROR(__xludf.DUMMYFUNCTION("""COMPUTED_VALUE"""),"Николаевич")</f>
        <v>Николаевич</v>
      </c>
      <c r="E83" s="5" t="str">
        <f ca="1">IFERROR(__xludf.DUMMYFUNCTION("""COMPUTED_VALUE"""),"Sliva Entertainment")</f>
        <v>Sliva Entertainment</v>
      </c>
      <c r="F83" s="6" t="str">
        <f ca="1">IFERROR(__xludf.DUMMYFUNCTION("""COMPUTED_VALUE"""),"Создание компьютерной игры")</f>
        <v>Создание компьютерной игры</v>
      </c>
      <c r="G83" s="7">
        <f ca="1">IFERROR(__xludf.DUMMYFUNCTION("""COMPUTED_VALUE"""),90)</f>
        <v>90</v>
      </c>
    </row>
    <row r="84" spans="1:7" ht="13.2" x14ac:dyDescent="0.25">
      <c r="A84" s="5">
        <f ca="1">IFERROR(__xludf.DUMMYFUNCTION("""COMPUTED_VALUE"""),1271)</f>
        <v>1271</v>
      </c>
      <c r="B84" s="5" t="str">
        <f ca="1">IFERROR(__xludf.DUMMYFUNCTION("""COMPUTED_VALUE"""),"Чашкин")</f>
        <v>Чашкин</v>
      </c>
      <c r="C84" s="5" t="str">
        <f ca="1">IFERROR(__xludf.DUMMYFUNCTION("""COMPUTED_VALUE"""),"Никита")</f>
        <v>Никита</v>
      </c>
      <c r="D84" s="5" t="str">
        <f ca="1">IFERROR(__xludf.DUMMYFUNCTION("""COMPUTED_VALUE"""),"Андреевич")</f>
        <v>Андреевич</v>
      </c>
      <c r="E84" s="5" t="str">
        <f ca="1">IFERROR(__xludf.DUMMYFUNCTION("""COMPUTED_VALUE"""),"Sliva Entertainment")</f>
        <v>Sliva Entertainment</v>
      </c>
      <c r="F84" s="6" t="str">
        <f ca="1">IFERROR(__xludf.DUMMYFUNCTION("""COMPUTED_VALUE"""),"Создание компьютерной игры")</f>
        <v>Создание компьютерной игры</v>
      </c>
      <c r="G84" s="7">
        <f ca="1">IFERROR(__xludf.DUMMYFUNCTION("""COMPUTED_VALUE"""),90)</f>
        <v>90</v>
      </c>
    </row>
    <row r="85" spans="1:7" ht="13.2" x14ac:dyDescent="0.25">
      <c r="A85" s="5">
        <f ca="1">IFERROR(__xludf.DUMMYFUNCTION("""COMPUTED_VALUE"""),481)</f>
        <v>481</v>
      </c>
      <c r="B85" s="5" t="str">
        <f ca="1">IFERROR(__xludf.DUMMYFUNCTION("""COMPUTED_VALUE"""),"Казанцев")</f>
        <v>Казанцев</v>
      </c>
      <c r="C85" s="5" t="str">
        <f ca="1">IFERROR(__xludf.DUMMYFUNCTION("""COMPUTED_VALUE"""),"Сергей")</f>
        <v>Сергей</v>
      </c>
      <c r="D85" s="5" t="str">
        <f ca="1">IFERROR(__xludf.DUMMYFUNCTION("""COMPUTED_VALUE"""),"Иванович")</f>
        <v>Иванович</v>
      </c>
      <c r="E85" s="5" t="str">
        <f ca="1">IFERROR(__xludf.DUMMYFUNCTION("""COMPUTED_VALUE"""),"Snedson")</f>
        <v>Snedson</v>
      </c>
      <c r="F85" s="6" t="str">
        <f ca="1">IFERROR(__xludf.DUMMYFUNCTION("""COMPUTED_VALUE"""),"Разработка школьного агрегатора Snotra")</f>
        <v>Разработка школьного агрегатора Snotra</v>
      </c>
      <c r="G85" s="7">
        <f ca="1">IFERROR(__xludf.DUMMYFUNCTION("""COMPUTED_VALUE"""),83)</f>
        <v>83</v>
      </c>
    </row>
    <row r="86" spans="1:7" ht="13.2" x14ac:dyDescent="0.25">
      <c r="A86" s="5">
        <f ca="1">IFERROR(__xludf.DUMMYFUNCTION("""COMPUTED_VALUE"""),602)</f>
        <v>602</v>
      </c>
      <c r="B86" s="5" t="str">
        <f ca="1">IFERROR(__xludf.DUMMYFUNCTION("""COMPUTED_VALUE"""),"Кочнев")</f>
        <v>Кочнев</v>
      </c>
      <c r="C86" s="5" t="str">
        <f ca="1">IFERROR(__xludf.DUMMYFUNCTION("""COMPUTED_VALUE"""),"Лев")</f>
        <v>Лев</v>
      </c>
      <c r="D86" s="5" t="str">
        <f ca="1">IFERROR(__xludf.DUMMYFUNCTION("""COMPUTED_VALUE"""),"Дмитриевич")</f>
        <v>Дмитриевич</v>
      </c>
      <c r="E86" s="5" t="str">
        <f ca="1">IFERROR(__xludf.DUMMYFUNCTION("""COMPUTED_VALUE"""),"Snedson")</f>
        <v>Snedson</v>
      </c>
      <c r="F86" s="6" t="str">
        <f ca="1">IFERROR(__xludf.DUMMYFUNCTION("""COMPUTED_VALUE"""),"Разработка школьного агрегатора Snotra")</f>
        <v>Разработка школьного агрегатора Snotra</v>
      </c>
      <c r="G86" s="7">
        <f ca="1">IFERROR(__xludf.DUMMYFUNCTION("""COMPUTED_VALUE"""),83)</f>
        <v>83</v>
      </c>
    </row>
    <row r="87" spans="1:7" ht="13.2" x14ac:dyDescent="0.25">
      <c r="A87" s="5">
        <f ca="1">IFERROR(__xludf.DUMMYFUNCTION("""COMPUTED_VALUE"""),863)</f>
        <v>863</v>
      </c>
      <c r="B87" s="5" t="str">
        <f ca="1">IFERROR(__xludf.DUMMYFUNCTION("""COMPUTED_VALUE"""),"Носов")</f>
        <v>Носов</v>
      </c>
      <c r="C87" s="5" t="str">
        <f ca="1">IFERROR(__xludf.DUMMYFUNCTION("""COMPUTED_VALUE"""),"Глеб")</f>
        <v>Глеб</v>
      </c>
      <c r="D87" s="5" t="str">
        <f ca="1">IFERROR(__xludf.DUMMYFUNCTION("""COMPUTED_VALUE"""),"Евгеньевич")</f>
        <v>Евгеньевич</v>
      </c>
      <c r="E87" s="5" t="str">
        <f ca="1">IFERROR(__xludf.DUMMYFUNCTION("""COMPUTED_VALUE"""),"Snedson")</f>
        <v>Snedson</v>
      </c>
      <c r="F87" s="6" t="str">
        <f ca="1">IFERROR(__xludf.DUMMYFUNCTION("""COMPUTED_VALUE"""),"Разработка школьного агрегатора Snotra")</f>
        <v>Разработка школьного агрегатора Snotra</v>
      </c>
      <c r="G87" s="7">
        <f ca="1">IFERROR(__xludf.DUMMYFUNCTION("""COMPUTED_VALUE"""),83)</f>
        <v>83</v>
      </c>
    </row>
    <row r="88" spans="1:7" ht="13.2" x14ac:dyDescent="0.25">
      <c r="A88" s="5">
        <f ca="1">IFERROR(__xludf.DUMMYFUNCTION("""COMPUTED_VALUE"""),207)</f>
        <v>207</v>
      </c>
      <c r="B88" s="5" t="str">
        <f ca="1">IFERROR(__xludf.DUMMYFUNCTION("""COMPUTED_VALUE"""),"Власов")</f>
        <v>Власов</v>
      </c>
      <c r="C88" s="5" t="str">
        <f ca="1">IFERROR(__xludf.DUMMYFUNCTION("""COMPUTED_VALUE"""),"Алексей")</f>
        <v>Алексей</v>
      </c>
      <c r="D88" s="5" t="str">
        <f ca="1">IFERROR(__xludf.DUMMYFUNCTION("""COMPUTED_VALUE"""),"Александрович")</f>
        <v>Александрович</v>
      </c>
      <c r="E88" s="5" t="str">
        <f ca="1">IFERROR(__xludf.DUMMYFUNCTION("""COMPUTED_VALUE"""),"Sons Of Sparda")</f>
        <v>Sons Of Sparda</v>
      </c>
      <c r="F88" s="6" t="str">
        <f ca="1">IFERROR(__xludf.DUMMYFUNCTION("""COMPUTED_VALUE"""),"Разработка игры Dungeon Crawler")</f>
        <v>Разработка игры Dungeon Crawler</v>
      </c>
      <c r="G88" s="7">
        <f ca="1">IFERROR(__xludf.DUMMYFUNCTION("""COMPUTED_VALUE"""),70)</f>
        <v>70</v>
      </c>
    </row>
    <row r="89" spans="1:7" ht="13.2" x14ac:dyDescent="0.25">
      <c r="A89" s="5">
        <f ca="1">IFERROR(__xludf.DUMMYFUNCTION("""COMPUTED_VALUE"""),805)</f>
        <v>805</v>
      </c>
      <c r="B89" s="5" t="str">
        <f ca="1">IFERROR(__xludf.DUMMYFUNCTION("""COMPUTED_VALUE"""),"Мухортиков")</f>
        <v>Мухортиков</v>
      </c>
      <c r="C89" s="5" t="str">
        <f ca="1">IFERROR(__xludf.DUMMYFUNCTION("""COMPUTED_VALUE"""),"Даниил")</f>
        <v>Даниил</v>
      </c>
      <c r="D89" s="5" t="str">
        <f ca="1">IFERROR(__xludf.DUMMYFUNCTION("""COMPUTED_VALUE"""),"Александрович")</f>
        <v>Александрович</v>
      </c>
      <c r="E89" s="5" t="str">
        <f ca="1">IFERROR(__xludf.DUMMYFUNCTION("""COMPUTED_VALUE"""),"Sons Of Sparda")</f>
        <v>Sons Of Sparda</v>
      </c>
      <c r="F89" s="6" t="str">
        <f ca="1">IFERROR(__xludf.DUMMYFUNCTION("""COMPUTED_VALUE"""),"Разработка игры Dungeon Crawler")</f>
        <v>Разработка игры Dungeon Crawler</v>
      </c>
      <c r="G89" s="7">
        <f ca="1">IFERROR(__xludf.DUMMYFUNCTION("""COMPUTED_VALUE"""),70)</f>
        <v>70</v>
      </c>
    </row>
    <row r="90" spans="1:7" ht="13.2" x14ac:dyDescent="0.25">
      <c r="A90" s="5">
        <f ca="1">IFERROR(__xludf.DUMMYFUNCTION("""COMPUTED_VALUE"""),401)</f>
        <v>401</v>
      </c>
      <c r="B90" s="5" t="str">
        <f ca="1">IFERROR(__xludf.DUMMYFUNCTION("""COMPUTED_VALUE"""),"Завьялова")</f>
        <v>Завьялова</v>
      </c>
      <c r="C90" s="5" t="str">
        <f ca="1">IFERROR(__xludf.DUMMYFUNCTION("""COMPUTED_VALUE"""),"Екатерина")</f>
        <v>Екатерина</v>
      </c>
      <c r="D90" s="5" t="str">
        <f ca="1">IFERROR(__xludf.DUMMYFUNCTION("""COMPUTED_VALUE"""),"Николаевна")</f>
        <v>Николаевна</v>
      </c>
      <c r="E90" s="5" t="str">
        <f ca="1">IFERROR(__xludf.DUMMYFUNCTION("""COMPUTED_VALUE"""),"Temporary Pony Team")</f>
        <v>Temporary Pony Team</v>
      </c>
      <c r="F90" s="6" t="str">
        <f ca="1">IFERROR(__xludf.DUMMYFUNCTION("""COMPUTED_VALUE"""),"Разработка игр на Unity + Игровой арт")</f>
        <v>Разработка игр на Unity + Игровой арт</v>
      </c>
      <c r="G90" s="7">
        <f ca="1">IFERROR(__xludf.DUMMYFUNCTION("""COMPUTED_VALUE"""),100)</f>
        <v>100</v>
      </c>
    </row>
    <row r="91" spans="1:7" ht="13.2" x14ac:dyDescent="0.25">
      <c r="A91" s="5">
        <f ca="1">IFERROR(__xludf.DUMMYFUNCTION("""COMPUTED_VALUE"""),577)</f>
        <v>577</v>
      </c>
      <c r="B91" s="5" t="str">
        <f ca="1">IFERROR(__xludf.DUMMYFUNCTION("""COMPUTED_VALUE"""),"Копосов")</f>
        <v>Копосов</v>
      </c>
      <c r="C91" s="5" t="str">
        <f ca="1">IFERROR(__xludf.DUMMYFUNCTION("""COMPUTED_VALUE"""),"Алексей")</f>
        <v>Алексей</v>
      </c>
      <c r="D91" s="5" t="str">
        <f ca="1">IFERROR(__xludf.DUMMYFUNCTION("""COMPUTED_VALUE"""),"Павлович")</f>
        <v>Павлович</v>
      </c>
      <c r="E91" s="5" t="str">
        <f ca="1">IFERROR(__xludf.DUMMYFUNCTION("""COMPUTED_VALUE"""),"Temporary Pony Team")</f>
        <v>Temporary Pony Team</v>
      </c>
      <c r="F91" s="6" t="str">
        <f ca="1">IFERROR(__xludf.DUMMYFUNCTION("""COMPUTED_VALUE"""),"Разработка игр на Unity + Игровой арт")</f>
        <v>Разработка игр на Unity + Игровой арт</v>
      </c>
      <c r="G91" s="7">
        <f ca="1">IFERROR(__xludf.DUMMYFUNCTION("""COMPUTED_VALUE"""),100)</f>
        <v>100</v>
      </c>
    </row>
    <row r="92" spans="1:7" ht="13.2" x14ac:dyDescent="0.25">
      <c r="A92" s="5">
        <f ca="1">IFERROR(__xludf.DUMMYFUNCTION("""COMPUTED_VALUE"""),637)</f>
        <v>637</v>
      </c>
      <c r="B92" s="5" t="str">
        <f ca="1">IFERROR(__xludf.DUMMYFUNCTION("""COMPUTED_VALUE"""),"Кулева")</f>
        <v>Кулева</v>
      </c>
      <c r="C92" s="5" t="str">
        <f ca="1">IFERROR(__xludf.DUMMYFUNCTION("""COMPUTED_VALUE"""),"Дарья")</f>
        <v>Дарья</v>
      </c>
      <c r="D92" s="5" t="str">
        <f ca="1">IFERROR(__xludf.DUMMYFUNCTION("""COMPUTED_VALUE"""),"Андреевна")</f>
        <v>Андреевна</v>
      </c>
      <c r="E92" s="5" t="str">
        <f ca="1">IFERROR(__xludf.DUMMYFUNCTION("""COMPUTED_VALUE"""),"Temporary Pony Team")</f>
        <v>Temporary Pony Team</v>
      </c>
      <c r="F92" s="6" t="str">
        <f ca="1">IFERROR(__xludf.DUMMYFUNCTION("""COMPUTED_VALUE"""),"Разработка игр на Unity + Игровой арт")</f>
        <v>Разработка игр на Unity + Игровой арт</v>
      </c>
      <c r="G92" s="7">
        <f ca="1">IFERROR(__xludf.DUMMYFUNCTION("""COMPUTED_VALUE"""),100)</f>
        <v>100</v>
      </c>
    </row>
    <row r="93" spans="1:7" ht="13.2" x14ac:dyDescent="0.25">
      <c r="A93" s="5">
        <f ca="1">IFERROR(__xludf.DUMMYFUNCTION("""COMPUTED_VALUE"""),646)</f>
        <v>646</v>
      </c>
      <c r="B93" s="5" t="str">
        <f ca="1">IFERROR(__xludf.DUMMYFUNCTION("""COMPUTED_VALUE"""),"Курбатова")</f>
        <v>Курбатова</v>
      </c>
      <c r="C93" s="5" t="str">
        <f ca="1">IFERROR(__xludf.DUMMYFUNCTION("""COMPUTED_VALUE"""),"Анна")</f>
        <v>Анна</v>
      </c>
      <c r="D93" s="5" t="str">
        <f ca="1">IFERROR(__xludf.DUMMYFUNCTION("""COMPUTED_VALUE"""),"Евгеньевна")</f>
        <v>Евгеньевна</v>
      </c>
      <c r="E93" s="5" t="str">
        <f ca="1">IFERROR(__xludf.DUMMYFUNCTION("""COMPUTED_VALUE"""),"Temporary Pony Team")</f>
        <v>Temporary Pony Team</v>
      </c>
      <c r="F93" s="6" t="str">
        <f ca="1">IFERROR(__xludf.DUMMYFUNCTION("""COMPUTED_VALUE"""),"Разработка игр на Unity + Игровой арт")</f>
        <v>Разработка игр на Unity + Игровой арт</v>
      </c>
      <c r="G93" s="7">
        <f ca="1">IFERROR(__xludf.DUMMYFUNCTION("""COMPUTED_VALUE"""),100)</f>
        <v>100</v>
      </c>
    </row>
    <row r="94" spans="1:7" ht="13.2" x14ac:dyDescent="0.25">
      <c r="A94" s="5">
        <f ca="1">IFERROR(__xludf.DUMMYFUNCTION("""COMPUTED_VALUE"""),652)</f>
        <v>652</v>
      </c>
      <c r="B94" s="5" t="str">
        <f ca="1">IFERROR(__xludf.DUMMYFUNCTION("""COMPUTED_VALUE"""),"Кучеренко")</f>
        <v>Кучеренко</v>
      </c>
      <c r="C94" s="5" t="str">
        <f ca="1">IFERROR(__xludf.DUMMYFUNCTION("""COMPUTED_VALUE"""),"Алексей")</f>
        <v>Алексей</v>
      </c>
      <c r="D94" s="5" t="str">
        <f ca="1">IFERROR(__xludf.DUMMYFUNCTION("""COMPUTED_VALUE"""),"Викторович")</f>
        <v>Викторович</v>
      </c>
      <c r="E94" s="5" t="str">
        <f ca="1">IFERROR(__xludf.DUMMYFUNCTION("""COMPUTED_VALUE"""),"Temporary Pony Team")</f>
        <v>Temporary Pony Team</v>
      </c>
      <c r="F94" s="6" t="str">
        <f ca="1">IFERROR(__xludf.DUMMYFUNCTION("""COMPUTED_VALUE"""),"Разработка игр на Unity + Игровой арт")</f>
        <v>Разработка игр на Unity + Игровой арт</v>
      </c>
      <c r="G94" s="7">
        <f ca="1">IFERROR(__xludf.DUMMYFUNCTION("""COMPUTED_VALUE"""),100)</f>
        <v>100</v>
      </c>
    </row>
    <row r="95" spans="1:7" ht="13.2" x14ac:dyDescent="0.25">
      <c r="A95" s="5">
        <f ca="1">IFERROR(__xludf.DUMMYFUNCTION("""COMPUTED_VALUE"""),856)</f>
        <v>856</v>
      </c>
      <c r="B95" s="5" t="str">
        <f ca="1">IFERROR(__xludf.DUMMYFUNCTION("""COMPUTED_VALUE"""),"Новожилова")</f>
        <v>Новожилова</v>
      </c>
      <c r="C95" s="5" t="str">
        <f ca="1">IFERROR(__xludf.DUMMYFUNCTION("""COMPUTED_VALUE"""),"Екатерина")</f>
        <v>Екатерина</v>
      </c>
      <c r="D95" s="5" t="str">
        <f ca="1">IFERROR(__xludf.DUMMYFUNCTION("""COMPUTED_VALUE"""),"Александровна")</f>
        <v>Александровна</v>
      </c>
      <c r="E95" s="5" t="str">
        <f ca="1">IFERROR(__xludf.DUMMYFUNCTION("""COMPUTED_VALUE"""),"Temporary Pony Team")</f>
        <v>Temporary Pony Team</v>
      </c>
      <c r="F95" s="6" t="str">
        <f ca="1">IFERROR(__xludf.DUMMYFUNCTION("""COMPUTED_VALUE"""),"Разработка игр на Unity + Игровой арт")</f>
        <v>Разработка игр на Unity + Игровой арт</v>
      </c>
      <c r="G95" s="7">
        <f ca="1">IFERROR(__xludf.DUMMYFUNCTION("""COMPUTED_VALUE"""),100)</f>
        <v>100</v>
      </c>
    </row>
    <row r="96" spans="1:7" ht="13.2" x14ac:dyDescent="0.25">
      <c r="A96" s="5">
        <f ca="1">IFERROR(__xludf.DUMMYFUNCTION("""COMPUTED_VALUE"""),1202)</f>
        <v>1202</v>
      </c>
      <c r="B96" s="5" t="str">
        <f ca="1">IFERROR(__xludf.DUMMYFUNCTION("""COMPUTED_VALUE"""),"Усынин")</f>
        <v>Усынин</v>
      </c>
      <c r="C96" s="5" t="str">
        <f ca="1">IFERROR(__xludf.DUMMYFUNCTION("""COMPUTED_VALUE"""),"Андрей")</f>
        <v>Андрей</v>
      </c>
      <c r="D96" s="5" t="str">
        <f ca="1">IFERROR(__xludf.DUMMYFUNCTION("""COMPUTED_VALUE"""),"Вячеславович")</f>
        <v>Вячеславович</v>
      </c>
      <c r="E96" s="5" t="str">
        <f ca="1">IFERROR(__xludf.DUMMYFUNCTION("""COMPUTED_VALUE"""),"Temporary Pony Team")</f>
        <v>Temporary Pony Team</v>
      </c>
      <c r="F96" s="6" t="str">
        <f ca="1">IFERROR(__xludf.DUMMYFUNCTION("""COMPUTED_VALUE"""),"Разработка игр на Unity + Игровой арт")</f>
        <v>Разработка игр на Unity + Игровой арт</v>
      </c>
      <c r="G96" s="7">
        <f ca="1">IFERROR(__xludf.DUMMYFUNCTION("""COMPUTED_VALUE"""),100)</f>
        <v>100</v>
      </c>
    </row>
    <row r="97" spans="1:7" ht="26.4" x14ac:dyDescent="0.25">
      <c r="A97" s="5">
        <f ca="1">IFERROR(__xludf.DUMMYFUNCTION("""COMPUTED_VALUE"""),344)</f>
        <v>344</v>
      </c>
      <c r="B97" s="5" t="str">
        <f ca="1">IFERROR(__xludf.DUMMYFUNCTION("""COMPUTED_VALUE"""),"Дубовиков")</f>
        <v>Дубовиков</v>
      </c>
      <c r="C97" s="5" t="str">
        <f ca="1">IFERROR(__xludf.DUMMYFUNCTION("""COMPUTED_VALUE"""),"Никита")</f>
        <v>Никита</v>
      </c>
      <c r="D97" s="5" t="str">
        <f ca="1">IFERROR(__xludf.DUMMYFUNCTION("""COMPUTED_VALUE"""),"Юрьевич")</f>
        <v>Юрьевич</v>
      </c>
      <c r="E97" s="5" t="str">
        <f ca="1">IFERROR(__xludf.DUMMYFUNCTION("""COMPUTED_VALUE"""),"UraniumTeam")</f>
        <v>UraniumTeam</v>
      </c>
      <c r="F97" s="6" t="str">
        <f ca="1">IFERROR(__xludf.DUMMYFUNCTION("""COMPUTED_VALUE"""),"Разработка библиотеки для параллельных вычислений с аппаратным ускорением")</f>
        <v>Разработка библиотеки для параллельных вычислений с аппаратным ускорением</v>
      </c>
      <c r="G97" s="7">
        <f ca="1">IFERROR(__xludf.DUMMYFUNCTION("""COMPUTED_VALUE"""),82)</f>
        <v>82</v>
      </c>
    </row>
    <row r="98" spans="1:7" ht="26.4" x14ac:dyDescent="0.25">
      <c r="A98" s="5">
        <f ca="1">IFERROR(__xludf.DUMMYFUNCTION("""COMPUTED_VALUE"""),477)</f>
        <v>477</v>
      </c>
      <c r="B98" s="5" t="str">
        <f ca="1">IFERROR(__xludf.DUMMYFUNCTION("""COMPUTED_VALUE"""),"Ишоев")</f>
        <v>Ишоев</v>
      </c>
      <c r="C98" s="5" t="str">
        <f ca="1">IFERROR(__xludf.DUMMYFUNCTION("""COMPUTED_VALUE"""),"Дмитрий")</f>
        <v>Дмитрий</v>
      </c>
      <c r="D98" s="5" t="str">
        <f ca="1">IFERROR(__xludf.DUMMYFUNCTION("""COMPUTED_VALUE"""),"Валерьевич")</f>
        <v>Валерьевич</v>
      </c>
      <c r="E98" s="5" t="str">
        <f ca="1">IFERROR(__xludf.DUMMYFUNCTION("""COMPUTED_VALUE"""),"UraniumTeam")</f>
        <v>UraniumTeam</v>
      </c>
      <c r="F98" s="6" t="str">
        <f ca="1">IFERROR(__xludf.DUMMYFUNCTION("""COMPUTED_VALUE"""),"Разработка библиотеки для параллельных вычислений с аппаратным ускорением")</f>
        <v>Разработка библиотеки для параллельных вычислений с аппаратным ускорением</v>
      </c>
      <c r="G98" s="7">
        <f ca="1">IFERROR(__xludf.DUMMYFUNCTION("""COMPUTED_VALUE"""),82)</f>
        <v>82</v>
      </c>
    </row>
    <row r="99" spans="1:7" ht="26.4" x14ac:dyDescent="0.25">
      <c r="A99" s="5">
        <f ca="1">IFERROR(__xludf.DUMMYFUNCTION("""COMPUTED_VALUE"""),661)</f>
        <v>661</v>
      </c>
      <c r="B99" s="5" t="str">
        <f ca="1">IFERROR(__xludf.DUMMYFUNCTION("""COMPUTED_VALUE"""),"Лапыгин")</f>
        <v>Лапыгин</v>
      </c>
      <c r="C99" s="5" t="str">
        <f ca="1">IFERROR(__xludf.DUMMYFUNCTION("""COMPUTED_VALUE"""),"Даниил")</f>
        <v>Даниил</v>
      </c>
      <c r="D99" s="5" t="str">
        <f ca="1">IFERROR(__xludf.DUMMYFUNCTION("""COMPUTED_VALUE"""),"Витальевич")</f>
        <v>Витальевич</v>
      </c>
      <c r="E99" s="5" t="str">
        <f ca="1">IFERROR(__xludf.DUMMYFUNCTION("""COMPUTED_VALUE"""),"UraniumTeam")</f>
        <v>UraniumTeam</v>
      </c>
      <c r="F99" s="6" t="str">
        <f ca="1">IFERROR(__xludf.DUMMYFUNCTION("""COMPUTED_VALUE"""),"Разработка библиотеки для параллельных вычислений с аппаратным ускорением")</f>
        <v>Разработка библиотеки для параллельных вычислений с аппаратным ускорением</v>
      </c>
      <c r="G99" s="7">
        <f ca="1">IFERROR(__xludf.DUMMYFUNCTION("""COMPUTED_VALUE"""),82)</f>
        <v>82</v>
      </c>
    </row>
    <row r="100" spans="1:7" ht="39.6" x14ac:dyDescent="0.25">
      <c r="A100" s="5">
        <f ca="1">IFERROR(__xludf.DUMMYFUNCTION("""COMPUTED_VALUE"""),107)</f>
        <v>107</v>
      </c>
      <c r="B100" s="5" t="str">
        <f ca="1">IFERROR(__xludf.DUMMYFUNCTION("""COMPUTED_VALUE"""),"Безукладникова")</f>
        <v>Безукладникова</v>
      </c>
      <c r="C100" s="5" t="str">
        <f ca="1">IFERROR(__xludf.DUMMYFUNCTION("""COMPUTED_VALUE"""),"Алина")</f>
        <v>Алина</v>
      </c>
      <c r="D100" s="5" t="str">
        <f ca="1">IFERROR(__xludf.DUMMYFUNCTION("""COMPUTED_VALUE"""),"Александровна")</f>
        <v>Александровна</v>
      </c>
      <c r="E100" s="5" t="str">
        <f ca="1">IFERROR(__xludf.DUMMYFUNCTION("""COMPUTED_VALUE"""),"Web Educational Project 22(WEP-22)")</f>
        <v>Web Educational Project 22(WEP-22)</v>
      </c>
      <c r="F100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100" s="7">
        <f ca="1">IFERROR(__xludf.DUMMYFUNCTION("""COMPUTED_VALUE"""),70)</f>
        <v>70</v>
      </c>
    </row>
    <row r="101" spans="1:7" ht="39.6" x14ac:dyDescent="0.25">
      <c r="A101" s="5">
        <f ca="1">IFERROR(__xludf.DUMMYFUNCTION("""COMPUTED_VALUE"""),236)</f>
        <v>236</v>
      </c>
      <c r="B101" s="5" t="str">
        <f ca="1">IFERROR(__xludf.DUMMYFUNCTION("""COMPUTED_VALUE"""),"Гайнутдинов")</f>
        <v>Гайнутдинов</v>
      </c>
      <c r="C101" s="5" t="str">
        <f ca="1">IFERROR(__xludf.DUMMYFUNCTION("""COMPUTED_VALUE"""),"Денис")</f>
        <v>Денис</v>
      </c>
      <c r="D101" s="5" t="str">
        <f ca="1">IFERROR(__xludf.DUMMYFUNCTION("""COMPUTED_VALUE"""),"Маратович")</f>
        <v>Маратович</v>
      </c>
      <c r="E101" s="5" t="str">
        <f ca="1">IFERROR(__xludf.DUMMYFUNCTION("""COMPUTED_VALUE"""),"Web Educational Project 22(WEP-22)")</f>
        <v>Web Educational Project 22(WEP-22)</v>
      </c>
      <c r="F101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101" s="7">
        <f ca="1">IFERROR(__xludf.DUMMYFUNCTION("""COMPUTED_VALUE"""),70)</f>
        <v>70</v>
      </c>
    </row>
    <row r="102" spans="1:7" ht="39.6" x14ac:dyDescent="0.25">
      <c r="A102" s="5">
        <f ca="1">IFERROR(__xludf.DUMMYFUNCTION("""COMPUTED_VALUE"""),527)</f>
        <v>527</v>
      </c>
      <c r="B102" s="5" t="str">
        <f ca="1">IFERROR(__xludf.DUMMYFUNCTION("""COMPUTED_VALUE"""),"Князев")</f>
        <v>Князев</v>
      </c>
      <c r="C102" s="5" t="str">
        <f ca="1">IFERROR(__xludf.DUMMYFUNCTION("""COMPUTED_VALUE"""),"Артём")</f>
        <v>Артём</v>
      </c>
      <c r="D102" s="5" t="str">
        <f ca="1">IFERROR(__xludf.DUMMYFUNCTION("""COMPUTED_VALUE"""),"Радикович")</f>
        <v>Радикович</v>
      </c>
      <c r="E102" s="5" t="str">
        <f ca="1">IFERROR(__xludf.DUMMYFUNCTION("""COMPUTED_VALUE"""),"Web Educational Project 22(WEP-22)")</f>
        <v>Web Educational Project 22(WEP-22)</v>
      </c>
      <c r="F102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102" s="7">
        <f ca="1">IFERROR(__xludf.DUMMYFUNCTION("""COMPUTED_VALUE"""),70)</f>
        <v>70</v>
      </c>
    </row>
    <row r="103" spans="1:7" ht="39.6" x14ac:dyDescent="0.25">
      <c r="A103" s="5">
        <f ca="1">IFERROR(__xludf.DUMMYFUNCTION("""COMPUTED_VALUE"""),1032)</f>
        <v>1032</v>
      </c>
      <c r="B103" s="5" t="str">
        <f ca="1">IFERROR(__xludf.DUMMYFUNCTION("""COMPUTED_VALUE"""),"Самарцев")</f>
        <v>Самарцев</v>
      </c>
      <c r="C103" s="5" t="str">
        <f ca="1">IFERROR(__xludf.DUMMYFUNCTION("""COMPUTED_VALUE"""),"Данил")</f>
        <v>Данил</v>
      </c>
      <c r="D103" s="5" t="str">
        <f ca="1">IFERROR(__xludf.DUMMYFUNCTION("""COMPUTED_VALUE"""),"Александрович")</f>
        <v>Александрович</v>
      </c>
      <c r="E103" s="5" t="str">
        <f ca="1">IFERROR(__xludf.DUMMYFUNCTION("""COMPUTED_VALUE"""),"Web Educational Project 22(WEP-22)")</f>
        <v>Web Educational Project 22(WEP-22)</v>
      </c>
      <c r="F103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103" s="7">
        <f ca="1">IFERROR(__xludf.DUMMYFUNCTION("""COMPUTED_VALUE"""),70)</f>
        <v>70</v>
      </c>
    </row>
    <row r="104" spans="1:7" ht="39.6" x14ac:dyDescent="0.25">
      <c r="A104" s="5">
        <f ca="1">IFERROR(__xludf.DUMMYFUNCTION("""COMPUTED_VALUE"""),1293)</f>
        <v>1293</v>
      </c>
      <c r="B104" s="5" t="str">
        <f ca="1">IFERROR(__xludf.DUMMYFUNCTION("""COMPUTED_VALUE"""),"Чудинова")</f>
        <v>Чудинова</v>
      </c>
      <c r="C104" s="5" t="str">
        <f ca="1">IFERROR(__xludf.DUMMYFUNCTION("""COMPUTED_VALUE"""),"Софья")</f>
        <v>Софья</v>
      </c>
      <c r="D104" s="5" t="str">
        <f ca="1">IFERROR(__xludf.DUMMYFUNCTION("""COMPUTED_VALUE"""),"Александровна")</f>
        <v>Александровна</v>
      </c>
      <c r="E104" s="5" t="str">
        <f ca="1">IFERROR(__xludf.DUMMYFUNCTION("""COMPUTED_VALUE"""),"Web Educational Project 22(WEP-22)")</f>
        <v>Web Educational Project 22(WEP-22)</v>
      </c>
      <c r="F104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104" s="7">
        <f ca="1">IFERROR(__xludf.DUMMYFUNCTION("""COMPUTED_VALUE"""),70)</f>
        <v>70</v>
      </c>
    </row>
    <row r="105" spans="1:7" ht="13.2" x14ac:dyDescent="0.25">
      <c r="A105" s="5">
        <f ca="1">IFERROR(__xludf.DUMMYFUNCTION("""COMPUTED_VALUE"""),522)</f>
        <v>522</v>
      </c>
      <c r="B105" s="5" t="str">
        <f ca="1">IFERROR(__xludf.DUMMYFUNCTION("""COMPUTED_VALUE"""),"Клок")</f>
        <v>Клок</v>
      </c>
      <c r="C105" s="5" t="str">
        <f ca="1">IFERROR(__xludf.DUMMYFUNCTION("""COMPUTED_VALUE"""),"Тимофей")</f>
        <v>Тимофей</v>
      </c>
      <c r="D105" s="5" t="str">
        <f ca="1">IFERROR(__xludf.DUMMYFUNCTION("""COMPUTED_VALUE"""),"Алексеевич")</f>
        <v>Алексеевич</v>
      </c>
      <c r="E105" s="5" t="str">
        <f ca="1">IFERROR(__xludf.DUMMYFUNCTION("""COMPUTED_VALUE"""),"ZaEdu")</f>
        <v>ZaEdu</v>
      </c>
      <c r="F105" s="6" t="str">
        <f ca="1">IFERROR(__xludf.DUMMYFUNCTION("""COMPUTED_VALUE"""),"Создание калькулятора оценок в Teamproject")</f>
        <v>Создание калькулятора оценок в Teamproject</v>
      </c>
      <c r="G105" s="7">
        <f ca="1">IFERROR(__xludf.DUMMYFUNCTION("""COMPUTED_VALUE"""),90)</f>
        <v>90</v>
      </c>
    </row>
    <row r="106" spans="1:7" ht="13.2" x14ac:dyDescent="0.25">
      <c r="A106" s="5">
        <f ca="1">IFERROR(__xludf.DUMMYFUNCTION("""COMPUTED_VALUE"""),777)</f>
        <v>777</v>
      </c>
      <c r="B106" s="5" t="str">
        <f ca="1">IFERROR(__xludf.DUMMYFUNCTION("""COMPUTED_VALUE"""),"Моисеев")</f>
        <v>Моисеев</v>
      </c>
      <c r="C106" s="5" t="str">
        <f ca="1">IFERROR(__xludf.DUMMYFUNCTION("""COMPUTED_VALUE"""),"Денис")</f>
        <v>Денис</v>
      </c>
      <c r="D106" s="5" t="str">
        <f ca="1">IFERROR(__xludf.DUMMYFUNCTION("""COMPUTED_VALUE"""),"Александрович")</f>
        <v>Александрович</v>
      </c>
      <c r="E106" s="5" t="str">
        <f ca="1">IFERROR(__xludf.DUMMYFUNCTION("""COMPUTED_VALUE"""),"ZaEdu")</f>
        <v>ZaEdu</v>
      </c>
      <c r="F106" s="6" t="str">
        <f ca="1">IFERROR(__xludf.DUMMYFUNCTION("""COMPUTED_VALUE"""),"Создание калькулятора оценок в Teamproject")</f>
        <v>Создание калькулятора оценок в Teamproject</v>
      </c>
      <c r="G106" s="7">
        <f ca="1">IFERROR(__xludf.DUMMYFUNCTION("""COMPUTED_VALUE"""),90)</f>
        <v>90</v>
      </c>
    </row>
    <row r="107" spans="1:7" ht="13.2" x14ac:dyDescent="0.25">
      <c r="A107" s="5">
        <f ca="1">IFERROR(__xludf.DUMMYFUNCTION("""COMPUTED_VALUE"""),832)</f>
        <v>832</v>
      </c>
      <c r="B107" s="5" t="str">
        <f ca="1">IFERROR(__xludf.DUMMYFUNCTION("""COMPUTED_VALUE"""),"Несмелов")</f>
        <v>Несмелов</v>
      </c>
      <c r="C107" s="5" t="str">
        <f ca="1">IFERROR(__xludf.DUMMYFUNCTION("""COMPUTED_VALUE"""),"Павел")</f>
        <v>Павел</v>
      </c>
      <c r="D107" s="5" t="str">
        <f ca="1">IFERROR(__xludf.DUMMYFUNCTION("""COMPUTED_VALUE"""),"Евгеньевич")</f>
        <v>Евгеньевич</v>
      </c>
      <c r="E107" s="5" t="str">
        <f ca="1">IFERROR(__xludf.DUMMYFUNCTION("""COMPUTED_VALUE"""),"ZaEdu")</f>
        <v>ZaEdu</v>
      </c>
      <c r="F107" s="6" t="str">
        <f ca="1">IFERROR(__xludf.DUMMYFUNCTION("""COMPUTED_VALUE"""),"Создание калькулятора оценок в Teamproject")</f>
        <v>Создание калькулятора оценок в Teamproject</v>
      </c>
      <c r="G107" s="7">
        <f ca="1">IFERROR(__xludf.DUMMYFUNCTION("""COMPUTED_VALUE"""),90)</f>
        <v>90</v>
      </c>
    </row>
    <row r="108" spans="1:7" ht="13.2" x14ac:dyDescent="0.25">
      <c r="A108" s="5">
        <f ca="1">IFERROR(__xludf.DUMMYFUNCTION("""COMPUTED_VALUE"""),1095)</f>
        <v>1095</v>
      </c>
      <c r="B108" s="5" t="str">
        <f ca="1">IFERROR(__xludf.DUMMYFUNCTION("""COMPUTED_VALUE"""),"Соколов")</f>
        <v>Соколов</v>
      </c>
      <c r="C108" s="5" t="str">
        <f ca="1">IFERROR(__xludf.DUMMYFUNCTION("""COMPUTED_VALUE"""),"Михаил")</f>
        <v>Михаил</v>
      </c>
      <c r="D108" s="5" t="str">
        <f ca="1">IFERROR(__xludf.DUMMYFUNCTION("""COMPUTED_VALUE"""),"Иванович")</f>
        <v>Иванович</v>
      </c>
      <c r="E108" s="5" t="str">
        <f ca="1">IFERROR(__xludf.DUMMYFUNCTION("""COMPUTED_VALUE"""),"ZaEdu")</f>
        <v>ZaEdu</v>
      </c>
      <c r="F108" s="6" t="str">
        <f ca="1">IFERROR(__xludf.DUMMYFUNCTION("""COMPUTED_VALUE"""),"Создание калькулятора оценок в Teamproject")</f>
        <v>Создание калькулятора оценок в Teamproject</v>
      </c>
      <c r="G108" s="7">
        <f ca="1">IFERROR(__xludf.DUMMYFUNCTION("""COMPUTED_VALUE"""),90)</f>
        <v>90</v>
      </c>
    </row>
    <row r="109" spans="1:7" ht="13.2" x14ac:dyDescent="0.25">
      <c r="A109" s="5">
        <f ca="1">IFERROR(__xludf.DUMMYFUNCTION("""COMPUTED_VALUE"""),1231)</f>
        <v>1231</v>
      </c>
      <c r="B109" s="5" t="str">
        <f ca="1">IFERROR(__xludf.DUMMYFUNCTION("""COMPUTED_VALUE"""),"Фокин")</f>
        <v>Фокин</v>
      </c>
      <c r="C109" s="5" t="str">
        <f ca="1">IFERROR(__xludf.DUMMYFUNCTION("""COMPUTED_VALUE"""),"Богдан")</f>
        <v>Богдан</v>
      </c>
      <c r="D109" s="5" t="str">
        <f ca="1">IFERROR(__xludf.DUMMYFUNCTION("""COMPUTED_VALUE"""),"Сергеевич")</f>
        <v>Сергеевич</v>
      </c>
      <c r="E109" s="5" t="str">
        <f ca="1">IFERROR(__xludf.DUMMYFUNCTION("""COMPUTED_VALUE"""),"ZaEdu")</f>
        <v>ZaEdu</v>
      </c>
      <c r="F109" s="6" t="str">
        <f ca="1">IFERROR(__xludf.DUMMYFUNCTION("""COMPUTED_VALUE"""),"Создание калькулятора оценок в Teamproject")</f>
        <v>Создание калькулятора оценок в Teamproject</v>
      </c>
      <c r="G109" s="7">
        <f ca="1">IFERROR(__xludf.DUMMYFUNCTION("""COMPUTED_VALUE"""),90)</f>
        <v>90</v>
      </c>
    </row>
    <row r="110" spans="1:7" ht="26.4" x14ac:dyDescent="0.25">
      <c r="A110" s="5">
        <f ca="1">IFERROR(__xludf.DUMMYFUNCTION("""COMPUTED_VALUE"""),28)</f>
        <v>28</v>
      </c>
      <c r="B110" s="5" t="str">
        <f ca="1">IFERROR(__xludf.DUMMYFUNCTION("""COMPUTED_VALUE"""),"Александров")</f>
        <v>Александров</v>
      </c>
      <c r="C110" s="5" t="str">
        <f ca="1">IFERROR(__xludf.DUMMYFUNCTION("""COMPUTED_VALUE"""),"Илья")</f>
        <v>Илья</v>
      </c>
      <c r="D110" s="5" t="str">
        <f ca="1">IFERROR(__xludf.DUMMYFUNCTION("""COMPUTED_VALUE"""),"Станиславович")</f>
        <v>Станиславович</v>
      </c>
      <c r="E110" s="5" t="str">
        <f ca="1">IFERROR(__xludf.DUMMYFUNCTION("""COMPUTED_VALUE"""),"Бибисы")</f>
        <v>Бибисы</v>
      </c>
      <c r="F110" s="6" t="str">
        <f ca="1">IFERROR(__xludf.DUMMYFUNCTION("""COMPUTED_VALUE"""),"Разработка пошаговой 2D стратегии ""Приказ: Ликвидация"" (Unity)")</f>
        <v>Разработка пошаговой 2D стратегии "Приказ: Ликвидация" (Unity)</v>
      </c>
      <c r="G110" s="7">
        <f ca="1">IFERROR(__xludf.DUMMYFUNCTION("""COMPUTED_VALUE"""),94)</f>
        <v>94</v>
      </c>
    </row>
    <row r="111" spans="1:7" ht="26.4" x14ac:dyDescent="0.25">
      <c r="A111" s="5">
        <f ca="1">IFERROR(__xludf.DUMMYFUNCTION("""COMPUTED_VALUE"""),349)</f>
        <v>349</v>
      </c>
      <c r="B111" s="5" t="str">
        <f ca="1">IFERROR(__xludf.DUMMYFUNCTION("""COMPUTED_VALUE"""),"Дудкин")</f>
        <v>Дудкин</v>
      </c>
      <c r="C111" s="5" t="str">
        <f ca="1">IFERROR(__xludf.DUMMYFUNCTION("""COMPUTED_VALUE"""),"Илья")</f>
        <v>Илья</v>
      </c>
      <c r="D111" s="5" t="str">
        <f ca="1">IFERROR(__xludf.DUMMYFUNCTION("""COMPUTED_VALUE"""),"Викторович")</f>
        <v>Викторович</v>
      </c>
      <c r="E111" s="5" t="str">
        <f ca="1">IFERROR(__xludf.DUMMYFUNCTION("""COMPUTED_VALUE"""),"Бибисы")</f>
        <v>Бибисы</v>
      </c>
      <c r="F111" s="6" t="str">
        <f ca="1">IFERROR(__xludf.DUMMYFUNCTION("""COMPUTED_VALUE"""),"Разработка пошаговой 2D стратегии ""Приказ: Ликвидация"" (Unity)")</f>
        <v>Разработка пошаговой 2D стратегии "Приказ: Ликвидация" (Unity)</v>
      </c>
      <c r="G111" s="7">
        <f ca="1">IFERROR(__xludf.DUMMYFUNCTION("""COMPUTED_VALUE"""),94)</f>
        <v>94</v>
      </c>
    </row>
    <row r="112" spans="1:7" ht="26.4" x14ac:dyDescent="0.25">
      <c r="A112" s="5">
        <f ca="1">IFERROR(__xludf.DUMMYFUNCTION("""COMPUTED_VALUE"""),742)</f>
        <v>742</v>
      </c>
      <c r="B112" s="5" t="str">
        <f ca="1">IFERROR(__xludf.DUMMYFUNCTION("""COMPUTED_VALUE"""),"Медведев")</f>
        <v>Медведев</v>
      </c>
      <c r="C112" s="5" t="str">
        <f ca="1">IFERROR(__xludf.DUMMYFUNCTION("""COMPUTED_VALUE"""),"Дмитрий")</f>
        <v>Дмитрий</v>
      </c>
      <c r="D112" s="5" t="str">
        <f ca="1">IFERROR(__xludf.DUMMYFUNCTION("""COMPUTED_VALUE"""),"Сергеевич")</f>
        <v>Сергеевич</v>
      </c>
      <c r="E112" s="5" t="str">
        <f ca="1">IFERROR(__xludf.DUMMYFUNCTION("""COMPUTED_VALUE"""),"Бибисы")</f>
        <v>Бибисы</v>
      </c>
      <c r="F112" s="6" t="str">
        <f ca="1">IFERROR(__xludf.DUMMYFUNCTION("""COMPUTED_VALUE"""),"Разработка пошаговой 2D стратегии ""Приказ: Ликвидация"" (Unity)")</f>
        <v>Разработка пошаговой 2D стратегии "Приказ: Ликвидация" (Unity)</v>
      </c>
      <c r="G112" s="7">
        <f ca="1">IFERROR(__xludf.DUMMYFUNCTION("""COMPUTED_VALUE"""),94)</f>
        <v>94</v>
      </c>
    </row>
    <row r="113" spans="1:7" ht="26.4" x14ac:dyDescent="0.25">
      <c r="A113" s="5">
        <f ca="1">IFERROR(__xludf.DUMMYFUNCTION("""COMPUTED_VALUE"""),1180)</f>
        <v>1180</v>
      </c>
      <c r="B113" s="5" t="str">
        <f ca="1">IFERROR(__xludf.DUMMYFUNCTION("""COMPUTED_VALUE"""),"Тупиков")</f>
        <v>Тупиков</v>
      </c>
      <c r="C113" s="5" t="str">
        <f ca="1">IFERROR(__xludf.DUMMYFUNCTION("""COMPUTED_VALUE"""),"Иван")</f>
        <v>Иван</v>
      </c>
      <c r="D113" s="5" t="str">
        <f ca="1">IFERROR(__xludf.DUMMYFUNCTION("""COMPUTED_VALUE"""),"Ильич")</f>
        <v>Ильич</v>
      </c>
      <c r="E113" s="5" t="str">
        <f ca="1">IFERROR(__xludf.DUMMYFUNCTION("""COMPUTED_VALUE"""),"Бибисы")</f>
        <v>Бибисы</v>
      </c>
      <c r="F113" s="6" t="str">
        <f ca="1">IFERROR(__xludf.DUMMYFUNCTION("""COMPUTED_VALUE"""),"Разработка пошаговой 2D стратегии ""Приказ: Ликвидация"" (Unity)")</f>
        <v>Разработка пошаговой 2D стратегии "Приказ: Ликвидация" (Unity)</v>
      </c>
      <c r="G113" s="7">
        <f ca="1">IFERROR(__xludf.DUMMYFUNCTION("""COMPUTED_VALUE"""),94)</f>
        <v>94</v>
      </c>
    </row>
    <row r="114" spans="1:7" ht="26.4" x14ac:dyDescent="0.25">
      <c r="A114" s="5">
        <f ca="1">IFERROR(__xludf.DUMMYFUNCTION("""COMPUTED_VALUE"""),1302)</f>
        <v>1302</v>
      </c>
      <c r="B114" s="5" t="str">
        <f ca="1">IFERROR(__xludf.DUMMYFUNCTION("""COMPUTED_VALUE"""),"Шагабутдинов")</f>
        <v>Шагабутдинов</v>
      </c>
      <c r="C114" s="5" t="str">
        <f ca="1">IFERROR(__xludf.DUMMYFUNCTION("""COMPUTED_VALUE"""),"Александр")</f>
        <v>Александр</v>
      </c>
      <c r="D114" s="5" t="str">
        <f ca="1">IFERROR(__xludf.DUMMYFUNCTION("""COMPUTED_VALUE"""),"Андреевич")</f>
        <v>Андреевич</v>
      </c>
      <c r="E114" s="5" t="str">
        <f ca="1">IFERROR(__xludf.DUMMYFUNCTION("""COMPUTED_VALUE"""),"Бибисы")</f>
        <v>Бибисы</v>
      </c>
      <c r="F114" s="6" t="str">
        <f ca="1">IFERROR(__xludf.DUMMYFUNCTION("""COMPUTED_VALUE"""),"Разработка пошаговой 2D стратегии ""Приказ: Ликвидация"" (Unity)")</f>
        <v>Разработка пошаговой 2D стратегии "Приказ: Ликвидация" (Unity)</v>
      </c>
      <c r="G114" s="7">
        <f ca="1">IFERROR(__xludf.DUMMYFUNCTION("""COMPUTED_VALUE"""),94)</f>
        <v>94</v>
      </c>
    </row>
    <row r="115" spans="1:7" ht="26.4" x14ac:dyDescent="0.25">
      <c r="A115" s="5">
        <f ca="1">IFERROR(__xludf.DUMMYFUNCTION("""COMPUTED_VALUE"""),40)</f>
        <v>40</v>
      </c>
      <c r="B115" s="5" t="str">
        <f ca="1">IFERROR(__xludf.DUMMYFUNCTION("""COMPUTED_VALUE"""),"Анецких")</f>
        <v>Анецких</v>
      </c>
      <c r="C115" s="5" t="str">
        <f ca="1">IFERROR(__xludf.DUMMYFUNCTION("""COMPUTED_VALUE"""),"Алексей")</f>
        <v>Алексей</v>
      </c>
      <c r="D115" s="5" t="str">
        <f ca="1">IFERROR(__xludf.DUMMYFUNCTION("""COMPUTED_VALUE"""),"Ильич")</f>
        <v>Ильич</v>
      </c>
      <c r="E115" s="5" t="str">
        <f ca="1">IFERROR(__xludf.DUMMYFUNCTION("""COMPUTED_VALUE"""),"Дрим-тим")</f>
        <v>Дрим-тим</v>
      </c>
      <c r="F115" s="6" t="str">
        <f ca="1">IFERROR(__xludf.DUMMYFUNCTION("""COMPUTED_VALUE"""),"Создание платформы для размещения образовательных игр")</f>
        <v>Создание платформы для размещения образовательных игр</v>
      </c>
      <c r="G115" s="7">
        <f ca="1">IFERROR(__xludf.DUMMYFUNCTION("""COMPUTED_VALUE"""),85)</f>
        <v>85</v>
      </c>
    </row>
    <row r="116" spans="1:7" ht="26.4" x14ac:dyDescent="0.25">
      <c r="A116" s="5">
        <f ca="1">IFERROR(__xludf.DUMMYFUNCTION("""COMPUTED_VALUE"""),56)</f>
        <v>56</v>
      </c>
      <c r="B116" s="5" t="str">
        <f ca="1">IFERROR(__xludf.DUMMYFUNCTION("""COMPUTED_VALUE"""),"Арипов")</f>
        <v>Арипов</v>
      </c>
      <c r="C116" s="5" t="str">
        <f ca="1">IFERROR(__xludf.DUMMYFUNCTION("""COMPUTED_VALUE"""),"Сергей")</f>
        <v>Сергей</v>
      </c>
      <c r="D116" s="5" t="str">
        <f ca="1">IFERROR(__xludf.DUMMYFUNCTION("""COMPUTED_VALUE"""),"Вячеславович")</f>
        <v>Вячеславович</v>
      </c>
      <c r="E116" s="5" t="str">
        <f ca="1">IFERROR(__xludf.DUMMYFUNCTION("""COMPUTED_VALUE"""),"Дрим-тим")</f>
        <v>Дрим-тим</v>
      </c>
      <c r="F116" s="6" t="str">
        <f ca="1">IFERROR(__xludf.DUMMYFUNCTION("""COMPUTED_VALUE"""),"Создание платформы для размещения образовательных игр")</f>
        <v>Создание платформы для размещения образовательных игр</v>
      </c>
      <c r="G116" s="7">
        <f ca="1">IFERROR(__xludf.DUMMYFUNCTION("""COMPUTED_VALUE"""),85)</f>
        <v>85</v>
      </c>
    </row>
    <row r="117" spans="1:7" ht="26.4" x14ac:dyDescent="0.25">
      <c r="A117" s="5">
        <f ca="1">IFERROR(__xludf.DUMMYFUNCTION("""COMPUTED_VALUE"""),111)</f>
        <v>111</v>
      </c>
      <c r="B117" s="5" t="str">
        <f ca="1">IFERROR(__xludf.DUMMYFUNCTION("""COMPUTED_VALUE"""),"Белобородов")</f>
        <v>Белобородов</v>
      </c>
      <c r="C117" s="5" t="str">
        <f ca="1">IFERROR(__xludf.DUMMYFUNCTION("""COMPUTED_VALUE"""),"Алексей")</f>
        <v>Алексей</v>
      </c>
      <c r="D117" s="5" t="str">
        <f ca="1">IFERROR(__xludf.DUMMYFUNCTION("""COMPUTED_VALUE"""),"Дмитриевич")</f>
        <v>Дмитриевич</v>
      </c>
      <c r="E117" s="5" t="str">
        <f ca="1">IFERROR(__xludf.DUMMYFUNCTION("""COMPUTED_VALUE"""),"Дрим-тим")</f>
        <v>Дрим-тим</v>
      </c>
      <c r="F117" s="6" t="str">
        <f ca="1">IFERROR(__xludf.DUMMYFUNCTION("""COMPUTED_VALUE"""),"Создание платформы для размещения образовательных игр")</f>
        <v>Создание платформы для размещения образовательных игр</v>
      </c>
      <c r="G117" s="7">
        <f ca="1">IFERROR(__xludf.DUMMYFUNCTION("""COMPUTED_VALUE"""),85)</f>
        <v>85</v>
      </c>
    </row>
    <row r="118" spans="1:7" ht="26.4" x14ac:dyDescent="0.25">
      <c r="A118" s="5">
        <f ca="1">IFERROR(__xludf.DUMMYFUNCTION("""COMPUTED_VALUE"""),429)</f>
        <v>429</v>
      </c>
      <c r="B118" s="5" t="str">
        <f ca="1">IFERROR(__xludf.DUMMYFUNCTION("""COMPUTED_VALUE"""),"Зекунов")</f>
        <v>Зекунов</v>
      </c>
      <c r="C118" s="5" t="str">
        <f ca="1">IFERROR(__xludf.DUMMYFUNCTION("""COMPUTED_VALUE"""),"Владислав")</f>
        <v>Владислав</v>
      </c>
      <c r="D118" s="5" t="str">
        <f ca="1">IFERROR(__xludf.DUMMYFUNCTION("""COMPUTED_VALUE"""),"Денисович")</f>
        <v>Денисович</v>
      </c>
      <c r="E118" s="5" t="str">
        <f ca="1">IFERROR(__xludf.DUMMYFUNCTION("""COMPUTED_VALUE"""),"Дрим-тим")</f>
        <v>Дрим-тим</v>
      </c>
      <c r="F118" s="6" t="str">
        <f ca="1">IFERROR(__xludf.DUMMYFUNCTION("""COMPUTED_VALUE"""),"Создание платформы для размещения образовательных игр")</f>
        <v>Создание платформы для размещения образовательных игр</v>
      </c>
      <c r="G118" s="7">
        <f ca="1">IFERROR(__xludf.DUMMYFUNCTION("""COMPUTED_VALUE"""),85)</f>
        <v>85</v>
      </c>
    </row>
    <row r="119" spans="1:7" ht="26.4" x14ac:dyDescent="0.25">
      <c r="A119" s="5">
        <f ca="1">IFERROR(__xludf.DUMMYFUNCTION("""COMPUTED_VALUE"""),1326)</f>
        <v>1326</v>
      </c>
      <c r="B119" s="5" t="str">
        <f ca="1">IFERROR(__xludf.DUMMYFUNCTION("""COMPUTED_VALUE"""),"Шеркунов")</f>
        <v>Шеркунов</v>
      </c>
      <c r="C119" s="5" t="str">
        <f ca="1">IFERROR(__xludf.DUMMYFUNCTION("""COMPUTED_VALUE"""),"Егор")</f>
        <v>Егор</v>
      </c>
      <c r="D119" s="5" t="str">
        <f ca="1">IFERROR(__xludf.DUMMYFUNCTION("""COMPUTED_VALUE"""),"Георгиевич")</f>
        <v>Георгиевич</v>
      </c>
      <c r="E119" s="5" t="str">
        <f ca="1">IFERROR(__xludf.DUMMYFUNCTION("""COMPUTED_VALUE"""),"Дрим-тим")</f>
        <v>Дрим-тим</v>
      </c>
      <c r="F119" s="6" t="str">
        <f ca="1">IFERROR(__xludf.DUMMYFUNCTION("""COMPUTED_VALUE"""),"Создание платформы для размещения образовательных игр")</f>
        <v>Создание платформы для размещения образовательных игр</v>
      </c>
      <c r="G119" s="7">
        <f ca="1">IFERROR(__xludf.DUMMYFUNCTION("""COMPUTED_VALUE"""),85)</f>
        <v>85</v>
      </c>
    </row>
    <row r="120" spans="1:7" ht="26.4" x14ac:dyDescent="0.25">
      <c r="A120" s="5">
        <f ca="1">IFERROR(__xludf.DUMMYFUNCTION("""COMPUTED_VALUE"""),205)</f>
        <v>205</v>
      </c>
      <c r="B120" s="5" t="str">
        <f ca="1">IFERROR(__xludf.DUMMYFUNCTION("""COMPUTED_VALUE"""),"Вишняков")</f>
        <v>Вишняков</v>
      </c>
      <c r="C120" s="5" t="str">
        <f ca="1">IFERROR(__xludf.DUMMYFUNCTION("""COMPUTED_VALUE"""),"Данил")</f>
        <v>Данил</v>
      </c>
      <c r="D120" s="5"/>
      <c r="E120" s="5" t="str">
        <f ca="1">IFERROR(__xludf.DUMMYFUNCTION("""COMPUTED_VALUE"""),"Ийотка")</f>
        <v>Ийотка</v>
      </c>
      <c r="F120" s="6" t="str">
        <f ca="1">IFERROR(__xludf.DUMMYFUNCTION("""COMPUTED_VALUE"""),"Разработка компьютерной игры ""Struggle For Salvation""")</f>
        <v>Разработка компьютерной игры "Struggle For Salvation"</v>
      </c>
      <c r="G120" s="7">
        <f ca="1">IFERROR(__xludf.DUMMYFUNCTION("""COMPUTED_VALUE"""),95)</f>
        <v>95</v>
      </c>
    </row>
    <row r="121" spans="1:7" ht="26.4" x14ac:dyDescent="0.25">
      <c r="A121" s="5">
        <f ca="1">IFERROR(__xludf.DUMMYFUNCTION("""COMPUTED_VALUE"""),455)</f>
        <v>455</v>
      </c>
      <c r="B121" s="5" t="str">
        <f ca="1">IFERROR(__xludf.DUMMYFUNCTION("""COMPUTED_VALUE"""),"Иванов")</f>
        <v>Иванов</v>
      </c>
      <c r="C121" s="5" t="str">
        <f ca="1">IFERROR(__xludf.DUMMYFUNCTION("""COMPUTED_VALUE"""),"Егор")</f>
        <v>Егор</v>
      </c>
      <c r="D121" s="5" t="str">
        <f ca="1">IFERROR(__xludf.DUMMYFUNCTION("""COMPUTED_VALUE"""),"Викторович")</f>
        <v>Викторович</v>
      </c>
      <c r="E121" s="5" t="str">
        <f ca="1">IFERROR(__xludf.DUMMYFUNCTION("""COMPUTED_VALUE"""),"Ийотка")</f>
        <v>Ийотка</v>
      </c>
      <c r="F121" s="6" t="str">
        <f ca="1">IFERROR(__xludf.DUMMYFUNCTION("""COMPUTED_VALUE"""),"Разработка компьютерной игры ""Struggle For Salvation""")</f>
        <v>Разработка компьютерной игры "Struggle For Salvation"</v>
      </c>
      <c r="G121" s="7">
        <f ca="1">IFERROR(__xludf.DUMMYFUNCTION("""COMPUTED_VALUE"""),95)</f>
        <v>95</v>
      </c>
    </row>
    <row r="122" spans="1:7" ht="26.4" x14ac:dyDescent="0.25">
      <c r="A122" s="5">
        <f ca="1">IFERROR(__xludf.DUMMYFUNCTION("""COMPUTED_VALUE"""),1240)</f>
        <v>1240</v>
      </c>
      <c r="B122" s="5" t="str">
        <f ca="1">IFERROR(__xludf.DUMMYFUNCTION("""COMPUTED_VALUE"""),"Халимов")</f>
        <v>Халимов</v>
      </c>
      <c r="C122" s="5" t="str">
        <f ca="1">IFERROR(__xludf.DUMMYFUNCTION("""COMPUTED_VALUE"""),"Далер")</f>
        <v>Далер</v>
      </c>
      <c r="D122" s="5" t="str">
        <f ca="1">IFERROR(__xludf.DUMMYFUNCTION("""COMPUTED_VALUE"""),"Дилшодович")</f>
        <v>Дилшодович</v>
      </c>
      <c r="E122" s="5" t="str">
        <f ca="1">IFERROR(__xludf.DUMMYFUNCTION("""COMPUTED_VALUE"""),"Ийотка")</f>
        <v>Ийотка</v>
      </c>
      <c r="F122" s="6" t="str">
        <f ca="1">IFERROR(__xludf.DUMMYFUNCTION("""COMPUTED_VALUE"""),"Разработка компьютерной игры ""Struggle For Salvation""")</f>
        <v>Разработка компьютерной игры "Struggle For Salvation"</v>
      </c>
      <c r="G122" s="7">
        <f ca="1">IFERROR(__xludf.DUMMYFUNCTION("""COMPUTED_VALUE"""),95)</f>
        <v>95</v>
      </c>
    </row>
    <row r="123" spans="1:7" ht="26.4" x14ac:dyDescent="0.25">
      <c r="A123" s="5">
        <f ca="1">IFERROR(__xludf.DUMMYFUNCTION("""COMPUTED_VALUE"""),1309)</f>
        <v>1309</v>
      </c>
      <c r="B123" s="5" t="str">
        <f ca="1">IFERROR(__xludf.DUMMYFUNCTION("""COMPUTED_VALUE"""),"Шамыкаева")</f>
        <v>Шамыкаева</v>
      </c>
      <c r="C123" s="5" t="str">
        <f ca="1">IFERROR(__xludf.DUMMYFUNCTION("""COMPUTED_VALUE"""),"Валерия")</f>
        <v>Валерия</v>
      </c>
      <c r="D123" s="5" t="str">
        <f ca="1">IFERROR(__xludf.DUMMYFUNCTION("""COMPUTED_VALUE"""),"Сергеевна")</f>
        <v>Сергеевна</v>
      </c>
      <c r="E123" s="5" t="str">
        <f ca="1">IFERROR(__xludf.DUMMYFUNCTION("""COMPUTED_VALUE"""),"Ийотка")</f>
        <v>Ийотка</v>
      </c>
      <c r="F123" s="6" t="str">
        <f ca="1">IFERROR(__xludf.DUMMYFUNCTION("""COMPUTED_VALUE"""),"Разработка компьютерной игры ""Struggle For Salvation""")</f>
        <v>Разработка компьютерной игры "Struggle For Salvation"</v>
      </c>
      <c r="G123" s="7">
        <f ca="1">IFERROR(__xludf.DUMMYFUNCTION("""COMPUTED_VALUE"""),95)</f>
        <v>95</v>
      </c>
    </row>
    <row r="124" spans="1:7" ht="13.2" x14ac:dyDescent="0.25">
      <c r="A124" s="5">
        <f ca="1">IFERROR(__xludf.DUMMYFUNCTION("""COMPUTED_VALUE"""),20)</f>
        <v>20</v>
      </c>
      <c r="B124" s="5" t="str">
        <f ca="1">IFERROR(__xludf.DUMMYFUNCTION("""COMPUTED_VALUE"""),"Адельмурдина")</f>
        <v>Адельмурдина</v>
      </c>
      <c r="C124" s="5" t="str">
        <f ca="1">IFERROR(__xludf.DUMMYFUNCTION("""COMPUTED_VALUE"""),"Элина")</f>
        <v>Элина</v>
      </c>
      <c r="D124" s="5" t="str">
        <f ca="1">IFERROR(__xludf.DUMMYFUNCTION("""COMPUTED_VALUE"""),"Риязовна")</f>
        <v>Риязовна</v>
      </c>
      <c r="E124" s="5" t="str">
        <f ca="1">IFERROR(__xludf.DUMMYFUNCTION("""COMPUTED_VALUE"""),"Кабанчики")</f>
        <v>Кабанчики</v>
      </c>
      <c r="F124" s="6" t="str">
        <f ca="1">IFERROR(__xludf.DUMMYFUNCTION("""COMPUTED_VALUE"""),"Создание игры Runegeon")</f>
        <v>Создание игры Runegeon</v>
      </c>
      <c r="G124" s="7">
        <f ca="1">IFERROR(__xludf.DUMMYFUNCTION("""COMPUTED_VALUE"""),97)</f>
        <v>97</v>
      </c>
    </row>
    <row r="125" spans="1:7" ht="13.2" x14ac:dyDescent="0.25">
      <c r="A125" s="5">
        <f ca="1">IFERROR(__xludf.DUMMYFUNCTION("""COMPUTED_VALUE"""),52)</f>
        <v>52</v>
      </c>
      <c r="B125" s="5" t="str">
        <f ca="1">IFERROR(__xludf.DUMMYFUNCTION("""COMPUTED_VALUE"""),"Аракелов")</f>
        <v>Аракелов</v>
      </c>
      <c r="C125" s="5" t="str">
        <f ca="1">IFERROR(__xludf.DUMMYFUNCTION("""COMPUTED_VALUE"""),"Артем")</f>
        <v>Артем</v>
      </c>
      <c r="D125" s="5" t="str">
        <f ca="1">IFERROR(__xludf.DUMMYFUNCTION("""COMPUTED_VALUE"""),"Евгеньевич")</f>
        <v>Евгеньевич</v>
      </c>
      <c r="E125" s="5" t="str">
        <f ca="1">IFERROR(__xludf.DUMMYFUNCTION("""COMPUTED_VALUE"""),"Кабанчики")</f>
        <v>Кабанчики</v>
      </c>
      <c r="F125" s="6" t="str">
        <f ca="1">IFERROR(__xludf.DUMMYFUNCTION("""COMPUTED_VALUE"""),"Создание игры Runegeon")</f>
        <v>Создание игры Runegeon</v>
      </c>
      <c r="G125" s="7">
        <f ca="1">IFERROR(__xludf.DUMMYFUNCTION("""COMPUTED_VALUE"""),97)</f>
        <v>97</v>
      </c>
    </row>
    <row r="126" spans="1:7" ht="13.2" x14ac:dyDescent="0.25">
      <c r="A126" s="5">
        <f ca="1">IFERROR(__xludf.DUMMYFUNCTION("""COMPUTED_VALUE"""),272)</f>
        <v>272</v>
      </c>
      <c r="B126" s="5" t="str">
        <f ca="1">IFERROR(__xludf.DUMMYFUNCTION("""COMPUTED_VALUE"""),"Городилова")</f>
        <v>Городилова</v>
      </c>
      <c r="C126" s="5" t="str">
        <f ca="1">IFERROR(__xludf.DUMMYFUNCTION("""COMPUTED_VALUE"""),"Снежана")</f>
        <v>Снежана</v>
      </c>
      <c r="D126" s="5" t="str">
        <f ca="1">IFERROR(__xludf.DUMMYFUNCTION("""COMPUTED_VALUE"""),"Александровна")</f>
        <v>Александровна</v>
      </c>
      <c r="E126" s="5" t="str">
        <f ca="1">IFERROR(__xludf.DUMMYFUNCTION("""COMPUTED_VALUE"""),"Кабанчики")</f>
        <v>Кабанчики</v>
      </c>
      <c r="F126" s="6" t="str">
        <f ca="1">IFERROR(__xludf.DUMMYFUNCTION("""COMPUTED_VALUE"""),"Создание игры Runegeon")</f>
        <v>Создание игры Runegeon</v>
      </c>
      <c r="G126" s="7">
        <f ca="1">IFERROR(__xludf.DUMMYFUNCTION("""COMPUTED_VALUE"""),97)</f>
        <v>97</v>
      </c>
    </row>
    <row r="127" spans="1:7" ht="26.4" x14ac:dyDescent="0.25">
      <c r="A127" s="5">
        <f ca="1">IFERROR(__xludf.DUMMYFUNCTION("""COMPUTED_VALUE"""),606)</f>
        <v>606</v>
      </c>
      <c r="B127" s="5" t="str">
        <f ca="1">IFERROR(__xludf.DUMMYFUNCTION("""COMPUTED_VALUE"""),"Крайзель")</f>
        <v>Крайзель</v>
      </c>
      <c r="C127" s="5" t="str">
        <f ca="1">IFERROR(__xludf.DUMMYFUNCTION("""COMPUTED_VALUE"""),"Андрей")</f>
        <v>Андрей</v>
      </c>
      <c r="D127" s="5" t="str">
        <f ca="1">IFERROR(__xludf.DUMMYFUNCTION("""COMPUTED_VALUE"""),"Вадимович")</f>
        <v>Вадимович</v>
      </c>
      <c r="E127" s="5" t="str">
        <f ca="1">IFERROR(__xludf.DUMMYFUNCTION("""COMPUTED_VALUE"""),"Клуб любителей анекдотов")</f>
        <v>Клуб любителей анекдотов</v>
      </c>
      <c r="F127" s="6" t="str">
        <f ca="1">IFERROR(__xludf.DUMMYFUNCTION("""COMPUTED_VALUE"""),"Создание нейросети Codriver, анализирующей свойства автомобильной дороги")</f>
        <v>Создание нейросети Codriver, анализирующей свойства автомобильной дороги</v>
      </c>
      <c r="G127" s="7">
        <f ca="1">IFERROR(__xludf.DUMMYFUNCTION("""COMPUTED_VALUE"""),100)</f>
        <v>100</v>
      </c>
    </row>
    <row r="128" spans="1:7" ht="26.4" x14ac:dyDescent="0.25">
      <c r="A128" s="5">
        <f ca="1">IFERROR(__xludf.DUMMYFUNCTION("""COMPUTED_VALUE"""),1223)</f>
        <v>1223</v>
      </c>
      <c r="B128" s="5" t="str">
        <f ca="1">IFERROR(__xludf.DUMMYFUNCTION("""COMPUTED_VALUE"""),"Филиппов")</f>
        <v>Филиппов</v>
      </c>
      <c r="C128" s="5" t="str">
        <f ca="1">IFERROR(__xludf.DUMMYFUNCTION("""COMPUTED_VALUE"""),"Тимофей")</f>
        <v>Тимофей</v>
      </c>
      <c r="D128" s="5" t="str">
        <f ca="1">IFERROR(__xludf.DUMMYFUNCTION("""COMPUTED_VALUE"""),"Евгеньевич")</f>
        <v>Евгеньевич</v>
      </c>
      <c r="E128" s="5" t="str">
        <f ca="1">IFERROR(__xludf.DUMMYFUNCTION("""COMPUTED_VALUE"""),"Клуб любителей анекдотов")</f>
        <v>Клуб любителей анекдотов</v>
      </c>
      <c r="F128" s="6" t="str">
        <f ca="1">IFERROR(__xludf.DUMMYFUNCTION("""COMPUTED_VALUE"""),"Создание нейросети Codriver, анализирующей свойства автомобильной дороги")</f>
        <v>Создание нейросети Codriver, анализирующей свойства автомобильной дороги</v>
      </c>
      <c r="G128" s="7">
        <f ca="1">IFERROR(__xludf.DUMMYFUNCTION("""COMPUTED_VALUE"""),100)</f>
        <v>100</v>
      </c>
    </row>
    <row r="129" spans="1:7" ht="26.4" x14ac:dyDescent="0.25">
      <c r="A129" s="5">
        <f ca="1">IFERROR(__xludf.DUMMYFUNCTION("""COMPUTED_VALUE"""),1224)</f>
        <v>1224</v>
      </c>
      <c r="B129" s="5" t="str">
        <f ca="1">IFERROR(__xludf.DUMMYFUNCTION("""COMPUTED_VALUE"""),"Филиппов")</f>
        <v>Филиппов</v>
      </c>
      <c r="C129" s="5" t="str">
        <f ca="1">IFERROR(__xludf.DUMMYFUNCTION("""COMPUTED_VALUE"""),"Степан")</f>
        <v>Степан</v>
      </c>
      <c r="D129" s="5" t="str">
        <f ca="1">IFERROR(__xludf.DUMMYFUNCTION("""COMPUTED_VALUE"""),"Владимирович")</f>
        <v>Владимирович</v>
      </c>
      <c r="E129" s="5" t="str">
        <f ca="1">IFERROR(__xludf.DUMMYFUNCTION("""COMPUTED_VALUE"""),"Клуб любителей анекдотов")</f>
        <v>Клуб любителей анекдотов</v>
      </c>
      <c r="F129" s="6" t="str">
        <f ca="1">IFERROR(__xludf.DUMMYFUNCTION("""COMPUTED_VALUE"""),"Создание нейросети Codriver, анализирующей свойства автомобильной дороги")</f>
        <v>Создание нейросети Codriver, анализирующей свойства автомобильной дороги</v>
      </c>
      <c r="G129" s="7">
        <f ca="1">IFERROR(__xludf.DUMMYFUNCTION("""COMPUTED_VALUE"""),100)</f>
        <v>100</v>
      </c>
    </row>
    <row r="130" spans="1:7" ht="26.4" x14ac:dyDescent="0.25">
      <c r="A130" s="5">
        <f ca="1">IFERROR(__xludf.DUMMYFUNCTION("""COMPUTED_VALUE"""),432)</f>
        <v>432</v>
      </c>
      <c r="B130" s="5" t="str">
        <f ca="1">IFERROR(__xludf.DUMMYFUNCTION("""COMPUTED_VALUE"""),"Зенков")</f>
        <v>Зенков</v>
      </c>
      <c r="C130" s="5" t="str">
        <f ca="1">IFERROR(__xludf.DUMMYFUNCTION("""COMPUTED_VALUE"""),"Илья")</f>
        <v>Илья</v>
      </c>
      <c r="D130" s="5" t="str">
        <f ca="1">IFERROR(__xludf.DUMMYFUNCTION("""COMPUTED_VALUE"""),"Дмитриевич")</f>
        <v>Дмитриевич</v>
      </c>
      <c r="E130" s="5" t="str">
        <f ca="1">IFERROR(__xludf.DUMMYFUNCTION("""COMPUTED_VALUE"""),"Клюква")</f>
        <v>Клюква</v>
      </c>
      <c r="F130" s="6" t="str">
        <f ca="1">IFERROR(__xludf.DUMMYFUNCTION("""COMPUTED_VALUE"""),"Разработка браузерного расширения для умного поиска по странице с помощью NLP")</f>
        <v>Разработка браузерного расширения для умного поиска по странице с помощью NLP</v>
      </c>
      <c r="G130" s="7">
        <f ca="1">IFERROR(__xludf.DUMMYFUNCTION("""COMPUTED_VALUE"""),98)</f>
        <v>98</v>
      </c>
    </row>
    <row r="131" spans="1:7" ht="26.4" x14ac:dyDescent="0.25">
      <c r="A131" s="5">
        <f ca="1">IFERROR(__xludf.DUMMYFUNCTION("""COMPUTED_VALUE"""),668)</f>
        <v>668</v>
      </c>
      <c r="B131" s="5" t="str">
        <f ca="1">IFERROR(__xludf.DUMMYFUNCTION("""COMPUTED_VALUE"""),"Лебедев")</f>
        <v>Лебедев</v>
      </c>
      <c r="C131" s="5" t="str">
        <f ca="1">IFERROR(__xludf.DUMMYFUNCTION("""COMPUTED_VALUE"""),"Егор")</f>
        <v>Егор</v>
      </c>
      <c r="D131" s="5" t="str">
        <f ca="1">IFERROR(__xludf.DUMMYFUNCTION("""COMPUTED_VALUE"""),"Михайлович")</f>
        <v>Михайлович</v>
      </c>
      <c r="E131" s="5" t="str">
        <f ca="1">IFERROR(__xludf.DUMMYFUNCTION("""COMPUTED_VALUE"""),"Клюква")</f>
        <v>Клюква</v>
      </c>
      <c r="F131" s="6" t="str">
        <f ca="1">IFERROR(__xludf.DUMMYFUNCTION("""COMPUTED_VALUE"""),"Разработка браузерного расширения для умного поиска по странице с помощью NLP")</f>
        <v>Разработка браузерного расширения для умного поиска по странице с помощью NLP</v>
      </c>
      <c r="G131" s="7">
        <f ca="1">IFERROR(__xludf.DUMMYFUNCTION("""COMPUTED_VALUE"""),98)</f>
        <v>98</v>
      </c>
    </row>
    <row r="132" spans="1:7" ht="26.4" x14ac:dyDescent="0.25">
      <c r="A132" s="5">
        <f ca="1">IFERROR(__xludf.DUMMYFUNCTION("""COMPUTED_VALUE"""),1037)</f>
        <v>1037</v>
      </c>
      <c r="B132" s="5" t="str">
        <f ca="1">IFERROR(__xludf.DUMMYFUNCTION("""COMPUTED_VALUE"""),"Сарапулов")</f>
        <v>Сарапулов</v>
      </c>
      <c r="C132" s="5" t="str">
        <f ca="1">IFERROR(__xludf.DUMMYFUNCTION("""COMPUTED_VALUE"""),"Матвей")</f>
        <v>Матвей</v>
      </c>
      <c r="D132" s="5" t="str">
        <f ca="1">IFERROR(__xludf.DUMMYFUNCTION("""COMPUTED_VALUE"""),"Дмитриевич")</f>
        <v>Дмитриевич</v>
      </c>
      <c r="E132" s="5" t="str">
        <f ca="1">IFERROR(__xludf.DUMMYFUNCTION("""COMPUTED_VALUE"""),"Клюква")</f>
        <v>Клюква</v>
      </c>
      <c r="F132" s="6" t="str">
        <f ca="1">IFERROR(__xludf.DUMMYFUNCTION("""COMPUTED_VALUE"""),"Разработка браузерного расширения для умного поиска по странице с помощью NLP")</f>
        <v>Разработка браузерного расширения для умного поиска по странице с помощью NLP</v>
      </c>
      <c r="G132" s="7">
        <f ca="1">IFERROR(__xludf.DUMMYFUNCTION("""COMPUTED_VALUE"""),98)</f>
        <v>98</v>
      </c>
    </row>
    <row r="133" spans="1:7" ht="13.2" x14ac:dyDescent="0.25">
      <c r="A133" s="5">
        <f ca="1">IFERROR(__xludf.DUMMYFUNCTION("""COMPUTED_VALUE"""),237)</f>
        <v>237</v>
      </c>
      <c r="B133" s="5" t="str">
        <f ca="1">IFERROR(__xludf.DUMMYFUNCTION("""COMPUTED_VALUE"""),"Гайнутдинов")</f>
        <v>Гайнутдинов</v>
      </c>
      <c r="C133" s="5" t="str">
        <f ca="1">IFERROR(__xludf.DUMMYFUNCTION("""COMPUTED_VALUE"""),"Артур")</f>
        <v>Артур</v>
      </c>
      <c r="D133" s="5" t="str">
        <f ca="1">IFERROR(__xludf.DUMMYFUNCTION("""COMPUTED_VALUE"""),"Леонидович")</f>
        <v>Леонидович</v>
      </c>
      <c r="E133" s="5" t="str">
        <f ca="1">IFERROR(__xludf.DUMMYFUNCTION("""COMPUTED_VALUE"""),"Команда ""Kovcheg""")</f>
        <v>Команда "Kovcheg"</v>
      </c>
      <c r="F133" s="6" t="str">
        <f ca="1">IFERROR(__xludf.DUMMYFUNCTION("""COMPUTED_VALUE"""),"Разработка конструктора сайтов")</f>
        <v>Разработка конструктора сайтов</v>
      </c>
      <c r="G133" s="7">
        <f ca="1">IFERROR(__xludf.DUMMYFUNCTION("""COMPUTED_VALUE"""),80)</f>
        <v>80</v>
      </c>
    </row>
    <row r="134" spans="1:7" ht="13.2" x14ac:dyDescent="0.25">
      <c r="A134" s="5">
        <f ca="1">IFERROR(__xludf.DUMMYFUNCTION("""COMPUTED_VALUE"""),968)</f>
        <v>968</v>
      </c>
      <c r="B134" s="5" t="str">
        <f ca="1">IFERROR(__xludf.DUMMYFUNCTION("""COMPUTED_VALUE"""),"Протасов")</f>
        <v>Протасов</v>
      </c>
      <c r="C134" s="5" t="str">
        <f ca="1">IFERROR(__xludf.DUMMYFUNCTION("""COMPUTED_VALUE"""),"Олег")</f>
        <v>Олег</v>
      </c>
      <c r="D134" s="5" t="str">
        <f ca="1">IFERROR(__xludf.DUMMYFUNCTION("""COMPUTED_VALUE"""),"Артемович")</f>
        <v>Артемович</v>
      </c>
      <c r="E134" s="5" t="str">
        <f ca="1">IFERROR(__xludf.DUMMYFUNCTION("""COMPUTED_VALUE"""),"Команда ""Kovcheg""")</f>
        <v>Команда "Kovcheg"</v>
      </c>
      <c r="F134" s="6" t="str">
        <f ca="1">IFERROR(__xludf.DUMMYFUNCTION("""COMPUTED_VALUE"""),"Разработка конструктора сайтов")</f>
        <v>Разработка конструктора сайтов</v>
      </c>
      <c r="G134" s="7">
        <f ca="1">IFERROR(__xludf.DUMMYFUNCTION("""COMPUTED_VALUE"""),80)</f>
        <v>80</v>
      </c>
    </row>
    <row r="135" spans="1:7" ht="13.2" x14ac:dyDescent="0.25">
      <c r="A135" s="5">
        <f ca="1">IFERROR(__xludf.DUMMYFUNCTION("""COMPUTED_VALUE"""),1204)</f>
        <v>1204</v>
      </c>
      <c r="B135" s="5" t="str">
        <f ca="1">IFERROR(__xludf.DUMMYFUNCTION("""COMPUTED_VALUE"""),"Утенков")</f>
        <v>Утенков</v>
      </c>
      <c r="C135" s="5" t="str">
        <f ca="1">IFERROR(__xludf.DUMMYFUNCTION("""COMPUTED_VALUE"""),"Руслан")</f>
        <v>Руслан</v>
      </c>
      <c r="D135" s="5" t="str">
        <f ca="1">IFERROR(__xludf.DUMMYFUNCTION("""COMPUTED_VALUE"""),"Мехманович")</f>
        <v>Мехманович</v>
      </c>
      <c r="E135" s="5" t="str">
        <f ca="1">IFERROR(__xludf.DUMMYFUNCTION("""COMPUTED_VALUE"""),"Команда ""Kovcheg""")</f>
        <v>Команда "Kovcheg"</v>
      </c>
      <c r="F135" s="6" t="str">
        <f ca="1">IFERROR(__xludf.DUMMYFUNCTION("""COMPUTED_VALUE"""),"Разработка конструктора сайтов")</f>
        <v>Разработка конструктора сайтов</v>
      </c>
      <c r="G135" s="7">
        <f ca="1">IFERROR(__xludf.DUMMYFUNCTION("""COMPUTED_VALUE"""),80)</f>
        <v>80</v>
      </c>
    </row>
    <row r="136" spans="1:7" ht="13.2" x14ac:dyDescent="0.25">
      <c r="A136" s="5">
        <f ca="1">IFERROR(__xludf.DUMMYFUNCTION("""COMPUTED_VALUE"""),1389)</f>
        <v>1389</v>
      </c>
      <c r="B136" s="5" t="str">
        <f ca="1">IFERROR(__xludf.DUMMYFUNCTION("""COMPUTED_VALUE"""),"Ярославцев")</f>
        <v>Ярославцев</v>
      </c>
      <c r="C136" s="5" t="str">
        <f ca="1">IFERROR(__xludf.DUMMYFUNCTION("""COMPUTED_VALUE"""),"Александр")</f>
        <v>Александр</v>
      </c>
      <c r="D136" s="5" t="str">
        <f ca="1">IFERROR(__xludf.DUMMYFUNCTION("""COMPUTED_VALUE"""),"Андреевич")</f>
        <v>Андреевич</v>
      </c>
      <c r="E136" s="5" t="str">
        <f ca="1">IFERROR(__xludf.DUMMYFUNCTION("""COMPUTED_VALUE"""),"Команда ""Kovcheg""")</f>
        <v>Команда "Kovcheg"</v>
      </c>
      <c r="F136" s="6" t="str">
        <f ca="1">IFERROR(__xludf.DUMMYFUNCTION("""COMPUTED_VALUE"""),"Разработка конструктора сайтов")</f>
        <v>Разработка конструктора сайтов</v>
      </c>
      <c r="G136" s="7">
        <f ca="1">IFERROR(__xludf.DUMMYFUNCTION("""COMPUTED_VALUE"""),80)</f>
        <v>80</v>
      </c>
    </row>
    <row r="137" spans="1:7" ht="13.2" x14ac:dyDescent="0.25">
      <c r="A137" s="5">
        <f ca="1">IFERROR(__xludf.DUMMYFUNCTION("""COMPUTED_VALUE"""),120)</f>
        <v>120</v>
      </c>
      <c r="B137" s="5" t="str">
        <f ca="1">IFERROR(__xludf.DUMMYFUNCTION("""COMPUTED_VALUE"""),"Береснев")</f>
        <v>Береснев</v>
      </c>
      <c r="C137" s="5" t="str">
        <f ca="1">IFERROR(__xludf.DUMMYFUNCTION("""COMPUTED_VALUE"""),"Егор")</f>
        <v>Егор</v>
      </c>
      <c r="D137" s="5" t="str">
        <f ca="1">IFERROR(__xludf.DUMMYFUNCTION("""COMPUTED_VALUE"""),"Максимович")</f>
        <v>Максимович</v>
      </c>
      <c r="E137" s="5" t="str">
        <f ca="1">IFERROR(__xludf.DUMMYFUNCTION("""COMPUTED_VALUE"""),"Команда ""Битый пиксель""")</f>
        <v>Команда "Битый пиксель"</v>
      </c>
      <c r="F137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37" s="7">
        <f ca="1">IFERROR(__xludf.DUMMYFUNCTION("""COMPUTED_VALUE"""),100)</f>
        <v>100</v>
      </c>
    </row>
    <row r="138" spans="1:7" ht="13.2" x14ac:dyDescent="0.25">
      <c r="A138" s="5">
        <f ca="1">IFERROR(__xludf.DUMMYFUNCTION("""COMPUTED_VALUE"""),121)</f>
        <v>121</v>
      </c>
      <c r="B138" s="5" t="str">
        <f ca="1">IFERROR(__xludf.DUMMYFUNCTION("""COMPUTED_VALUE"""),"Беспалова")</f>
        <v>Беспалова</v>
      </c>
      <c r="C138" s="5" t="str">
        <f ca="1">IFERROR(__xludf.DUMMYFUNCTION("""COMPUTED_VALUE"""),"Полина")</f>
        <v>Полина</v>
      </c>
      <c r="D138" s="5" t="str">
        <f ca="1">IFERROR(__xludf.DUMMYFUNCTION("""COMPUTED_VALUE"""),"Александровна")</f>
        <v>Александровна</v>
      </c>
      <c r="E138" s="5" t="str">
        <f ca="1">IFERROR(__xludf.DUMMYFUNCTION("""COMPUTED_VALUE"""),"Команда ""Битый пиксель""")</f>
        <v>Команда "Битый пиксель"</v>
      </c>
      <c r="F138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38" s="7">
        <f ca="1">IFERROR(__xludf.DUMMYFUNCTION("""COMPUTED_VALUE"""),100)</f>
        <v>100</v>
      </c>
    </row>
    <row r="139" spans="1:7" ht="13.2" x14ac:dyDescent="0.25">
      <c r="A139" s="5">
        <f ca="1">IFERROR(__xludf.DUMMYFUNCTION("""COMPUTED_VALUE"""),649)</f>
        <v>649</v>
      </c>
      <c r="B139" s="5" t="str">
        <f ca="1">IFERROR(__xludf.DUMMYFUNCTION("""COMPUTED_VALUE"""),"Курносова")</f>
        <v>Курносова</v>
      </c>
      <c r="C139" s="5" t="str">
        <f ca="1">IFERROR(__xludf.DUMMYFUNCTION("""COMPUTED_VALUE"""),"Кира")</f>
        <v>Кира</v>
      </c>
      <c r="D139" s="5" t="str">
        <f ca="1">IFERROR(__xludf.DUMMYFUNCTION("""COMPUTED_VALUE"""),"Николаевна")</f>
        <v>Николаевна</v>
      </c>
      <c r="E139" s="5" t="str">
        <f ca="1">IFERROR(__xludf.DUMMYFUNCTION("""COMPUTED_VALUE"""),"Команда ""Битый пиксель""")</f>
        <v>Команда "Битый пиксель"</v>
      </c>
      <c r="F139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39" s="7">
        <f ca="1">IFERROR(__xludf.DUMMYFUNCTION("""COMPUTED_VALUE"""),100)</f>
        <v>100</v>
      </c>
    </row>
    <row r="140" spans="1:7" ht="13.2" x14ac:dyDescent="0.25">
      <c r="A140" s="5">
        <f ca="1">IFERROR(__xludf.DUMMYFUNCTION("""COMPUTED_VALUE"""),1027)</f>
        <v>1027</v>
      </c>
      <c r="B140" s="5" t="str">
        <f ca="1">IFERROR(__xludf.DUMMYFUNCTION("""COMPUTED_VALUE"""),"Садыков")</f>
        <v>Садыков</v>
      </c>
      <c r="C140" s="5" t="str">
        <f ca="1">IFERROR(__xludf.DUMMYFUNCTION("""COMPUTED_VALUE"""),"Денис")</f>
        <v>Денис</v>
      </c>
      <c r="D140" s="5" t="str">
        <f ca="1">IFERROR(__xludf.DUMMYFUNCTION("""COMPUTED_VALUE"""),"Разилевич")</f>
        <v>Разилевич</v>
      </c>
      <c r="E140" s="5" t="str">
        <f ca="1">IFERROR(__xludf.DUMMYFUNCTION("""COMPUTED_VALUE"""),"Команда ""Битый пиксель""")</f>
        <v>Команда "Битый пиксель"</v>
      </c>
      <c r="F140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40" s="7">
        <f ca="1">IFERROR(__xludf.DUMMYFUNCTION("""COMPUTED_VALUE"""),100)</f>
        <v>100</v>
      </c>
    </row>
    <row r="141" spans="1:7" ht="13.2" x14ac:dyDescent="0.25">
      <c r="A141" s="5">
        <f ca="1">IFERROR(__xludf.DUMMYFUNCTION("""COMPUTED_VALUE"""),1194)</f>
        <v>1194</v>
      </c>
      <c r="B141" s="5" t="str">
        <f ca="1">IFERROR(__xludf.DUMMYFUNCTION("""COMPUTED_VALUE"""),"Узенков")</f>
        <v>Узенков</v>
      </c>
      <c r="C141" s="5" t="str">
        <f ca="1">IFERROR(__xludf.DUMMYFUNCTION("""COMPUTED_VALUE"""),"Кирилл")</f>
        <v>Кирилл</v>
      </c>
      <c r="D141" s="5" t="str">
        <f ca="1">IFERROR(__xludf.DUMMYFUNCTION("""COMPUTED_VALUE"""),"Владиславович")</f>
        <v>Владиславович</v>
      </c>
      <c r="E141" s="5" t="str">
        <f ca="1">IFERROR(__xludf.DUMMYFUNCTION("""COMPUTED_VALUE"""),"Команда ""Битый пиксель""")</f>
        <v>Команда "Битый пиксель"</v>
      </c>
      <c r="F141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41" s="7">
        <f ca="1">IFERROR(__xludf.DUMMYFUNCTION("""COMPUTED_VALUE"""),100)</f>
        <v>100</v>
      </c>
    </row>
    <row r="142" spans="1:7" ht="13.2" x14ac:dyDescent="0.25">
      <c r="A142" s="5">
        <f ca="1">IFERROR(__xludf.DUMMYFUNCTION("""COMPUTED_VALUE"""),12)</f>
        <v>12</v>
      </c>
      <c r="B142" s="5" t="str">
        <f ca="1">IFERROR(__xludf.DUMMYFUNCTION("""COMPUTED_VALUE"""),"Абляметов")</f>
        <v>Абляметов</v>
      </c>
      <c r="C142" s="5" t="str">
        <f ca="1">IFERROR(__xludf.DUMMYFUNCTION("""COMPUTED_VALUE"""),"Сердар")</f>
        <v>Сердар</v>
      </c>
      <c r="D142" s="5" t="str">
        <f ca="1">IFERROR(__xludf.DUMMYFUNCTION("""COMPUTED_VALUE"""),"Маратович")</f>
        <v>Маратович</v>
      </c>
      <c r="E142" s="5" t="str">
        <f ca="1">IFERROR(__xludf.DUMMYFUNCTION("""COMPUTED_VALUE"""),"Команда HappyCode")</f>
        <v>Команда HappyCode</v>
      </c>
      <c r="F142" s="6" t="str">
        <f ca="1">IFERROR(__xludf.DUMMYFUNCTION("""COMPUTED_VALUE"""),"Разработка аналога сервиса ArGIN")</f>
        <v>Разработка аналога сервиса ArGIN</v>
      </c>
      <c r="G142" s="7">
        <f ca="1">IFERROR(__xludf.DUMMYFUNCTION("""COMPUTED_VALUE"""),85)</f>
        <v>85</v>
      </c>
    </row>
    <row r="143" spans="1:7" ht="13.2" x14ac:dyDescent="0.25">
      <c r="A143" s="5">
        <f ca="1">IFERROR(__xludf.DUMMYFUNCTION("""COMPUTED_VALUE"""),572)</f>
        <v>572</v>
      </c>
      <c r="B143" s="5" t="str">
        <f ca="1">IFERROR(__xludf.DUMMYFUNCTION("""COMPUTED_VALUE"""),"Коноплицкий")</f>
        <v>Коноплицкий</v>
      </c>
      <c r="C143" s="5" t="str">
        <f ca="1">IFERROR(__xludf.DUMMYFUNCTION("""COMPUTED_VALUE"""),"Илья")</f>
        <v>Илья</v>
      </c>
      <c r="D143" s="5" t="str">
        <f ca="1">IFERROR(__xludf.DUMMYFUNCTION("""COMPUTED_VALUE"""),"Павлович")</f>
        <v>Павлович</v>
      </c>
      <c r="E143" s="5" t="str">
        <f ca="1">IFERROR(__xludf.DUMMYFUNCTION("""COMPUTED_VALUE"""),"Команда HappyCode")</f>
        <v>Команда HappyCode</v>
      </c>
      <c r="F143" s="6" t="str">
        <f ca="1">IFERROR(__xludf.DUMMYFUNCTION("""COMPUTED_VALUE"""),"Разработка аналога сервиса ArGIN")</f>
        <v>Разработка аналога сервиса ArGIN</v>
      </c>
      <c r="G143" s="7">
        <f ca="1">IFERROR(__xludf.DUMMYFUNCTION("""COMPUTED_VALUE"""),85)</f>
        <v>85</v>
      </c>
    </row>
    <row r="144" spans="1:7" ht="13.2" x14ac:dyDescent="0.25">
      <c r="A144" s="5">
        <f ca="1">IFERROR(__xludf.DUMMYFUNCTION("""COMPUTED_VALUE"""),873)</f>
        <v>873</v>
      </c>
      <c r="B144" s="5" t="str">
        <f ca="1">IFERROR(__xludf.DUMMYFUNCTION("""COMPUTED_VALUE"""),"Овчинникова")</f>
        <v>Овчинникова</v>
      </c>
      <c r="C144" s="5" t="str">
        <f ca="1">IFERROR(__xludf.DUMMYFUNCTION("""COMPUTED_VALUE"""),"Мария")</f>
        <v>Мария</v>
      </c>
      <c r="D144" s="5" t="str">
        <f ca="1">IFERROR(__xludf.DUMMYFUNCTION("""COMPUTED_VALUE"""),"Александровна")</f>
        <v>Александровна</v>
      </c>
      <c r="E144" s="5" t="str">
        <f ca="1">IFERROR(__xludf.DUMMYFUNCTION("""COMPUTED_VALUE"""),"Команда HappyCode")</f>
        <v>Команда HappyCode</v>
      </c>
      <c r="F144" s="6" t="str">
        <f ca="1">IFERROR(__xludf.DUMMYFUNCTION("""COMPUTED_VALUE"""),"Разработка аналога сервиса ArGIN")</f>
        <v>Разработка аналога сервиса ArGIN</v>
      </c>
      <c r="G144" s="7">
        <f ca="1">IFERROR(__xludf.DUMMYFUNCTION("""COMPUTED_VALUE"""),85)</f>
        <v>85</v>
      </c>
    </row>
    <row r="145" spans="1:7" ht="13.2" x14ac:dyDescent="0.25">
      <c r="A145" s="5">
        <f ca="1">IFERROR(__xludf.DUMMYFUNCTION("""COMPUTED_VALUE"""),1018)</f>
        <v>1018</v>
      </c>
      <c r="B145" s="5" t="str">
        <f ca="1">IFERROR(__xludf.DUMMYFUNCTION("""COMPUTED_VALUE"""),"Сабриханов")</f>
        <v>Сабриханов</v>
      </c>
      <c r="C145" s="5" t="str">
        <f ca="1">IFERROR(__xludf.DUMMYFUNCTION("""COMPUTED_VALUE"""),"Ильдар")</f>
        <v>Ильдар</v>
      </c>
      <c r="D145" s="5" t="str">
        <f ca="1">IFERROR(__xludf.DUMMYFUNCTION("""COMPUTED_VALUE"""),"Гафиятуллович")</f>
        <v>Гафиятуллович</v>
      </c>
      <c r="E145" s="5" t="str">
        <f ca="1">IFERROR(__xludf.DUMMYFUNCTION("""COMPUTED_VALUE"""),"Команда HappyCode")</f>
        <v>Команда HappyCode</v>
      </c>
      <c r="F145" s="6" t="str">
        <f ca="1">IFERROR(__xludf.DUMMYFUNCTION("""COMPUTED_VALUE"""),"Разработка аналога сервиса ArGIN")</f>
        <v>Разработка аналога сервиса ArGIN</v>
      </c>
      <c r="G145" s="7">
        <f ca="1">IFERROR(__xludf.DUMMYFUNCTION("""COMPUTED_VALUE"""),85)</f>
        <v>85</v>
      </c>
    </row>
    <row r="146" spans="1:7" ht="13.2" x14ac:dyDescent="0.25">
      <c r="A146" s="5">
        <f ca="1">IFERROR(__xludf.DUMMYFUNCTION("""COMPUTED_VALUE"""),1258)</f>
        <v>1258</v>
      </c>
      <c r="B146" s="5" t="str">
        <f ca="1">IFERROR(__xludf.DUMMYFUNCTION("""COMPUTED_VALUE"""),"Худякова")</f>
        <v>Худякова</v>
      </c>
      <c r="C146" s="5" t="str">
        <f ca="1">IFERROR(__xludf.DUMMYFUNCTION("""COMPUTED_VALUE"""),"Мария")</f>
        <v>Мария</v>
      </c>
      <c r="D146" s="5" t="str">
        <f ca="1">IFERROR(__xludf.DUMMYFUNCTION("""COMPUTED_VALUE"""),"Сергеевна")</f>
        <v>Сергеевна</v>
      </c>
      <c r="E146" s="5" t="str">
        <f ca="1">IFERROR(__xludf.DUMMYFUNCTION("""COMPUTED_VALUE"""),"Команда HappyCode")</f>
        <v>Команда HappyCode</v>
      </c>
      <c r="F146" s="6" t="str">
        <f ca="1">IFERROR(__xludf.DUMMYFUNCTION("""COMPUTED_VALUE"""),"Разработка аналога сервиса ArGIN")</f>
        <v>Разработка аналога сервиса ArGIN</v>
      </c>
      <c r="G146" s="7">
        <f ca="1">IFERROR(__xludf.DUMMYFUNCTION("""COMPUTED_VALUE"""),85)</f>
        <v>85</v>
      </c>
    </row>
    <row r="147" spans="1:7" ht="26.4" x14ac:dyDescent="0.25">
      <c r="A147" s="5">
        <f ca="1">IFERROR(__xludf.DUMMYFUNCTION("""COMPUTED_VALUE"""),48)</f>
        <v>48</v>
      </c>
      <c r="B147" s="5" t="str">
        <f ca="1">IFERROR(__xludf.DUMMYFUNCTION("""COMPUTED_VALUE"""),"Анфилофьев")</f>
        <v>Анфилофьев</v>
      </c>
      <c r="C147" s="5" t="str">
        <f ca="1">IFERROR(__xludf.DUMMYFUNCTION("""COMPUTED_VALUE"""),"Денис")</f>
        <v>Денис</v>
      </c>
      <c r="D147" s="5" t="str">
        <f ca="1">IFERROR(__xludf.DUMMYFUNCTION("""COMPUTED_VALUE"""),"Андреевич")</f>
        <v>Андреевич</v>
      </c>
      <c r="E147" s="5" t="str">
        <f ca="1">IFERROR(__xludf.DUMMYFUNCTION("""COMPUTED_VALUE"""),"Команда №33487")</f>
        <v>Команда №33487</v>
      </c>
      <c r="F147" s="6" t="str">
        <f ca="1">IFERROR(__xludf.DUMMYFUNCTION("""COMPUTED_VALUE"""),"Структурная биоинформатика и анализ патогенности вариантов")</f>
        <v>Структурная биоинформатика и анализ патогенности вариантов</v>
      </c>
      <c r="G147" s="7">
        <f ca="1">IFERROR(__xludf.DUMMYFUNCTION("""COMPUTED_VALUE"""),98)</f>
        <v>98</v>
      </c>
    </row>
    <row r="148" spans="1:7" ht="26.4" x14ac:dyDescent="0.25">
      <c r="A148" s="5">
        <f ca="1">IFERROR(__xludf.DUMMYFUNCTION("""COMPUTED_VALUE"""),633)</f>
        <v>633</v>
      </c>
      <c r="B148" s="5" t="str">
        <f ca="1">IFERROR(__xludf.DUMMYFUNCTION("""COMPUTED_VALUE"""),"Кукевич")</f>
        <v>Кукевич</v>
      </c>
      <c r="C148" s="5" t="str">
        <f ca="1">IFERROR(__xludf.DUMMYFUNCTION("""COMPUTED_VALUE"""),"Максим")</f>
        <v>Максим</v>
      </c>
      <c r="D148" s="5" t="str">
        <f ca="1">IFERROR(__xludf.DUMMYFUNCTION("""COMPUTED_VALUE"""),"Александрович")</f>
        <v>Александрович</v>
      </c>
      <c r="E148" s="5" t="str">
        <f ca="1">IFERROR(__xludf.DUMMYFUNCTION("""COMPUTED_VALUE"""),"Команда №33487")</f>
        <v>Команда №33487</v>
      </c>
      <c r="F148" s="6" t="str">
        <f ca="1">IFERROR(__xludf.DUMMYFUNCTION("""COMPUTED_VALUE"""),"Структурная биоинформатика и анализ патогенности вариантов")</f>
        <v>Структурная биоинформатика и анализ патогенности вариантов</v>
      </c>
      <c r="G148" s="7">
        <f ca="1">IFERROR(__xludf.DUMMYFUNCTION("""COMPUTED_VALUE"""),98)</f>
        <v>98</v>
      </c>
    </row>
    <row r="149" spans="1:7" ht="26.4" x14ac:dyDescent="0.25">
      <c r="A149" s="5">
        <f ca="1">IFERROR(__xludf.DUMMYFUNCTION("""COMPUTED_VALUE"""),1188)</f>
        <v>1188</v>
      </c>
      <c r="B149" s="5" t="str">
        <f ca="1">IFERROR(__xludf.DUMMYFUNCTION("""COMPUTED_VALUE"""),"Тякин")</f>
        <v>Тякин</v>
      </c>
      <c r="C149" s="5" t="str">
        <f ca="1">IFERROR(__xludf.DUMMYFUNCTION("""COMPUTED_VALUE"""),"Ильдар")</f>
        <v>Ильдар</v>
      </c>
      <c r="D149" s="5" t="str">
        <f ca="1">IFERROR(__xludf.DUMMYFUNCTION("""COMPUTED_VALUE"""),"Эльфатуллович")</f>
        <v>Эльфатуллович</v>
      </c>
      <c r="E149" s="5" t="str">
        <f ca="1">IFERROR(__xludf.DUMMYFUNCTION("""COMPUTED_VALUE"""),"Команда №33487")</f>
        <v>Команда №33487</v>
      </c>
      <c r="F149" s="6" t="str">
        <f ca="1">IFERROR(__xludf.DUMMYFUNCTION("""COMPUTED_VALUE"""),"Структурная биоинформатика и анализ патогенности вариантов")</f>
        <v>Структурная биоинформатика и анализ патогенности вариантов</v>
      </c>
      <c r="G149" s="7">
        <f ca="1">IFERROR(__xludf.DUMMYFUNCTION("""COMPUTED_VALUE"""),98)</f>
        <v>98</v>
      </c>
    </row>
    <row r="150" spans="1:7" ht="13.2" x14ac:dyDescent="0.25">
      <c r="A150" s="5">
        <f ca="1">IFERROR(__xludf.DUMMYFUNCTION("""COMPUTED_VALUE"""),144)</f>
        <v>144</v>
      </c>
      <c r="B150" s="5" t="str">
        <f ca="1">IFERROR(__xludf.DUMMYFUNCTION("""COMPUTED_VALUE"""),"Боровков")</f>
        <v>Боровков</v>
      </c>
      <c r="C150" s="5" t="str">
        <f ca="1">IFERROR(__xludf.DUMMYFUNCTION("""COMPUTED_VALUE"""),"Елисей")</f>
        <v>Елисей</v>
      </c>
      <c r="D150" s="5" t="str">
        <f ca="1">IFERROR(__xludf.DUMMYFUNCTION("""COMPUTED_VALUE"""),"Алексеевич")</f>
        <v>Алексеевич</v>
      </c>
      <c r="E150" s="5" t="str">
        <f ca="1">IFERROR(__xludf.DUMMYFUNCTION("""COMPUTED_VALUE"""),"Команда №3664")</f>
        <v>Команда №3664</v>
      </c>
      <c r="F150" s="6" t="str">
        <f ca="1">IFERROR(__xludf.DUMMYFUNCTION("""COMPUTED_VALUE"""),"Разработка игр на Unity + Игровой арт")</f>
        <v>Разработка игр на Unity + Игровой арт</v>
      </c>
      <c r="G150" s="7">
        <f ca="1">IFERROR(__xludf.DUMMYFUNCTION("""COMPUTED_VALUE"""),97)</f>
        <v>97</v>
      </c>
    </row>
    <row r="151" spans="1:7" ht="13.2" x14ac:dyDescent="0.25">
      <c r="A151" s="5">
        <f ca="1">IFERROR(__xludf.DUMMYFUNCTION("""COMPUTED_VALUE"""),233)</f>
        <v>233</v>
      </c>
      <c r="B151" s="5" t="str">
        <f ca="1">IFERROR(__xludf.DUMMYFUNCTION("""COMPUTED_VALUE"""),"Гайнетдинов")</f>
        <v>Гайнетдинов</v>
      </c>
      <c r="C151" s="5" t="str">
        <f ca="1">IFERROR(__xludf.DUMMYFUNCTION("""COMPUTED_VALUE"""),"Егор")</f>
        <v>Егор</v>
      </c>
      <c r="D151" s="5" t="str">
        <f ca="1">IFERROR(__xludf.DUMMYFUNCTION("""COMPUTED_VALUE"""),"Игоревич")</f>
        <v>Игоревич</v>
      </c>
      <c r="E151" s="5" t="str">
        <f ca="1">IFERROR(__xludf.DUMMYFUNCTION("""COMPUTED_VALUE"""),"Команда №3664")</f>
        <v>Команда №3664</v>
      </c>
      <c r="F151" s="6" t="str">
        <f ca="1">IFERROR(__xludf.DUMMYFUNCTION("""COMPUTED_VALUE"""),"Разработка игр на Unity + Игровой арт")</f>
        <v>Разработка игр на Unity + Игровой арт</v>
      </c>
      <c r="G151" s="7">
        <f ca="1">IFERROR(__xludf.DUMMYFUNCTION("""COMPUTED_VALUE"""),97)</f>
        <v>97</v>
      </c>
    </row>
    <row r="152" spans="1:7" ht="13.2" x14ac:dyDescent="0.25">
      <c r="A152" s="5">
        <f ca="1">IFERROR(__xludf.DUMMYFUNCTION("""COMPUTED_VALUE"""),282)</f>
        <v>282</v>
      </c>
      <c r="B152" s="5" t="str">
        <f ca="1">IFERROR(__xludf.DUMMYFUNCTION("""COMPUTED_VALUE"""),"Григорьева")</f>
        <v>Григорьева</v>
      </c>
      <c r="C152" s="5" t="str">
        <f ca="1">IFERROR(__xludf.DUMMYFUNCTION("""COMPUTED_VALUE"""),"Анастасия")</f>
        <v>Анастасия</v>
      </c>
      <c r="D152" s="5" t="str">
        <f ca="1">IFERROR(__xludf.DUMMYFUNCTION("""COMPUTED_VALUE"""),"Петровна")</f>
        <v>Петровна</v>
      </c>
      <c r="E152" s="5" t="str">
        <f ca="1">IFERROR(__xludf.DUMMYFUNCTION("""COMPUTED_VALUE"""),"Команда №3664")</f>
        <v>Команда №3664</v>
      </c>
      <c r="F152" s="6" t="str">
        <f ca="1">IFERROR(__xludf.DUMMYFUNCTION("""COMPUTED_VALUE"""),"Разработка игр на Unity + Игровой арт")</f>
        <v>Разработка игр на Unity + Игровой арт</v>
      </c>
      <c r="G152" s="7">
        <f ca="1">IFERROR(__xludf.DUMMYFUNCTION("""COMPUTED_VALUE"""),97)</f>
        <v>97</v>
      </c>
    </row>
    <row r="153" spans="1:7" ht="13.2" x14ac:dyDescent="0.25">
      <c r="A153" s="5">
        <f ca="1">IFERROR(__xludf.DUMMYFUNCTION("""COMPUTED_VALUE"""),319)</f>
        <v>319</v>
      </c>
      <c r="B153" s="5" t="str">
        <f ca="1">IFERROR(__xludf.DUMMYFUNCTION("""COMPUTED_VALUE"""),"Дмитриев")</f>
        <v>Дмитриев</v>
      </c>
      <c r="C153" s="5" t="str">
        <f ca="1">IFERROR(__xludf.DUMMYFUNCTION("""COMPUTED_VALUE"""),"Виталий")</f>
        <v>Виталий</v>
      </c>
      <c r="D153" s="5" t="str">
        <f ca="1">IFERROR(__xludf.DUMMYFUNCTION("""COMPUTED_VALUE"""),"Денисович")</f>
        <v>Денисович</v>
      </c>
      <c r="E153" s="5" t="str">
        <f ca="1">IFERROR(__xludf.DUMMYFUNCTION("""COMPUTED_VALUE"""),"Команда №3664")</f>
        <v>Команда №3664</v>
      </c>
      <c r="F153" s="6" t="str">
        <f ca="1">IFERROR(__xludf.DUMMYFUNCTION("""COMPUTED_VALUE"""),"Разработка игр на Unity + Игровой арт")</f>
        <v>Разработка игр на Unity + Игровой арт</v>
      </c>
      <c r="G153" s="7">
        <f ca="1">IFERROR(__xludf.DUMMYFUNCTION("""COMPUTED_VALUE"""),97)</f>
        <v>97</v>
      </c>
    </row>
    <row r="154" spans="1:7" ht="13.2" x14ac:dyDescent="0.25">
      <c r="A154" s="5">
        <f ca="1">IFERROR(__xludf.DUMMYFUNCTION("""COMPUTED_VALUE"""),356)</f>
        <v>356</v>
      </c>
      <c r="B154" s="5" t="str">
        <f ca="1">IFERROR(__xludf.DUMMYFUNCTION("""COMPUTED_VALUE"""),"Егорова")</f>
        <v>Егорова</v>
      </c>
      <c r="C154" s="5" t="str">
        <f ca="1">IFERROR(__xludf.DUMMYFUNCTION("""COMPUTED_VALUE"""),"Екатерина")</f>
        <v>Екатерина</v>
      </c>
      <c r="D154" s="5" t="str">
        <f ca="1">IFERROR(__xludf.DUMMYFUNCTION("""COMPUTED_VALUE"""),"Андреевна")</f>
        <v>Андреевна</v>
      </c>
      <c r="E154" s="5" t="str">
        <f ca="1">IFERROR(__xludf.DUMMYFUNCTION("""COMPUTED_VALUE"""),"Команда №3664")</f>
        <v>Команда №3664</v>
      </c>
      <c r="F154" s="6" t="str">
        <f ca="1">IFERROR(__xludf.DUMMYFUNCTION("""COMPUTED_VALUE"""),"Разработка игр на Unity + Игровой арт")</f>
        <v>Разработка игр на Unity + Игровой арт</v>
      </c>
      <c r="G154" s="7">
        <f ca="1">IFERROR(__xludf.DUMMYFUNCTION("""COMPUTED_VALUE"""),97)</f>
        <v>97</v>
      </c>
    </row>
    <row r="155" spans="1:7" ht="13.2" x14ac:dyDescent="0.25">
      <c r="A155" s="5">
        <f ca="1">IFERROR(__xludf.DUMMYFUNCTION("""COMPUTED_VALUE"""),449)</f>
        <v>449</v>
      </c>
      <c r="B155" s="5" t="str">
        <f ca="1">IFERROR(__xludf.DUMMYFUNCTION("""COMPUTED_VALUE"""),"Иванникова")</f>
        <v>Иванникова</v>
      </c>
      <c r="C155" s="5" t="str">
        <f ca="1">IFERROR(__xludf.DUMMYFUNCTION("""COMPUTED_VALUE"""),"Полина")</f>
        <v>Полина</v>
      </c>
      <c r="D155" s="5" t="str">
        <f ca="1">IFERROR(__xludf.DUMMYFUNCTION("""COMPUTED_VALUE"""),"Вячеславовна")</f>
        <v>Вячеславовна</v>
      </c>
      <c r="E155" s="5" t="str">
        <f ca="1">IFERROR(__xludf.DUMMYFUNCTION("""COMPUTED_VALUE"""),"Команда №3664")</f>
        <v>Команда №3664</v>
      </c>
      <c r="F155" s="6" t="str">
        <f ca="1">IFERROR(__xludf.DUMMYFUNCTION("""COMPUTED_VALUE"""),"Разработка игр на Unity + Игровой арт")</f>
        <v>Разработка игр на Unity + Игровой арт</v>
      </c>
      <c r="G155" s="7">
        <f ca="1">IFERROR(__xludf.DUMMYFUNCTION("""COMPUTED_VALUE"""),97)</f>
        <v>97</v>
      </c>
    </row>
    <row r="156" spans="1:7" ht="13.2" x14ac:dyDescent="0.25">
      <c r="A156" s="5">
        <f ca="1">IFERROR(__xludf.DUMMYFUNCTION("""COMPUTED_VALUE"""),1207)</f>
        <v>1207</v>
      </c>
      <c r="B156" s="5" t="str">
        <f ca="1">IFERROR(__xludf.DUMMYFUNCTION("""COMPUTED_VALUE"""),"Фалалеев")</f>
        <v>Фалалеев</v>
      </c>
      <c r="C156" s="5" t="str">
        <f ca="1">IFERROR(__xludf.DUMMYFUNCTION("""COMPUTED_VALUE"""),"Вадим")</f>
        <v>Вадим</v>
      </c>
      <c r="D156" s="5" t="str">
        <f ca="1">IFERROR(__xludf.DUMMYFUNCTION("""COMPUTED_VALUE"""),"Эдуардович")</f>
        <v>Эдуардович</v>
      </c>
      <c r="E156" s="5" t="str">
        <f ca="1">IFERROR(__xludf.DUMMYFUNCTION("""COMPUTED_VALUE"""),"Команда №3664")</f>
        <v>Команда №3664</v>
      </c>
      <c r="F156" s="6" t="str">
        <f ca="1">IFERROR(__xludf.DUMMYFUNCTION("""COMPUTED_VALUE"""),"Разработка игр на Unity + Игровой арт")</f>
        <v>Разработка игр на Unity + Игровой арт</v>
      </c>
      <c r="G156" s="7">
        <f ca="1">IFERROR(__xludf.DUMMYFUNCTION("""COMPUTED_VALUE"""),97)</f>
        <v>97</v>
      </c>
    </row>
    <row r="157" spans="1:7" ht="26.4" x14ac:dyDescent="0.25">
      <c r="A157" s="5">
        <f ca="1">IFERROR(__xludf.DUMMYFUNCTION("""COMPUTED_VALUE"""),189)</f>
        <v>189</v>
      </c>
      <c r="B157" s="5" t="str">
        <f ca="1">IFERROR(__xludf.DUMMYFUNCTION("""COMPUTED_VALUE"""),"Вдовин")</f>
        <v>Вдовин</v>
      </c>
      <c r="C157" s="5" t="str">
        <f ca="1">IFERROR(__xludf.DUMMYFUNCTION("""COMPUTED_VALUE"""),"Никита")</f>
        <v>Никита</v>
      </c>
      <c r="D157" s="5" t="str">
        <f ca="1">IFERROR(__xludf.DUMMYFUNCTION("""COMPUTED_VALUE"""),"Максимович")</f>
        <v>Максимович</v>
      </c>
      <c r="E157" s="5" t="str">
        <f ca="1">IFERROR(__xludf.DUMMYFUNCTION("""COMPUTED_VALUE"""),"Команда №3666")</f>
        <v>Команда №3666</v>
      </c>
      <c r="F157" s="6" t="str">
        <f ca="1">IFERROR(__xludf.DUMMYFUNCTION("""COMPUTED_VALUE"""),"Разработка системы проведения собеседований с написанием кода в реальном времени")</f>
        <v>Разработка системы проведения собеседований с написанием кода в реальном времени</v>
      </c>
      <c r="G157" s="7">
        <f ca="1">IFERROR(__xludf.DUMMYFUNCTION("""COMPUTED_VALUE"""),100)</f>
        <v>100</v>
      </c>
    </row>
    <row r="158" spans="1:7" ht="26.4" x14ac:dyDescent="0.25">
      <c r="A158" s="5">
        <f ca="1">IFERROR(__xludf.DUMMYFUNCTION("""COMPUTED_VALUE"""),309)</f>
        <v>309</v>
      </c>
      <c r="B158" s="5" t="str">
        <f ca="1">IFERROR(__xludf.DUMMYFUNCTION("""COMPUTED_VALUE"""),"Демашов")</f>
        <v>Демашов</v>
      </c>
      <c r="C158" s="5" t="str">
        <f ca="1">IFERROR(__xludf.DUMMYFUNCTION("""COMPUTED_VALUE"""),"Кирилл")</f>
        <v>Кирилл</v>
      </c>
      <c r="D158" s="5" t="str">
        <f ca="1">IFERROR(__xludf.DUMMYFUNCTION("""COMPUTED_VALUE"""),"Сергеевич")</f>
        <v>Сергеевич</v>
      </c>
      <c r="E158" s="5" t="str">
        <f ca="1">IFERROR(__xludf.DUMMYFUNCTION("""COMPUTED_VALUE"""),"Команда №3666")</f>
        <v>Команда №3666</v>
      </c>
      <c r="F158" s="6" t="str">
        <f ca="1">IFERROR(__xludf.DUMMYFUNCTION("""COMPUTED_VALUE"""),"Разработка системы проведения собеседований с написанием кода в реальном времени")</f>
        <v>Разработка системы проведения собеседований с написанием кода в реальном времени</v>
      </c>
      <c r="G158" s="7">
        <f ca="1">IFERROR(__xludf.DUMMYFUNCTION("""COMPUTED_VALUE"""),100)</f>
        <v>100</v>
      </c>
    </row>
    <row r="159" spans="1:7" ht="26.4" x14ac:dyDescent="0.25">
      <c r="A159" s="5">
        <f ca="1">IFERROR(__xludf.DUMMYFUNCTION("""COMPUTED_VALUE"""),730)</f>
        <v>730</v>
      </c>
      <c r="B159" s="5" t="str">
        <f ca="1">IFERROR(__xludf.DUMMYFUNCTION("""COMPUTED_VALUE"""),"Мартынцева")</f>
        <v>Мартынцева</v>
      </c>
      <c r="C159" s="5" t="str">
        <f ca="1">IFERROR(__xludf.DUMMYFUNCTION("""COMPUTED_VALUE"""),"Анастасия")</f>
        <v>Анастасия</v>
      </c>
      <c r="D159" s="5" t="str">
        <f ca="1">IFERROR(__xludf.DUMMYFUNCTION("""COMPUTED_VALUE"""),"Александровна")</f>
        <v>Александровна</v>
      </c>
      <c r="E159" s="5" t="str">
        <f ca="1">IFERROR(__xludf.DUMMYFUNCTION("""COMPUTED_VALUE"""),"Команда №3666")</f>
        <v>Команда №3666</v>
      </c>
      <c r="F159" s="6" t="str">
        <f ca="1">IFERROR(__xludf.DUMMYFUNCTION("""COMPUTED_VALUE"""),"Разработка системы проведения собеседований с написанием кода в реальном времени")</f>
        <v>Разработка системы проведения собеседований с написанием кода в реальном времени</v>
      </c>
      <c r="G159" s="7">
        <f ca="1">IFERROR(__xludf.DUMMYFUNCTION("""COMPUTED_VALUE"""),100)</f>
        <v>100</v>
      </c>
    </row>
    <row r="160" spans="1:7" ht="26.4" x14ac:dyDescent="0.25">
      <c r="A160" s="5">
        <f ca="1">IFERROR(__xludf.DUMMYFUNCTION("""COMPUTED_VALUE"""),1020)</f>
        <v>1020</v>
      </c>
      <c r="B160" s="5" t="str">
        <f ca="1">IFERROR(__xludf.DUMMYFUNCTION("""COMPUTED_VALUE"""),"Савельев")</f>
        <v>Савельев</v>
      </c>
      <c r="C160" s="5" t="str">
        <f ca="1">IFERROR(__xludf.DUMMYFUNCTION("""COMPUTED_VALUE"""),"Клим")</f>
        <v>Клим</v>
      </c>
      <c r="D160" s="5" t="str">
        <f ca="1">IFERROR(__xludf.DUMMYFUNCTION("""COMPUTED_VALUE"""),"Сергеевич")</f>
        <v>Сергеевич</v>
      </c>
      <c r="E160" s="5" t="str">
        <f ca="1">IFERROR(__xludf.DUMMYFUNCTION("""COMPUTED_VALUE"""),"Команда №3666")</f>
        <v>Команда №3666</v>
      </c>
      <c r="F160" s="6" t="str">
        <f ca="1">IFERROR(__xludf.DUMMYFUNCTION("""COMPUTED_VALUE"""),"Разработка системы проведения собеседований с написанием кода в реальном времени")</f>
        <v>Разработка системы проведения собеседований с написанием кода в реальном времени</v>
      </c>
      <c r="G160" s="7">
        <f ca="1">IFERROR(__xludf.DUMMYFUNCTION("""COMPUTED_VALUE"""),100)</f>
        <v>100</v>
      </c>
    </row>
    <row r="161" spans="1:7" ht="26.4" x14ac:dyDescent="0.25">
      <c r="A161" s="5">
        <f ca="1">IFERROR(__xludf.DUMMYFUNCTION("""COMPUTED_VALUE"""),1198)</f>
        <v>1198</v>
      </c>
      <c r="B161" s="5" t="str">
        <f ca="1">IFERROR(__xludf.DUMMYFUNCTION("""COMPUTED_VALUE"""),"Устинов")</f>
        <v>Устинов</v>
      </c>
      <c r="C161" s="5" t="str">
        <f ca="1">IFERROR(__xludf.DUMMYFUNCTION("""COMPUTED_VALUE"""),"Алексей")</f>
        <v>Алексей</v>
      </c>
      <c r="D161" s="5" t="str">
        <f ca="1">IFERROR(__xludf.DUMMYFUNCTION("""COMPUTED_VALUE"""),"Евгеньевич")</f>
        <v>Евгеньевич</v>
      </c>
      <c r="E161" s="5" t="str">
        <f ca="1">IFERROR(__xludf.DUMMYFUNCTION("""COMPUTED_VALUE"""),"Команда №3666")</f>
        <v>Команда №3666</v>
      </c>
      <c r="F161" s="6" t="str">
        <f ca="1">IFERROR(__xludf.DUMMYFUNCTION("""COMPUTED_VALUE"""),"Разработка системы проведения собеседований с написанием кода в реальном времени")</f>
        <v>Разработка системы проведения собеседований с написанием кода в реальном времени</v>
      </c>
      <c r="G161" s="7">
        <f ca="1">IFERROR(__xludf.DUMMYFUNCTION("""COMPUTED_VALUE"""),100)</f>
        <v>100</v>
      </c>
    </row>
    <row r="162" spans="1:7" ht="39.6" x14ac:dyDescent="0.25">
      <c r="A162" s="5">
        <f ca="1">IFERROR(__xludf.DUMMYFUNCTION("""COMPUTED_VALUE"""),277)</f>
        <v>277</v>
      </c>
      <c r="B162" s="5" t="str">
        <f ca="1">IFERROR(__xludf.DUMMYFUNCTION("""COMPUTED_VALUE"""),"Грачева")</f>
        <v>Грачева</v>
      </c>
      <c r="C162" s="5" t="str">
        <f ca="1">IFERROR(__xludf.DUMMYFUNCTION("""COMPUTED_VALUE"""),"Анастасия")</f>
        <v>Анастасия</v>
      </c>
      <c r="D162" s="5" t="str">
        <f ca="1">IFERROR(__xludf.DUMMYFUNCTION("""COMPUTED_VALUE"""),"Ильинична")</f>
        <v>Ильинична</v>
      </c>
      <c r="E162" s="5" t="str">
        <f ca="1">IFERROR(__xludf.DUMMYFUNCTION("""COMPUTED_VALUE"""),"Команда №3669")</f>
        <v>Команда №3669</v>
      </c>
      <c r="F162" s="6" t="str">
        <f ca="1">IFERROR(__xludf.DUMMYFUNCTION("""COMPUTED_VALUE"""),"Разработка приложения предназначенного для структурирования предпочтений гостей при организации совместных вечеринок")</f>
        <v>Разработка приложения предназначенного для структурирования предпочтений гостей при организации совместных вечеринок</v>
      </c>
      <c r="G162" s="7">
        <f ca="1">IFERROR(__xludf.DUMMYFUNCTION("""COMPUTED_VALUE"""),87)</f>
        <v>87</v>
      </c>
    </row>
    <row r="163" spans="1:7" ht="39.6" x14ac:dyDescent="0.25">
      <c r="A163" s="5">
        <f ca="1">IFERROR(__xludf.DUMMYFUNCTION("""COMPUTED_VALUE"""),308)</f>
        <v>308</v>
      </c>
      <c r="B163" s="5" t="str">
        <f ca="1">IFERROR(__xludf.DUMMYFUNCTION("""COMPUTED_VALUE"""),"Дейс")</f>
        <v>Дейс</v>
      </c>
      <c r="C163" s="5" t="str">
        <f ca="1">IFERROR(__xludf.DUMMYFUNCTION("""COMPUTED_VALUE"""),"Вадим")</f>
        <v>Вадим</v>
      </c>
      <c r="D163" s="5" t="str">
        <f ca="1">IFERROR(__xludf.DUMMYFUNCTION("""COMPUTED_VALUE"""),"Андреевич")</f>
        <v>Андреевич</v>
      </c>
      <c r="E163" s="5" t="str">
        <f ca="1">IFERROR(__xludf.DUMMYFUNCTION("""COMPUTED_VALUE"""),"Команда №3669")</f>
        <v>Команда №3669</v>
      </c>
      <c r="F163" s="6" t="str">
        <f ca="1">IFERROR(__xludf.DUMMYFUNCTION("""COMPUTED_VALUE"""),"Разработка приложения предназначенного для структурирования предпочтений гостей при организации совместных вечеринок")</f>
        <v>Разработка приложения предназначенного для структурирования предпочтений гостей при организации совместных вечеринок</v>
      </c>
      <c r="G163" s="7">
        <f ca="1">IFERROR(__xludf.DUMMYFUNCTION("""COMPUTED_VALUE"""),87)</f>
        <v>87</v>
      </c>
    </row>
    <row r="164" spans="1:7" ht="39.6" x14ac:dyDescent="0.25">
      <c r="A164" s="5">
        <f ca="1">IFERROR(__xludf.DUMMYFUNCTION("""COMPUTED_VALUE"""),520)</f>
        <v>520</v>
      </c>
      <c r="B164" s="5" t="str">
        <f ca="1">IFERROR(__xludf.DUMMYFUNCTION("""COMPUTED_VALUE"""),"Климентьев")</f>
        <v>Климентьев</v>
      </c>
      <c r="C164" s="5" t="str">
        <f ca="1">IFERROR(__xludf.DUMMYFUNCTION("""COMPUTED_VALUE"""),"Андрей")</f>
        <v>Андрей</v>
      </c>
      <c r="D164" s="5" t="str">
        <f ca="1">IFERROR(__xludf.DUMMYFUNCTION("""COMPUTED_VALUE"""),"Владимирович")</f>
        <v>Владимирович</v>
      </c>
      <c r="E164" s="5" t="str">
        <f ca="1">IFERROR(__xludf.DUMMYFUNCTION("""COMPUTED_VALUE"""),"Команда №3669")</f>
        <v>Команда №3669</v>
      </c>
      <c r="F164" s="6" t="str">
        <f ca="1">IFERROR(__xludf.DUMMYFUNCTION("""COMPUTED_VALUE"""),"Разработка приложения предназначенного для структурирования предпочтений гостей при организации совместных вечеринок")</f>
        <v>Разработка приложения предназначенного для структурирования предпочтений гостей при организации совместных вечеринок</v>
      </c>
      <c r="G164" s="7">
        <f ca="1">IFERROR(__xludf.DUMMYFUNCTION("""COMPUTED_VALUE"""),87)</f>
        <v>87</v>
      </c>
    </row>
    <row r="165" spans="1:7" ht="39.6" x14ac:dyDescent="0.25">
      <c r="A165" s="5">
        <f ca="1">IFERROR(__xludf.DUMMYFUNCTION("""COMPUTED_VALUE"""),1352)</f>
        <v>1352</v>
      </c>
      <c r="B165" s="5" t="str">
        <f ca="1">IFERROR(__xludf.DUMMYFUNCTION("""COMPUTED_VALUE"""),"Шутов")</f>
        <v>Шутов</v>
      </c>
      <c r="C165" s="5" t="str">
        <f ca="1">IFERROR(__xludf.DUMMYFUNCTION("""COMPUTED_VALUE"""),"Алексей")</f>
        <v>Алексей</v>
      </c>
      <c r="D165" s="5" t="str">
        <f ca="1">IFERROR(__xludf.DUMMYFUNCTION("""COMPUTED_VALUE"""),"Игоревич")</f>
        <v>Игоревич</v>
      </c>
      <c r="E165" s="5" t="str">
        <f ca="1">IFERROR(__xludf.DUMMYFUNCTION("""COMPUTED_VALUE"""),"Команда №3669")</f>
        <v>Команда №3669</v>
      </c>
      <c r="F165" s="6" t="str">
        <f ca="1">IFERROR(__xludf.DUMMYFUNCTION("""COMPUTED_VALUE"""),"Разработка приложения предназначенного для структурирования предпочтений гостей при организации совместных вечеринок")</f>
        <v>Разработка приложения предназначенного для структурирования предпочтений гостей при организации совместных вечеринок</v>
      </c>
      <c r="G165" s="7">
        <f ca="1">IFERROR(__xludf.DUMMYFUNCTION("""COMPUTED_VALUE"""),87)</f>
        <v>87</v>
      </c>
    </row>
    <row r="166" spans="1:7" ht="39.6" x14ac:dyDescent="0.25">
      <c r="A166" s="5">
        <f ca="1">IFERROR(__xludf.DUMMYFUNCTION("""COMPUTED_VALUE"""),1391)</f>
        <v>1391</v>
      </c>
      <c r="B166" s="5" t="str">
        <f ca="1">IFERROR(__xludf.DUMMYFUNCTION("""COMPUTED_VALUE"""),"Ясовиев")</f>
        <v>Ясовиев</v>
      </c>
      <c r="C166" s="5" t="str">
        <f ca="1">IFERROR(__xludf.DUMMYFUNCTION("""COMPUTED_VALUE"""),"Денис")</f>
        <v>Денис</v>
      </c>
      <c r="D166" s="5" t="str">
        <f ca="1">IFERROR(__xludf.DUMMYFUNCTION("""COMPUTED_VALUE"""),"Ильдарович")</f>
        <v>Ильдарович</v>
      </c>
      <c r="E166" s="5" t="str">
        <f ca="1">IFERROR(__xludf.DUMMYFUNCTION("""COMPUTED_VALUE"""),"Команда №3669")</f>
        <v>Команда №3669</v>
      </c>
      <c r="F166" s="6" t="str">
        <f ca="1">IFERROR(__xludf.DUMMYFUNCTION("""COMPUTED_VALUE"""),"Разработка приложения предназначенного для структурирования предпочтений гостей при организации совместных вечеринок")</f>
        <v>Разработка приложения предназначенного для структурирования предпочтений гостей при организации совместных вечеринок</v>
      </c>
      <c r="G166" s="7">
        <f ca="1">IFERROR(__xludf.DUMMYFUNCTION("""COMPUTED_VALUE"""),87)</f>
        <v>87</v>
      </c>
    </row>
    <row r="167" spans="1:7" ht="13.2" x14ac:dyDescent="0.25">
      <c r="A167" s="5">
        <f ca="1">IFERROR(__xludf.DUMMYFUNCTION("""COMPUTED_VALUE"""),24)</f>
        <v>24</v>
      </c>
      <c r="B167" s="5" t="str">
        <f ca="1">IFERROR(__xludf.DUMMYFUNCTION("""COMPUTED_VALUE"""),"Аксенова")</f>
        <v>Аксенова</v>
      </c>
      <c r="C167" s="5" t="str">
        <f ca="1">IFERROR(__xludf.DUMMYFUNCTION("""COMPUTED_VALUE"""),"Дарья")</f>
        <v>Дарья</v>
      </c>
      <c r="D167" s="5" t="str">
        <f ca="1">IFERROR(__xludf.DUMMYFUNCTION("""COMPUTED_VALUE"""),"Алексеевна")</f>
        <v>Алексеевна</v>
      </c>
      <c r="E167" s="5" t="str">
        <f ca="1">IFERROR(__xludf.DUMMYFUNCTION("""COMPUTED_VALUE"""),"Команда №3670")</f>
        <v>Команда №3670</v>
      </c>
      <c r="F167" s="6" t="str">
        <f ca="1">IFERROR(__xludf.DUMMYFUNCTION("""COMPUTED_VALUE"""),"Создание русификатора шрифтов")</f>
        <v>Создание русификатора шрифтов</v>
      </c>
      <c r="G167" s="7">
        <f ca="1">IFERROR(__xludf.DUMMYFUNCTION("""COMPUTED_VALUE"""),95)</f>
        <v>95</v>
      </c>
    </row>
    <row r="168" spans="1:7" ht="13.2" x14ac:dyDescent="0.25">
      <c r="A168" s="5">
        <f ca="1">IFERROR(__xludf.DUMMYFUNCTION("""COMPUTED_VALUE"""),235)</f>
        <v>235</v>
      </c>
      <c r="B168" s="5" t="str">
        <f ca="1">IFERROR(__xludf.DUMMYFUNCTION("""COMPUTED_VALUE"""),"Гайнуллина")</f>
        <v>Гайнуллина</v>
      </c>
      <c r="C168" s="5" t="str">
        <f ca="1">IFERROR(__xludf.DUMMYFUNCTION("""COMPUTED_VALUE"""),"Алена")</f>
        <v>Алена</v>
      </c>
      <c r="D168" s="5" t="str">
        <f ca="1">IFERROR(__xludf.DUMMYFUNCTION("""COMPUTED_VALUE"""),"Павловна")</f>
        <v>Павловна</v>
      </c>
      <c r="E168" s="5" t="str">
        <f ca="1">IFERROR(__xludf.DUMMYFUNCTION("""COMPUTED_VALUE"""),"Команда №3670")</f>
        <v>Команда №3670</v>
      </c>
      <c r="F168" s="6" t="str">
        <f ca="1">IFERROR(__xludf.DUMMYFUNCTION("""COMPUTED_VALUE"""),"Создание русификатора шрифтов")</f>
        <v>Создание русификатора шрифтов</v>
      </c>
      <c r="G168" s="7">
        <f ca="1">IFERROR(__xludf.DUMMYFUNCTION("""COMPUTED_VALUE"""),95)</f>
        <v>95</v>
      </c>
    </row>
    <row r="169" spans="1:7" ht="13.2" x14ac:dyDescent="0.25">
      <c r="A169" s="5">
        <f ca="1">IFERROR(__xludf.DUMMYFUNCTION("""COMPUTED_VALUE"""),348)</f>
        <v>348</v>
      </c>
      <c r="B169" s="5" t="str">
        <f ca="1">IFERROR(__xludf.DUMMYFUNCTION("""COMPUTED_VALUE"""),"Дударев")</f>
        <v>Дударев</v>
      </c>
      <c r="C169" s="5" t="str">
        <f ca="1">IFERROR(__xludf.DUMMYFUNCTION("""COMPUTED_VALUE"""),"Дмитрий")</f>
        <v>Дмитрий</v>
      </c>
      <c r="D169" s="5" t="str">
        <f ca="1">IFERROR(__xludf.DUMMYFUNCTION("""COMPUTED_VALUE"""),"Константинович")</f>
        <v>Константинович</v>
      </c>
      <c r="E169" s="5" t="str">
        <f ca="1">IFERROR(__xludf.DUMMYFUNCTION("""COMPUTED_VALUE"""),"Команда №3670")</f>
        <v>Команда №3670</v>
      </c>
      <c r="F169" s="6" t="str">
        <f ca="1">IFERROR(__xludf.DUMMYFUNCTION("""COMPUTED_VALUE"""),"Создание русификатора шрифтов")</f>
        <v>Создание русификатора шрифтов</v>
      </c>
      <c r="G169" s="7">
        <f ca="1">IFERROR(__xludf.DUMMYFUNCTION("""COMPUTED_VALUE"""),95)</f>
        <v>95</v>
      </c>
    </row>
    <row r="170" spans="1:7" ht="13.2" x14ac:dyDescent="0.25">
      <c r="A170" s="5">
        <f ca="1">IFERROR(__xludf.DUMMYFUNCTION("""COMPUTED_VALUE"""),673)</f>
        <v>673</v>
      </c>
      <c r="B170" s="5" t="str">
        <f ca="1">IFERROR(__xludf.DUMMYFUNCTION("""COMPUTED_VALUE"""),"Леонов")</f>
        <v>Леонов</v>
      </c>
      <c r="C170" s="5" t="str">
        <f ca="1">IFERROR(__xludf.DUMMYFUNCTION("""COMPUTED_VALUE"""),"Владимир")</f>
        <v>Владимир</v>
      </c>
      <c r="D170" s="5" t="str">
        <f ca="1">IFERROR(__xludf.DUMMYFUNCTION("""COMPUTED_VALUE"""),"Викторович")</f>
        <v>Викторович</v>
      </c>
      <c r="E170" s="5" t="str">
        <f ca="1">IFERROR(__xludf.DUMMYFUNCTION("""COMPUTED_VALUE"""),"Команда №3670")</f>
        <v>Команда №3670</v>
      </c>
      <c r="F170" s="6" t="str">
        <f ca="1">IFERROR(__xludf.DUMMYFUNCTION("""COMPUTED_VALUE"""),"Создание русификатора шрифтов")</f>
        <v>Создание русификатора шрифтов</v>
      </c>
      <c r="G170" s="7">
        <f ca="1">IFERROR(__xludf.DUMMYFUNCTION("""COMPUTED_VALUE"""),95)</f>
        <v>95</v>
      </c>
    </row>
    <row r="171" spans="1:7" ht="13.2" x14ac:dyDescent="0.25">
      <c r="A171" s="5">
        <f ca="1">IFERROR(__xludf.DUMMYFUNCTION("""COMPUTED_VALUE"""),883)</f>
        <v>883</v>
      </c>
      <c r="B171" s="5" t="str">
        <f ca="1">IFERROR(__xludf.DUMMYFUNCTION("""COMPUTED_VALUE"""),"Оплачко")</f>
        <v>Оплачко</v>
      </c>
      <c r="C171" s="5" t="str">
        <f ca="1">IFERROR(__xludf.DUMMYFUNCTION("""COMPUTED_VALUE"""),"Дмитрий")</f>
        <v>Дмитрий</v>
      </c>
      <c r="D171" s="5" t="str">
        <f ca="1">IFERROR(__xludf.DUMMYFUNCTION("""COMPUTED_VALUE"""),"Денисович")</f>
        <v>Денисович</v>
      </c>
      <c r="E171" s="5" t="str">
        <f ca="1">IFERROR(__xludf.DUMMYFUNCTION("""COMPUTED_VALUE"""),"Команда №3670")</f>
        <v>Команда №3670</v>
      </c>
      <c r="F171" s="6" t="str">
        <f ca="1">IFERROR(__xludf.DUMMYFUNCTION("""COMPUTED_VALUE"""),"Создание русификатора шрифтов")</f>
        <v>Создание русификатора шрифтов</v>
      </c>
      <c r="G171" s="7">
        <f ca="1">IFERROR(__xludf.DUMMYFUNCTION("""COMPUTED_VALUE"""),95)</f>
        <v>95</v>
      </c>
    </row>
    <row r="172" spans="1:7" ht="13.2" x14ac:dyDescent="0.25">
      <c r="A172" s="5">
        <f ca="1">IFERROR(__xludf.DUMMYFUNCTION("""COMPUTED_VALUE"""),1167)</f>
        <v>1167</v>
      </c>
      <c r="B172" s="5" t="str">
        <f ca="1">IFERROR(__xludf.DUMMYFUNCTION("""COMPUTED_VALUE"""),"Топлин")</f>
        <v>Топлин</v>
      </c>
      <c r="C172" s="5" t="str">
        <f ca="1">IFERROR(__xludf.DUMMYFUNCTION("""COMPUTED_VALUE"""),"Никита")</f>
        <v>Никита</v>
      </c>
      <c r="D172" s="5" t="str">
        <f ca="1">IFERROR(__xludf.DUMMYFUNCTION("""COMPUTED_VALUE"""),"Александрович")</f>
        <v>Александрович</v>
      </c>
      <c r="E172" s="5" t="str">
        <f ca="1">IFERROR(__xludf.DUMMYFUNCTION("""COMPUTED_VALUE"""),"Команда №3670")</f>
        <v>Команда №3670</v>
      </c>
      <c r="F172" s="6" t="str">
        <f ca="1">IFERROR(__xludf.DUMMYFUNCTION("""COMPUTED_VALUE"""),"Создание русификатора шрифтов")</f>
        <v>Создание русификатора шрифтов</v>
      </c>
      <c r="G172" s="7">
        <f ca="1">IFERROR(__xludf.DUMMYFUNCTION("""COMPUTED_VALUE"""),95)</f>
        <v>95</v>
      </c>
    </row>
    <row r="173" spans="1:7" ht="66" x14ac:dyDescent="0.25">
      <c r="A173" s="5">
        <f ca="1">IFERROR(__xludf.DUMMYFUNCTION("""COMPUTED_VALUE"""),173)</f>
        <v>173</v>
      </c>
      <c r="B173" s="5" t="str">
        <f ca="1">IFERROR(__xludf.DUMMYFUNCTION("""COMPUTED_VALUE"""),"Валиев")</f>
        <v>Валиев</v>
      </c>
      <c r="C173" s="5" t="str">
        <f ca="1">IFERROR(__xludf.DUMMYFUNCTION("""COMPUTED_VALUE"""),"Булат")</f>
        <v>Булат</v>
      </c>
      <c r="D173" s="5" t="str">
        <f ca="1">IFERROR(__xludf.DUMMYFUNCTION("""COMPUTED_VALUE"""),"Айратович")</f>
        <v>Айратович</v>
      </c>
      <c r="E173" s="5" t="str">
        <f ca="1">IFERROR(__xludf.DUMMYFUNCTION("""COMPUTED_VALUE"""),"Команда №3671")</f>
        <v>Команда №3671</v>
      </c>
      <c r="F173" s="6" t="str">
        <f ca="1">IFERROR(__xludf.DUMMYFUNCTION("""COMPUTED_VALUE"""),"Разработка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навыков")</f>
        <v>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</v>
      </c>
      <c r="G173" s="7">
        <f ca="1">IFERROR(__xludf.DUMMYFUNCTION("""COMPUTED_VALUE"""),84)</f>
        <v>84</v>
      </c>
    </row>
    <row r="174" spans="1:7" ht="66" x14ac:dyDescent="0.25">
      <c r="A174" s="5">
        <f ca="1">IFERROR(__xludf.DUMMYFUNCTION("""COMPUTED_VALUE"""),378)</f>
        <v>378</v>
      </c>
      <c r="B174" s="5" t="str">
        <f ca="1">IFERROR(__xludf.DUMMYFUNCTION("""COMPUTED_VALUE"""),"Ерофеев")</f>
        <v>Ерофеев</v>
      </c>
      <c r="C174" s="5" t="str">
        <f ca="1">IFERROR(__xludf.DUMMYFUNCTION("""COMPUTED_VALUE"""),"Александр")</f>
        <v>Александр</v>
      </c>
      <c r="D174" s="5" t="str">
        <f ca="1">IFERROR(__xludf.DUMMYFUNCTION("""COMPUTED_VALUE"""),"Владиславович")</f>
        <v>Владиславович</v>
      </c>
      <c r="E174" s="5" t="str">
        <f ca="1">IFERROR(__xludf.DUMMYFUNCTION("""COMPUTED_VALUE"""),"Команда №3671")</f>
        <v>Команда №3671</v>
      </c>
      <c r="F174" s="6" t="str">
        <f ca="1">IFERROR(__xludf.DUMMYFUNCTION("""COMPUTED_VALUE"""),"Разработка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навыков")</f>
        <v>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</v>
      </c>
      <c r="G174" s="7">
        <f ca="1">IFERROR(__xludf.DUMMYFUNCTION("""COMPUTED_VALUE"""),84)</f>
        <v>84</v>
      </c>
    </row>
    <row r="175" spans="1:7" ht="66" x14ac:dyDescent="0.25">
      <c r="A175" s="5">
        <f ca="1">IFERROR(__xludf.DUMMYFUNCTION("""COMPUTED_VALUE"""),525)</f>
        <v>525</v>
      </c>
      <c r="B175" s="5" t="str">
        <f ca="1">IFERROR(__xludf.DUMMYFUNCTION("""COMPUTED_VALUE"""),"Клюкин")</f>
        <v>Клюкин</v>
      </c>
      <c r="C175" s="5" t="str">
        <f ca="1">IFERROR(__xludf.DUMMYFUNCTION("""COMPUTED_VALUE"""),"Артём")</f>
        <v>Артём</v>
      </c>
      <c r="D175" s="5" t="str">
        <f ca="1">IFERROR(__xludf.DUMMYFUNCTION("""COMPUTED_VALUE"""),"Андреевич")</f>
        <v>Андреевич</v>
      </c>
      <c r="E175" s="5" t="str">
        <f ca="1">IFERROR(__xludf.DUMMYFUNCTION("""COMPUTED_VALUE"""),"Команда №3671")</f>
        <v>Команда №3671</v>
      </c>
      <c r="F175" s="6" t="str">
        <f ca="1">IFERROR(__xludf.DUMMYFUNCTION("""COMPUTED_VALUE"""),"Разработка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навыков")</f>
        <v>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</v>
      </c>
      <c r="G175" s="7">
        <f ca="1">IFERROR(__xludf.DUMMYFUNCTION("""COMPUTED_VALUE"""),84)</f>
        <v>84</v>
      </c>
    </row>
    <row r="176" spans="1:7" ht="66" x14ac:dyDescent="0.25">
      <c r="A176" s="5">
        <f ca="1">IFERROR(__xludf.DUMMYFUNCTION("""COMPUTED_VALUE"""),617)</f>
        <v>617</v>
      </c>
      <c r="B176" s="5" t="str">
        <f ca="1">IFERROR(__xludf.DUMMYFUNCTION("""COMPUTED_VALUE"""),"Крылов")</f>
        <v>Крылов</v>
      </c>
      <c r="C176" s="5" t="str">
        <f ca="1">IFERROR(__xludf.DUMMYFUNCTION("""COMPUTED_VALUE"""),"Глеб")</f>
        <v>Глеб</v>
      </c>
      <c r="D176" s="5" t="str">
        <f ca="1">IFERROR(__xludf.DUMMYFUNCTION("""COMPUTED_VALUE"""),"Иванович")</f>
        <v>Иванович</v>
      </c>
      <c r="E176" s="5" t="str">
        <f ca="1">IFERROR(__xludf.DUMMYFUNCTION("""COMPUTED_VALUE"""),"Команда №3671")</f>
        <v>Команда №3671</v>
      </c>
      <c r="F176" s="6" t="str">
        <f ca="1">IFERROR(__xludf.DUMMYFUNCTION("""COMPUTED_VALUE"""),"Разработка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навыков")</f>
        <v>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</v>
      </c>
      <c r="G176" s="7">
        <f ca="1">IFERROR(__xludf.DUMMYFUNCTION("""COMPUTED_VALUE"""),84)</f>
        <v>84</v>
      </c>
    </row>
    <row r="177" spans="1:7" ht="66" x14ac:dyDescent="0.25">
      <c r="A177" s="5">
        <f ca="1">IFERROR(__xludf.DUMMYFUNCTION("""COMPUTED_VALUE"""),666)</f>
        <v>666</v>
      </c>
      <c r="B177" s="5" t="str">
        <f ca="1">IFERROR(__xludf.DUMMYFUNCTION("""COMPUTED_VALUE"""),"Латынцева")</f>
        <v>Латынцева</v>
      </c>
      <c r="C177" s="5" t="str">
        <f ca="1">IFERROR(__xludf.DUMMYFUNCTION("""COMPUTED_VALUE"""),"Елена")</f>
        <v>Елена</v>
      </c>
      <c r="D177" s="5" t="str">
        <f ca="1">IFERROR(__xludf.DUMMYFUNCTION("""COMPUTED_VALUE"""),"Сергеевна")</f>
        <v>Сергеевна</v>
      </c>
      <c r="E177" s="5" t="str">
        <f ca="1">IFERROR(__xludf.DUMMYFUNCTION("""COMPUTED_VALUE"""),"Команда №3671")</f>
        <v>Команда №3671</v>
      </c>
      <c r="F177" s="6" t="str">
        <f ca="1">IFERROR(__xludf.DUMMYFUNCTION("""COMPUTED_VALUE"""),"Разработка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навыков")</f>
        <v>Разработка приложения, позволяющего на основании анализа данных сайта HH.ru, выявлять наиболее востребованные профессий в ИТ-отрасли, из зарплаты и набор необходимых навыков</v>
      </c>
      <c r="G177" s="7">
        <f ca="1">IFERROR(__xludf.DUMMYFUNCTION("""COMPUTED_VALUE"""),84)</f>
        <v>84</v>
      </c>
    </row>
    <row r="178" spans="1:7" ht="26.4" x14ac:dyDescent="0.25">
      <c r="A178" s="5">
        <f ca="1">IFERROR(__xludf.DUMMYFUNCTION("""COMPUTED_VALUE"""),172)</f>
        <v>172</v>
      </c>
      <c r="B178" s="5" t="str">
        <f ca="1">IFERROR(__xludf.DUMMYFUNCTION("""COMPUTED_VALUE"""),"Валиев")</f>
        <v>Валиев</v>
      </c>
      <c r="C178" s="5" t="str">
        <f ca="1">IFERROR(__xludf.DUMMYFUNCTION("""COMPUTED_VALUE"""),"Константин")</f>
        <v>Константин</v>
      </c>
      <c r="D178" s="5" t="str">
        <f ca="1">IFERROR(__xludf.DUMMYFUNCTION("""COMPUTED_VALUE"""),"Дмитриевич")</f>
        <v>Дмитриевич</v>
      </c>
      <c r="E178" s="5" t="str">
        <f ca="1">IFERROR(__xludf.DUMMYFUNCTION("""COMPUTED_VALUE"""),"Команда №3672")</f>
        <v>Команда №3672</v>
      </c>
      <c r="F178" s="6" t="str">
        <f ca="1">IFERROR(__xludf.DUMMYFUNCTION("""COMPUTED_VALUE"""),"Разработка игрового ПО в жанре ""Quest"" (продолжение проекта)")</f>
        <v>Разработка игрового ПО в жанре "Quest" (продолжение проекта)</v>
      </c>
      <c r="G178" s="7">
        <f ca="1">IFERROR(__xludf.DUMMYFUNCTION("""COMPUTED_VALUE"""),85)</f>
        <v>85</v>
      </c>
    </row>
    <row r="179" spans="1:7" ht="26.4" x14ac:dyDescent="0.25">
      <c r="A179" s="5">
        <f ca="1">IFERROR(__xludf.DUMMYFUNCTION("""COMPUTED_VALUE"""),336)</f>
        <v>336</v>
      </c>
      <c r="B179" s="5" t="str">
        <f ca="1">IFERROR(__xludf.DUMMYFUNCTION("""COMPUTED_VALUE"""),"Дорошенко")</f>
        <v>Дорошенко</v>
      </c>
      <c r="C179" s="5" t="str">
        <f ca="1">IFERROR(__xludf.DUMMYFUNCTION("""COMPUTED_VALUE"""),"Виталий")</f>
        <v>Виталий</v>
      </c>
      <c r="D179" s="5" t="str">
        <f ca="1">IFERROR(__xludf.DUMMYFUNCTION("""COMPUTED_VALUE"""),"Андреевич")</f>
        <v>Андреевич</v>
      </c>
      <c r="E179" s="5" t="str">
        <f ca="1">IFERROR(__xludf.DUMMYFUNCTION("""COMPUTED_VALUE"""),"Команда №3672")</f>
        <v>Команда №3672</v>
      </c>
      <c r="F179" s="6" t="str">
        <f ca="1">IFERROR(__xludf.DUMMYFUNCTION("""COMPUTED_VALUE"""),"Разработка игрового ПО в жанре ""Quest"" (продолжение проекта)")</f>
        <v>Разработка игрового ПО в жанре "Quest" (продолжение проекта)</v>
      </c>
      <c r="G179" s="7">
        <f ca="1">IFERROR(__xludf.DUMMYFUNCTION("""COMPUTED_VALUE"""),85)</f>
        <v>85</v>
      </c>
    </row>
    <row r="180" spans="1:7" ht="26.4" x14ac:dyDescent="0.25">
      <c r="A180" s="5">
        <f ca="1">IFERROR(__xludf.DUMMYFUNCTION("""COMPUTED_VALUE"""),626)</f>
        <v>626</v>
      </c>
      <c r="B180" s="5" t="str">
        <f ca="1">IFERROR(__xludf.DUMMYFUNCTION("""COMPUTED_VALUE"""),"Кузнецов")</f>
        <v>Кузнецов</v>
      </c>
      <c r="C180" s="5" t="str">
        <f ca="1">IFERROR(__xludf.DUMMYFUNCTION("""COMPUTED_VALUE"""),"Максим")</f>
        <v>Максим</v>
      </c>
      <c r="D180" s="5" t="str">
        <f ca="1">IFERROR(__xludf.DUMMYFUNCTION("""COMPUTED_VALUE"""),"Дмитриевич")</f>
        <v>Дмитриевич</v>
      </c>
      <c r="E180" s="5" t="str">
        <f ca="1">IFERROR(__xludf.DUMMYFUNCTION("""COMPUTED_VALUE"""),"Команда №3672")</f>
        <v>Команда №3672</v>
      </c>
      <c r="F180" s="6" t="str">
        <f ca="1">IFERROR(__xludf.DUMMYFUNCTION("""COMPUTED_VALUE"""),"Разработка игрового ПО в жанре ""Quest"" (продолжение проекта)")</f>
        <v>Разработка игрового ПО в жанре "Quest" (продолжение проекта)</v>
      </c>
      <c r="G180" s="7">
        <f ca="1">IFERROR(__xludf.DUMMYFUNCTION("""COMPUTED_VALUE"""),85)</f>
        <v>85</v>
      </c>
    </row>
    <row r="181" spans="1:7" ht="26.4" x14ac:dyDescent="0.25">
      <c r="A181" s="5">
        <f ca="1">IFERROR(__xludf.DUMMYFUNCTION("""COMPUTED_VALUE"""),884)</f>
        <v>884</v>
      </c>
      <c r="B181" s="5" t="str">
        <f ca="1">IFERROR(__xludf.DUMMYFUNCTION("""COMPUTED_VALUE"""),"Оплетаев")</f>
        <v>Оплетаев</v>
      </c>
      <c r="C181" s="5" t="str">
        <f ca="1">IFERROR(__xludf.DUMMYFUNCTION("""COMPUTED_VALUE"""),"Виталий")</f>
        <v>Виталий</v>
      </c>
      <c r="D181" s="5" t="str">
        <f ca="1">IFERROR(__xludf.DUMMYFUNCTION("""COMPUTED_VALUE"""),"Юрьевич")</f>
        <v>Юрьевич</v>
      </c>
      <c r="E181" s="5" t="str">
        <f ca="1">IFERROR(__xludf.DUMMYFUNCTION("""COMPUTED_VALUE"""),"Команда №3672")</f>
        <v>Команда №3672</v>
      </c>
      <c r="F181" s="6" t="str">
        <f ca="1">IFERROR(__xludf.DUMMYFUNCTION("""COMPUTED_VALUE"""),"Разработка игрового ПО в жанре ""Quest"" (продолжение проекта)")</f>
        <v>Разработка игрового ПО в жанре "Quest" (продолжение проекта)</v>
      </c>
      <c r="G181" s="7">
        <f ca="1">IFERROR(__xludf.DUMMYFUNCTION("""COMPUTED_VALUE"""),85)</f>
        <v>85</v>
      </c>
    </row>
    <row r="182" spans="1:7" ht="26.4" x14ac:dyDescent="0.25">
      <c r="A182" s="5">
        <f ca="1">IFERROR(__xludf.DUMMYFUNCTION("""COMPUTED_VALUE"""),1105)</f>
        <v>1105</v>
      </c>
      <c r="B182" s="5" t="str">
        <f ca="1">IFERROR(__xludf.DUMMYFUNCTION("""COMPUTED_VALUE"""),"Соломеин")</f>
        <v>Соломеин</v>
      </c>
      <c r="C182" s="5" t="str">
        <f ca="1">IFERROR(__xludf.DUMMYFUNCTION("""COMPUTED_VALUE"""),"Егор")</f>
        <v>Егор</v>
      </c>
      <c r="D182" s="5" t="str">
        <f ca="1">IFERROR(__xludf.DUMMYFUNCTION("""COMPUTED_VALUE"""),"Александрович")</f>
        <v>Александрович</v>
      </c>
      <c r="E182" s="5" t="str">
        <f ca="1">IFERROR(__xludf.DUMMYFUNCTION("""COMPUTED_VALUE"""),"Команда №3672")</f>
        <v>Команда №3672</v>
      </c>
      <c r="F182" s="6" t="str">
        <f ca="1">IFERROR(__xludf.DUMMYFUNCTION("""COMPUTED_VALUE"""),"Разработка игрового ПО в жанре ""Quest"" (продолжение проекта)")</f>
        <v>Разработка игрового ПО в жанре "Quest" (продолжение проекта)</v>
      </c>
      <c r="G182" s="7">
        <f ca="1">IFERROR(__xludf.DUMMYFUNCTION("""COMPUTED_VALUE"""),85)</f>
        <v>85</v>
      </c>
    </row>
    <row r="183" spans="1:7" ht="26.4" x14ac:dyDescent="0.25">
      <c r="A183" s="5">
        <f ca="1">IFERROR(__xludf.DUMMYFUNCTION("""COMPUTED_VALUE"""),91)</f>
        <v>91</v>
      </c>
      <c r="B183" s="5" t="str">
        <f ca="1">IFERROR(__xludf.DUMMYFUNCTION("""COMPUTED_VALUE"""),"Баркан")</f>
        <v>Баркан</v>
      </c>
      <c r="C183" s="5" t="str">
        <f ca="1">IFERROR(__xludf.DUMMYFUNCTION("""COMPUTED_VALUE"""),"Степан")</f>
        <v>Степан</v>
      </c>
      <c r="D183" s="5" t="str">
        <f ca="1">IFERROR(__xludf.DUMMYFUNCTION("""COMPUTED_VALUE"""),"Николаевич")</f>
        <v>Николаевич</v>
      </c>
      <c r="E183" s="5" t="str">
        <f ca="1">IFERROR(__xludf.DUMMYFUNCTION("""COMPUTED_VALUE"""),"Команда №3673")</f>
        <v>Команда №3673</v>
      </c>
      <c r="F183" s="6" t="str">
        <f ca="1">IFERROR(__xludf.DUMMYFUNCTION("""COMPUTED_VALUE"""),"Разработка игрового ПО в жанре ""Rogulike"" (продолжение проекта)")</f>
        <v>Разработка игрового ПО в жанре "Rogulike" (продолжение проекта)</v>
      </c>
      <c r="G183" s="7">
        <f ca="1">IFERROR(__xludf.DUMMYFUNCTION("""COMPUTED_VALUE"""),95)</f>
        <v>95</v>
      </c>
    </row>
    <row r="184" spans="1:7" ht="26.4" x14ac:dyDescent="0.25">
      <c r="A184" s="5">
        <f ca="1">IFERROR(__xludf.DUMMYFUNCTION("""COMPUTED_VALUE"""),228)</f>
        <v>228</v>
      </c>
      <c r="B184" s="5" t="str">
        <f ca="1">IFERROR(__xludf.DUMMYFUNCTION("""COMPUTED_VALUE"""),"Вязьмикин")</f>
        <v>Вязьмикин</v>
      </c>
      <c r="C184" s="5" t="str">
        <f ca="1">IFERROR(__xludf.DUMMYFUNCTION("""COMPUTED_VALUE"""),"Владимир")</f>
        <v>Владимир</v>
      </c>
      <c r="D184" s="5" t="str">
        <f ca="1">IFERROR(__xludf.DUMMYFUNCTION("""COMPUTED_VALUE"""),"Станиславович")</f>
        <v>Станиславович</v>
      </c>
      <c r="E184" s="5" t="str">
        <f ca="1">IFERROR(__xludf.DUMMYFUNCTION("""COMPUTED_VALUE"""),"Команда №3673")</f>
        <v>Команда №3673</v>
      </c>
      <c r="F184" s="6" t="str">
        <f ca="1">IFERROR(__xludf.DUMMYFUNCTION("""COMPUTED_VALUE"""),"Разработка игрового ПО в жанре ""Rogulike"" (продолжение проекта)")</f>
        <v>Разработка игрового ПО в жанре "Rogulike" (продолжение проекта)</v>
      </c>
      <c r="G184" s="7">
        <f ca="1">IFERROR(__xludf.DUMMYFUNCTION("""COMPUTED_VALUE"""),95)</f>
        <v>95</v>
      </c>
    </row>
    <row r="185" spans="1:7" ht="26.4" x14ac:dyDescent="0.25">
      <c r="A185" s="5">
        <f ca="1">IFERROR(__xludf.DUMMYFUNCTION("""COMPUTED_VALUE"""),542)</f>
        <v>542</v>
      </c>
      <c r="B185" s="5" t="str">
        <f ca="1">IFERROR(__xludf.DUMMYFUNCTION("""COMPUTED_VALUE"""),"Козик")</f>
        <v>Козик</v>
      </c>
      <c r="C185" s="5" t="str">
        <f ca="1">IFERROR(__xludf.DUMMYFUNCTION("""COMPUTED_VALUE"""),"Илья")</f>
        <v>Илья</v>
      </c>
      <c r="D185" s="5" t="str">
        <f ca="1">IFERROR(__xludf.DUMMYFUNCTION("""COMPUTED_VALUE"""),"Павлович")</f>
        <v>Павлович</v>
      </c>
      <c r="E185" s="5" t="str">
        <f ca="1">IFERROR(__xludf.DUMMYFUNCTION("""COMPUTED_VALUE"""),"Команда №3673")</f>
        <v>Команда №3673</v>
      </c>
      <c r="F185" s="6" t="str">
        <f ca="1">IFERROR(__xludf.DUMMYFUNCTION("""COMPUTED_VALUE"""),"Разработка игрового ПО в жанре ""Rogulike"" (продолжение проекта)")</f>
        <v>Разработка игрового ПО в жанре "Rogulike" (продолжение проекта)</v>
      </c>
      <c r="G185" s="7">
        <f ca="1">IFERROR(__xludf.DUMMYFUNCTION("""COMPUTED_VALUE"""),95)</f>
        <v>95</v>
      </c>
    </row>
    <row r="186" spans="1:7" ht="26.4" x14ac:dyDescent="0.25">
      <c r="A186" s="5">
        <f ca="1">IFERROR(__xludf.DUMMYFUNCTION("""COMPUTED_VALUE"""),568)</f>
        <v>568</v>
      </c>
      <c r="B186" s="5" t="str">
        <f ca="1">IFERROR(__xludf.DUMMYFUNCTION("""COMPUTED_VALUE"""),"Коновалов")</f>
        <v>Коновалов</v>
      </c>
      <c r="C186" s="5" t="str">
        <f ca="1">IFERROR(__xludf.DUMMYFUNCTION("""COMPUTED_VALUE"""),"Павел")</f>
        <v>Павел</v>
      </c>
      <c r="D186" s="5" t="str">
        <f ca="1">IFERROR(__xludf.DUMMYFUNCTION("""COMPUTED_VALUE"""),"Сергеевич")</f>
        <v>Сергеевич</v>
      </c>
      <c r="E186" s="5" t="str">
        <f ca="1">IFERROR(__xludf.DUMMYFUNCTION("""COMPUTED_VALUE"""),"Команда №3673")</f>
        <v>Команда №3673</v>
      </c>
      <c r="F186" s="6" t="str">
        <f ca="1">IFERROR(__xludf.DUMMYFUNCTION("""COMPUTED_VALUE"""),"Разработка игрового ПО в жанре ""Rogulike"" (продолжение проекта)")</f>
        <v>Разработка игрового ПО в жанре "Rogulike" (продолжение проекта)</v>
      </c>
      <c r="G186" s="7">
        <f ca="1">IFERROR(__xludf.DUMMYFUNCTION("""COMPUTED_VALUE"""),95)</f>
        <v>95</v>
      </c>
    </row>
    <row r="187" spans="1:7" ht="26.4" x14ac:dyDescent="0.25">
      <c r="A187" s="5">
        <f ca="1">IFERROR(__xludf.DUMMYFUNCTION("""COMPUTED_VALUE"""),1061)</f>
        <v>1061</v>
      </c>
      <c r="B187" s="5" t="str">
        <f ca="1">IFERROR(__xludf.DUMMYFUNCTION("""COMPUTED_VALUE"""),"Сиверухин")</f>
        <v>Сиверухин</v>
      </c>
      <c r="C187" s="5" t="str">
        <f ca="1">IFERROR(__xludf.DUMMYFUNCTION("""COMPUTED_VALUE"""),"Никита")</f>
        <v>Никита</v>
      </c>
      <c r="D187" s="5" t="str">
        <f ca="1">IFERROR(__xludf.DUMMYFUNCTION("""COMPUTED_VALUE"""),"Андреевич")</f>
        <v>Андреевич</v>
      </c>
      <c r="E187" s="5" t="str">
        <f ca="1">IFERROR(__xludf.DUMMYFUNCTION("""COMPUTED_VALUE"""),"Команда №3673")</f>
        <v>Команда №3673</v>
      </c>
      <c r="F187" s="6" t="str">
        <f ca="1">IFERROR(__xludf.DUMMYFUNCTION("""COMPUTED_VALUE"""),"Разработка игрового ПО в жанре ""Rogulike"" (продолжение проекта)")</f>
        <v>Разработка игрового ПО в жанре "Rogulike" (продолжение проекта)</v>
      </c>
      <c r="G187" s="7">
        <f ca="1">IFERROR(__xludf.DUMMYFUNCTION("""COMPUTED_VALUE"""),95)</f>
        <v>95</v>
      </c>
    </row>
    <row r="188" spans="1:7" ht="26.4" x14ac:dyDescent="0.25">
      <c r="A188" s="5">
        <f ca="1">IFERROR(__xludf.DUMMYFUNCTION("""COMPUTED_VALUE"""),293)</f>
        <v>293</v>
      </c>
      <c r="B188" s="5" t="str">
        <f ca="1">IFERROR(__xludf.DUMMYFUNCTION("""COMPUTED_VALUE"""),"Гуляева")</f>
        <v>Гуляева</v>
      </c>
      <c r="C188" s="5" t="str">
        <f ca="1">IFERROR(__xludf.DUMMYFUNCTION("""COMPUTED_VALUE"""),"Галина")</f>
        <v>Галина</v>
      </c>
      <c r="D188" s="5" t="str">
        <f ca="1">IFERROR(__xludf.DUMMYFUNCTION("""COMPUTED_VALUE"""),"Михайловна")</f>
        <v>Михайловна</v>
      </c>
      <c r="E188" s="5" t="str">
        <f ca="1">IFERROR(__xludf.DUMMYFUNCTION("""COMPUTED_VALUE"""),"Команда №3674")</f>
        <v>Команда №3674</v>
      </c>
      <c r="F188" s="6" t="str">
        <f ca="1">IFERROR(__xludf.DUMMYFUNCTION("""COMPUTED_VALUE"""),"Ведение группы в контакте ""IT-09 | RTF FAMILY"". Ч.2")</f>
        <v>Ведение группы в контакте "IT-09 | RTF FAMILY". Ч.2</v>
      </c>
      <c r="G188" s="7">
        <f ca="1">IFERROR(__xludf.DUMMYFUNCTION("""COMPUTED_VALUE"""),100)</f>
        <v>100</v>
      </c>
    </row>
    <row r="189" spans="1:7" ht="26.4" x14ac:dyDescent="0.25">
      <c r="A189" s="5">
        <f ca="1">IFERROR(__xludf.DUMMYFUNCTION("""COMPUTED_VALUE"""),459)</f>
        <v>459</v>
      </c>
      <c r="B189" s="5" t="str">
        <f ca="1">IFERROR(__xludf.DUMMYFUNCTION("""COMPUTED_VALUE"""),"Иванова")</f>
        <v>Иванова</v>
      </c>
      <c r="C189" s="5" t="str">
        <f ca="1">IFERROR(__xludf.DUMMYFUNCTION("""COMPUTED_VALUE"""),"Анна")</f>
        <v>Анна</v>
      </c>
      <c r="D189" s="5" t="str">
        <f ca="1">IFERROR(__xludf.DUMMYFUNCTION("""COMPUTED_VALUE"""),"Васильевна")</f>
        <v>Васильевна</v>
      </c>
      <c r="E189" s="5" t="str">
        <f ca="1">IFERROR(__xludf.DUMMYFUNCTION("""COMPUTED_VALUE"""),"Команда №3674")</f>
        <v>Команда №3674</v>
      </c>
      <c r="F189" s="6" t="str">
        <f ca="1">IFERROR(__xludf.DUMMYFUNCTION("""COMPUTED_VALUE"""),"Ведение группы в контакте ""IT-09 | RTF FAMILY"". Ч.2")</f>
        <v>Ведение группы в контакте "IT-09 | RTF FAMILY". Ч.2</v>
      </c>
      <c r="G189" s="7">
        <f ca="1">IFERROR(__xludf.DUMMYFUNCTION("""COMPUTED_VALUE"""),100)</f>
        <v>100</v>
      </c>
    </row>
    <row r="190" spans="1:7" ht="26.4" x14ac:dyDescent="0.25">
      <c r="A190" s="5">
        <f ca="1">IFERROR(__xludf.DUMMYFUNCTION("""COMPUTED_VALUE"""),1004)</f>
        <v>1004</v>
      </c>
      <c r="B190" s="5" t="str">
        <f ca="1">IFERROR(__xludf.DUMMYFUNCTION("""COMPUTED_VALUE"""),"Рухтина")</f>
        <v>Рухтина</v>
      </c>
      <c r="C190" s="5" t="str">
        <f ca="1">IFERROR(__xludf.DUMMYFUNCTION("""COMPUTED_VALUE"""),"Дарья")</f>
        <v>Дарья</v>
      </c>
      <c r="D190" s="5" t="str">
        <f ca="1">IFERROR(__xludf.DUMMYFUNCTION("""COMPUTED_VALUE"""),"Алексеевна")</f>
        <v>Алексеевна</v>
      </c>
      <c r="E190" s="5" t="str">
        <f ca="1">IFERROR(__xludf.DUMMYFUNCTION("""COMPUTED_VALUE"""),"Команда №3674")</f>
        <v>Команда №3674</v>
      </c>
      <c r="F190" s="6" t="str">
        <f ca="1">IFERROR(__xludf.DUMMYFUNCTION("""COMPUTED_VALUE"""),"Ведение группы в контакте ""IT-09 | RTF FAMILY"". Ч.2")</f>
        <v>Ведение группы в контакте "IT-09 | RTF FAMILY". Ч.2</v>
      </c>
      <c r="G190" s="7">
        <f ca="1">IFERROR(__xludf.DUMMYFUNCTION("""COMPUTED_VALUE"""),100)</f>
        <v>100</v>
      </c>
    </row>
    <row r="191" spans="1:7" ht="26.4" x14ac:dyDescent="0.25">
      <c r="A191" s="5">
        <f ca="1">IFERROR(__xludf.DUMMYFUNCTION("""COMPUTED_VALUE"""),1156)</f>
        <v>1156</v>
      </c>
      <c r="B191" s="5" t="str">
        <f ca="1">IFERROR(__xludf.DUMMYFUNCTION("""COMPUTED_VALUE"""),"Тихомолова")</f>
        <v>Тихомолова</v>
      </c>
      <c r="C191" s="5" t="str">
        <f ca="1">IFERROR(__xludf.DUMMYFUNCTION("""COMPUTED_VALUE"""),"Виолетта")</f>
        <v>Виолетта</v>
      </c>
      <c r="D191" s="5" t="str">
        <f ca="1">IFERROR(__xludf.DUMMYFUNCTION("""COMPUTED_VALUE"""),"Витальевна")</f>
        <v>Витальевна</v>
      </c>
      <c r="E191" s="5" t="str">
        <f ca="1">IFERROR(__xludf.DUMMYFUNCTION("""COMPUTED_VALUE"""),"Команда №3674")</f>
        <v>Команда №3674</v>
      </c>
      <c r="F191" s="6" t="str">
        <f ca="1">IFERROR(__xludf.DUMMYFUNCTION("""COMPUTED_VALUE"""),"Ведение группы в контакте ""IT-09 | RTF FAMILY"". Ч.2")</f>
        <v>Ведение группы в контакте "IT-09 | RTF FAMILY". Ч.2</v>
      </c>
      <c r="G191" s="7">
        <f ca="1">IFERROR(__xludf.DUMMYFUNCTION("""COMPUTED_VALUE"""),100)</f>
        <v>100</v>
      </c>
    </row>
    <row r="192" spans="1:7" ht="26.4" x14ac:dyDescent="0.25">
      <c r="A192" s="5">
        <f ca="1">IFERROR(__xludf.DUMMYFUNCTION("""COMPUTED_VALUE"""),1213)</f>
        <v>1213</v>
      </c>
      <c r="B192" s="5" t="str">
        <f ca="1">IFERROR(__xludf.DUMMYFUNCTION("""COMPUTED_VALUE"""),"Федотова")</f>
        <v>Федотова</v>
      </c>
      <c r="C192" s="5" t="str">
        <f ca="1">IFERROR(__xludf.DUMMYFUNCTION("""COMPUTED_VALUE"""),"Софья")</f>
        <v>Софья</v>
      </c>
      <c r="D192" s="5" t="str">
        <f ca="1">IFERROR(__xludf.DUMMYFUNCTION("""COMPUTED_VALUE"""),"Андреевна")</f>
        <v>Андреевна</v>
      </c>
      <c r="E192" s="5" t="str">
        <f ca="1">IFERROR(__xludf.DUMMYFUNCTION("""COMPUTED_VALUE"""),"Команда №3674")</f>
        <v>Команда №3674</v>
      </c>
      <c r="F192" s="6" t="str">
        <f ca="1">IFERROR(__xludf.DUMMYFUNCTION("""COMPUTED_VALUE"""),"Ведение группы в контакте ""IT-09 | RTF FAMILY"". Ч.2")</f>
        <v>Ведение группы в контакте "IT-09 | RTF FAMILY". Ч.2</v>
      </c>
      <c r="G192" s="7">
        <f ca="1">IFERROR(__xludf.DUMMYFUNCTION("""COMPUTED_VALUE"""),100)</f>
        <v>100</v>
      </c>
    </row>
    <row r="193" spans="1:7" ht="26.4" x14ac:dyDescent="0.25">
      <c r="A193" s="5">
        <f ca="1">IFERROR(__xludf.DUMMYFUNCTION("""COMPUTED_VALUE"""),21)</f>
        <v>21</v>
      </c>
      <c r="B193" s="5" t="str">
        <f ca="1">IFERROR(__xludf.DUMMYFUNCTION("""COMPUTED_VALUE"""),"Азанова")</f>
        <v>Азанова</v>
      </c>
      <c r="C193" s="5" t="str">
        <f ca="1">IFERROR(__xludf.DUMMYFUNCTION("""COMPUTED_VALUE"""),"Ирина")</f>
        <v>Ирина</v>
      </c>
      <c r="D193" s="5" t="str">
        <f ca="1">IFERROR(__xludf.DUMMYFUNCTION("""COMPUTED_VALUE"""),"Александровна")</f>
        <v>Александровна</v>
      </c>
      <c r="E193" s="5" t="str">
        <f ca="1">IFERROR(__xludf.DUMMYFUNCTION("""COMPUTED_VALUE"""),"Команда №3675")</f>
        <v>Команда №3675</v>
      </c>
      <c r="F193" s="6" t="str">
        <f ca="1">IFERROR(__xludf.DUMMYFUNCTION("""COMPUTED_VALUE"""),"Ведение группы в контакте ""Абитуриент ИРИТ-РТФ"". Ч. 2")</f>
        <v>Ведение группы в контакте "Абитуриент ИРИТ-РТФ". Ч. 2</v>
      </c>
      <c r="G193" s="7">
        <f ca="1">IFERROR(__xludf.DUMMYFUNCTION("""COMPUTED_VALUE"""),100)</f>
        <v>100</v>
      </c>
    </row>
    <row r="194" spans="1:7" ht="26.4" x14ac:dyDescent="0.25">
      <c r="A194" s="5">
        <f ca="1">IFERROR(__xludf.DUMMYFUNCTION("""COMPUTED_VALUE"""),81)</f>
        <v>81</v>
      </c>
      <c r="B194" s="5" t="str">
        <f ca="1">IFERROR(__xludf.DUMMYFUNCTION("""COMPUTED_VALUE"""),"Байгилдина")</f>
        <v>Байгилдина</v>
      </c>
      <c r="C194" s="5" t="str">
        <f ca="1">IFERROR(__xludf.DUMMYFUNCTION("""COMPUTED_VALUE"""),"Анастасия")</f>
        <v>Анастасия</v>
      </c>
      <c r="D194" s="5" t="str">
        <f ca="1">IFERROR(__xludf.DUMMYFUNCTION("""COMPUTED_VALUE"""),"Вениаминовна")</f>
        <v>Вениаминовна</v>
      </c>
      <c r="E194" s="5" t="str">
        <f ca="1">IFERROR(__xludf.DUMMYFUNCTION("""COMPUTED_VALUE"""),"Команда №3675")</f>
        <v>Команда №3675</v>
      </c>
      <c r="F194" s="6" t="str">
        <f ca="1">IFERROR(__xludf.DUMMYFUNCTION("""COMPUTED_VALUE"""),"Ведение группы в контакте ""Абитуриент ИРИТ-РТФ"". Ч. 2")</f>
        <v>Ведение группы в контакте "Абитуриент ИРИТ-РТФ". Ч. 2</v>
      </c>
      <c r="G194" s="7">
        <f ca="1">IFERROR(__xludf.DUMMYFUNCTION("""COMPUTED_VALUE"""),100)</f>
        <v>100</v>
      </c>
    </row>
    <row r="195" spans="1:7" ht="26.4" x14ac:dyDescent="0.25">
      <c r="A195" s="5">
        <f ca="1">IFERROR(__xludf.DUMMYFUNCTION("""COMPUTED_VALUE"""),388)</f>
        <v>388</v>
      </c>
      <c r="B195" s="5" t="str">
        <f ca="1">IFERROR(__xludf.DUMMYFUNCTION("""COMPUTED_VALUE"""),"Желиховский")</f>
        <v>Желиховский</v>
      </c>
      <c r="C195" s="5" t="str">
        <f ca="1">IFERROR(__xludf.DUMMYFUNCTION("""COMPUTED_VALUE"""),"Тихон")</f>
        <v>Тихон</v>
      </c>
      <c r="D195" s="5" t="str">
        <f ca="1">IFERROR(__xludf.DUMMYFUNCTION("""COMPUTED_VALUE"""),"Вадимович")</f>
        <v>Вадимович</v>
      </c>
      <c r="E195" s="5" t="str">
        <f ca="1">IFERROR(__xludf.DUMMYFUNCTION("""COMPUTED_VALUE"""),"Команда №3675")</f>
        <v>Команда №3675</v>
      </c>
      <c r="F195" s="6" t="str">
        <f ca="1">IFERROR(__xludf.DUMMYFUNCTION("""COMPUTED_VALUE"""),"Ведение группы в контакте ""Абитуриент ИРИТ-РТФ"". Ч. 2")</f>
        <v>Ведение группы в контакте "Абитуриент ИРИТ-РТФ". Ч. 2</v>
      </c>
      <c r="G195" s="7">
        <f ca="1">IFERROR(__xludf.DUMMYFUNCTION("""COMPUTED_VALUE"""),100)</f>
        <v>100</v>
      </c>
    </row>
    <row r="196" spans="1:7" ht="26.4" x14ac:dyDescent="0.25">
      <c r="A196" s="5">
        <f ca="1">IFERROR(__xludf.DUMMYFUNCTION("""COMPUTED_VALUE"""),690)</f>
        <v>690</v>
      </c>
      <c r="B196" s="5" t="str">
        <f ca="1">IFERROR(__xludf.DUMMYFUNCTION("""COMPUTED_VALUE"""),"Лукина")</f>
        <v>Лукина</v>
      </c>
      <c r="C196" s="5" t="str">
        <f ca="1">IFERROR(__xludf.DUMMYFUNCTION("""COMPUTED_VALUE"""),"Марина")</f>
        <v>Марина</v>
      </c>
      <c r="D196" s="5" t="str">
        <f ca="1">IFERROR(__xludf.DUMMYFUNCTION("""COMPUTED_VALUE"""),"Алексеевна")</f>
        <v>Алексеевна</v>
      </c>
      <c r="E196" s="5" t="str">
        <f ca="1">IFERROR(__xludf.DUMMYFUNCTION("""COMPUTED_VALUE"""),"Команда №3675")</f>
        <v>Команда №3675</v>
      </c>
      <c r="F196" s="6" t="str">
        <f ca="1">IFERROR(__xludf.DUMMYFUNCTION("""COMPUTED_VALUE"""),"Ведение группы в контакте ""Абитуриент ИРИТ-РТФ"". Ч. 2")</f>
        <v>Ведение группы в контакте "Абитуриент ИРИТ-РТФ". Ч. 2</v>
      </c>
      <c r="G196" s="7">
        <f ca="1">IFERROR(__xludf.DUMMYFUNCTION("""COMPUTED_VALUE"""),100)</f>
        <v>100</v>
      </c>
    </row>
    <row r="197" spans="1:7" ht="26.4" x14ac:dyDescent="0.25">
      <c r="A197" s="5">
        <f ca="1">IFERROR(__xludf.DUMMYFUNCTION("""COMPUTED_VALUE"""),936)</f>
        <v>936</v>
      </c>
      <c r="B197" s="5" t="str">
        <f ca="1">IFERROR(__xludf.DUMMYFUNCTION("""COMPUTED_VALUE"""),"Плотников")</f>
        <v>Плотников</v>
      </c>
      <c r="C197" s="5" t="str">
        <f ca="1">IFERROR(__xludf.DUMMYFUNCTION("""COMPUTED_VALUE"""),"Егор")</f>
        <v>Егор</v>
      </c>
      <c r="D197" s="5" t="str">
        <f ca="1">IFERROR(__xludf.DUMMYFUNCTION("""COMPUTED_VALUE"""),"Дмитриевич")</f>
        <v>Дмитриевич</v>
      </c>
      <c r="E197" s="5" t="str">
        <f ca="1">IFERROR(__xludf.DUMMYFUNCTION("""COMPUTED_VALUE"""),"Команда №3675")</f>
        <v>Команда №3675</v>
      </c>
      <c r="F197" s="6" t="str">
        <f ca="1">IFERROR(__xludf.DUMMYFUNCTION("""COMPUTED_VALUE"""),"Ведение группы в контакте ""Абитуриент ИРИТ-РТФ"". Ч. 2")</f>
        <v>Ведение группы в контакте "Абитуриент ИРИТ-РТФ". Ч. 2</v>
      </c>
      <c r="G197" s="7">
        <f ca="1">IFERROR(__xludf.DUMMYFUNCTION("""COMPUTED_VALUE"""),100)</f>
        <v>100</v>
      </c>
    </row>
    <row r="198" spans="1:7" ht="26.4" x14ac:dyDescent="0.25">
      <c r="A198" s="5">
        <f ca="1">IFERROR(__xludf.DUMMYFUNCTION("""COMPUTED_VALUE"""),564)</f>
        <v>564</v>
      </c>
      <c r="B198" s="5" t="str">
        <f ca="1">IFERROR(__xludf.DUMMYFUNCTION("""COMPUTED_VALUE"""),"Кондратьев")</f>
        <v>Кондратьев</v>
      </c>
      <c r="C198" s="5" t="str">
        <f ca="1">IFERROR(__xludf.DUMMYFUNCTION("""COMPUTED_VALUE"""),"Данила")</f>
        <v>Данила</v>
      </c>
      <c r="D198" s="5" t="str">
        <f ca="1">IFERROR(__xludf.DUMMYFUNCTION("""COMPUTED_VALUE"""),"Андреевич")</f>
        <v>Андреевич</v>
      </c>
      <c r="E198" s="5" t="str">
        <f ca="1">IFERROR(__xludf.DUMMYFUNCTION("""COMPUTED_VALUE"""),"Команда №3676")</f>
        <v>Команда №3676</v>
      </c>
      <c r="F198" s="6" t="str">
        <f ca="1">IFERROR(__xludf.DUMMYFUNCTION("""COMPUTED_VALUE"""),"Разработка веб-сервиса для визуализации данных")</f>
        <v>Разработка веб-сервиса для визуализации данных</v>
      </c>
      <c r="G198" s="7">
        <f ca="1">IFERROR(__xludf.DUMMYFUNCTION("""COMPUTED_VALUE"""),70)</f>
        <v>70</v>
      </c>
    </row>
    <row r="199" spans="1:7" ht="26.4" x14ac:dyDescent="0.25">
      <c r="A199" s="5">
        <f ca="1">IFERROR(__xludf.DUMMYFUNCTION("""COMPUTED_VALUE"""),906)</f>
        <v>906</v>
      </c>
      <c r="B199" s="5" t="str">
        <f ca="1">IFERROR(__xludf.DUMMYFUNCTION("""COMPUTED_VALUE"""),"Парыгин")</f>
        <v>Парыгин</v>
      </c>
      <c r="C199" s="5" t="str">
        <f ca="1">IFERROR(__xludf.DUMMYFUNCTION("""COMPUTED_VALUE"""),"Артем")</f>
        <v>Артем</v>
      </c>
      <c r="D199" s="5" t="str">
        <f ca="1">IFERROR(__xludf.DUMMYFUNCTION("""COMPUTED_VALUE"""),"Тимофеевич")</f>
        <v>Тимофеевич</v>
      </c>
      <c r="E199" s="5" t="str">
        <f ca="1">IFERROR(__xludf.DUMMYFUNCTION("""COMPUTED_VALUE"""),"Команда №3676")</f>
        <v>Команда №3676</v>
      </c>
      <c r="F199" s="6" t="str">
        <f ca="1">IFERROR(__xludf.DUMMYFUNCTION("""COMPUTED_VALUE"""),"Разработка веб-сервиса для визуализации данных")</f>
        <v>Разработка веб-сервиса для визуализации данных</v>
      </c>
      <c r="G199" s="7">
        <f ca="1">IFERROR(__xludf.DUMMYFUNCTION("""COMPUTED_VALUE"""),70)</f>
        <v>70</v>
      </c>
    </row>
    <row r="200" spans="1:7" ht="26.4" x14ac:dyDescent="0.25">
      <c r="A200" s="5">
        <f ca="1">IFERROR(__xludf.DUMMYFUNCTION("""COMPUTED_VALUE"""),923)</f>
        <v>923</v>
      </c>
      <c r="B200" s="5" t="str">
        <f ca="1">IFERROR(__xludf.DUMMYFUNCTION("""COMPUTED_VALUE"""),"Пестова")</f>
        <v>Пестова</v>
      </c>
      <c r="C200" s="5" t="str">
        <f ca="1">IFERROR(__xludf.DUMMYFUNCTION("""COMPUTED_VALUE"""),"Ангелина")</f>
        <v>Ангелина</v>
      </c>
      <c r="D200" s="5" t="str">
        <f ca="1">IFERROR(__xludf.DUMMYFUNCTION("""COMPUTED_VALUE"""),"Владимировна")</f>
        <v>Владимировна</v>
      </c>
      <c r="E200" s="5" t="str">
        <f ca="1">IFERROR(__xludf.DUMMYFUNCTION("""COMPUTED_VALUE"""),"Команда №3676")</f>
        <v>Команда №3676</v>
      </c>
      <c r="F200" s="6" t="str">
        <f ca="1">IFERROR(__xludf.DUMMYFUNCTION("""COMPUTED_VALUE"""),"Разработка веб-сервиса для визуализации данных")</f>
        <v>Разработка веб-сервиса для визуализации данных</v>
      </c>
      <c r="G200" s="7">
        <f ca="1">IFERROR(__xludf.DUMMYFUNCTION("""COMPUTED_VALUE"""),70)</f>
        <v>70</v>
      </c>
    </row>
    <row r="201" spans="1:7" ht="26.4" x14ac:dyDescent="0.25">
      <c r="A201" s="5">
        <f ca="1">IFERROR(__xludf.DUMMYFUNCTION("""COMPUTED_VALUE"""),941)</f>
        <v>941</v>
      </c>
      <c r="B201" s="5" t="str">
        <f ca="1">IFERROR(__xludf.DUMMYFUNCTION("""COMPUTED_VALUE"""),"Полошак")</f>
        <v>Полошак</v>
      </c>
      <c r="C201" s="5" t="str">
        <f ca="1">IFERROR(__xludf.DUMMYFUNCTION("""COMPUTED_VALUE"""),"Тимур")</f>
        <v>Тимур</v>
      </c>
      <c r="D201" s="5" t="str">
        <f ca="1">IFERROR(__xludf.DUMMYFUNCTION("""COMPUTED_VALUE"""),"Андреевич")</f>
        <v>Андреевич</v>
      </c>
      <c r="E201" s="5" t="str">
        <f ca="1">IFERROR(__xludf.DUMMYFUNCTION("""COMPUTED_VALUE"""),"Команда №3676")</f>
        <v>Команда №3676</v>
      </c>
      <c r="F201" s="6" t="str">
        <f ca="1">IFERROR(__xludf.DUMMYFUNCTION("""COMPUTED_VALUE"""),"Разработка веб-сервиса для визуализации данных")</f>
        <v>Разработка веб-сервиса для визуализации данных</v>
      </c>
      <c r="G201" s="7">
        <f ca="1">IFERROR(__xludf.DUMMYFUNCTION("""COMPUTED_VALUE"""),70)</f>
        <v>70</v>
      </c>
    </row>
    <row r="202" spans="1:7" ht="26.4" x14ac:dyDescent="0.25">
      <c r="A202" s="5">
        <f ca="1">IFERROR(__xludf.DUMMYFUNCTION("""COMPUTED_VALUE"""),1060)</f>
        <v>1060</v>
      </c>
      <c r="B202" s="5" t="str">
        <f ca="1">IFERROR(__xludf.DUMMYFUNCTION("""COMPUTED_VALUE"""),"Сибогатова")</f>
        <v>Сибогатова</v>
      </c>
      <c r="C202" s="5" t="str">
        <f ca="1">IFERROR(__xludf.DUMMYFUNCTION("""COMPUTED_VALUE"""),"Амина")</f>
        <v>Амина</v>
      </c>
      <c r="D202" s="5" t="str">
        <f ca="1">IFERROR(__xludf.DUMMYFUNCTION("""COMPUTED_VALUE"""),"Дамировна")</f>
        <v>Дамировна</v>
      </c>
      <c r="E202" s="5" t="str">
        <f ca="1">IFERROR(__xludf.DUMMYFUNCTION("""COMPUTED_VALUE"""),"Команда №3676")</f>
        <v>Команда №3676</v>
      </c>
      <c r="F202" s="6" t="str">
        <f ca="1">IFERROR(__xludf.DUMMYFUNCTION("""COMPUTED_VALUE"""),"Разработка веб-сервиса для визуализации данных")</f>
        <v>Разработка веб-сервиса для визуализации данных</v>
      </c>
      <c r="G202" s="7">
        <f ca="1">IFERROR(__xludf.DUMMYFUNCTION("""COMPUTED_VALUE"""),70)</f>
        <v>70</v>
      </c>
    </row>
    <row r="203" spans="1:7" ht="26.4" x14ac:dyDescent="0.25">
      <c r="A203" s="5">
        <f ca="1">IFERROR(__xludf.DUMMYFUNCTION("""COMPUTED_VALUE"""),624)</f>
        <v>624</v>
      </c>
      <c r="B203" s="5" t="str">
        <f ca="1">IFERROR(__xludf.DUMMYFUNCTION("""COMPUTED_VALUE"""),"Кузиев")</f>
        <v>Кузиев</v>
      </c>
      <c r="C203" s="5" t="str">
        <f ca="1">IFERROR(__xludf.DUMMYFUNCTION("""COMPUTED_VALUE"""),"Данил")</f>
        <v>Данил</v>
      </c>
      <c r="D203" s="5" t="str">
        <f ca="1">IFERROR(__xludf.DUMMYFUNCTION("""COMPUTED_VALUE"""),"Сергеевич")</f>
        <v>Сергеевич</v>
      </c>
      <c r="E203" s="5" t="str">
        <f ca="1">IFERROR(__xludf.DUMMYFUNCTION("""COMPUTED_VALUE"""),"Команда №3678")</f>
        <v>Команда №3678</v>
      </c>
      <c r="F203" s="6" t="str">
        <f ca="1">IFERROR(__xludf.DUMMYFUNCTION("""COMPUTED_VALUE"""),"Создание виртуальной 3d онлайн-лаборатории по физике")</f>
        <v>Создание виртуальной 3d онлайн-лаборатории по физике</v>
      </c>
      <c r="G203" s="7">
        <f ca="1">IFERROR(__xludf.DUMMYFUNCTION("""COMPUTED_VALUE"""),94)</f>
        <v>94</v>
      </c>
    </row>
    <row r="204" spans="1:7" ht="26.4" x14ac:dyDescent="0.25">
      <c r="A204" s="5">
        <f ca="1">IFERROR(__xludf.DUMMYFUNCTION("""COMPUTED_VALUE"""),650)</f>
        <v>650</v>
      </c>
      <c r="B204" s="5" t="str">
        <f ca="1">IFERROR(__xludf.DUMMYFUNCTION("""COMPUTED_VALUE"""),"Курочкин")</f>
        <v>Курочкин</v>
      </c>
      <c r="C204" s="5" t="str">
        <f ca="1">IFERROR(__xludf.DUMMYFUNCTION("""COMPUTED_VALUE"""),"Сергей")</f>
        <v>Сергей</v>
      </c>
      <c r="D204" s="5" t="str">
        <f ca="1">IFERROR(__xludf.DUMMYFUNCTION("""COMPUTED_VALUE"""),"Евгеньевич")</f>
        <v>Евгеньевич</v>
      </c>
      <c r="E204" s="5" t="str">
        <f ca="1">IFERROR(__xludf.DUMMYFUNCTION("""COMPUTED_VALUE"""),"Команда №3678")</f>
        <v>Команда №3678</v>
      </c>
      <c r="F204" s="6" t="str">
        <f ca="1">IFERROR(__xludf.DUMMYFUNCTION("""COMPUTED_VALUE"""),"Создание виртуальной 3d онлайн-лаборатории по физике")</f>
        <v>Создание виртуальной 3d онлайн-лаборатории по физике</v>
      </c>
      <c r="G204" s="7">
        <f ca="1">IFERROR(__xludf.DUMMYFUNCTION("""COMPUTED_VALUE"""),94)</f>
        <v>94</v>
      </c>
    </row>
    <row r="205" spans="1:7" ht="26.4" x14ac:dyDescent="0.25">
      <c r="A205" s="5">
        <f ca="1">IFERROR(__xludf.DUMMYFUNCTION("""COMPUTED_VALUE"""),944)</f>
        <v>944</v>
      </c>
      <c r="B205" s="5" t="str">
        <f ca="1">IFERROR(__xludf.DUMMYFUNCTION("""COMPUTED_VALUE"""),"Поляков")</f>
        <v>Поляков</v>
      </c>
      <c r="C205" s="5" t="str">
        <f ca="1">IFERROR(__xludf.DUMMYFUNCTION("""COMPUTED_VALUE"""),"Кирилл")</f>
        <v>Кирилл</v>
      </c>
      <c r="D205" s="5" t="str">
        <f ca="1">IFERROR(__xludf.DUMMYFUNCTION("""COMPUTED_VALUE"""),"Олегович")</f>
        <v>Олегович</v>
      </c>
      <c r="E205" s="5" t="str">
        <f ca="1">IFERROR(__xludf.DUMMYFUNCTION("""COMPUTED_VALUE"""),"Команда №3678")</f>
        <v>Команда №3678</v>
      </c>
      <c r="F205" s="6" t="str">
        <f ca="1">IFERROR(__xludf.DUMMYFUNCTION("""COMPUTED_VALUE"""),"Создание виртуальной 3d онлайн-лаборатории по физике")</f>
        <v>Создание виртуальной 3d онлайн-лаборатории по физике</v>
      </c>
      <c r="G205" s="7">
        <f ca="1">IFERROR(__xludf.DUMMYFUNCTION("""COMPUTED_VALUE"""),94)</f>
        <v>94</v>
      </c>
    </row>
    <row r="206" spans="1:7" ht="39.6" x14ac:dyDescent="0.25">
      <c r="A206" s="5">
        <f ca="1">IFERROR(__xludf.DUMMYFUNCTION("""COMPUTED_VALUE"""),77)</f>
        <v>77</v>
      </c>
      <c r="B206" s="5" t="str">
        <f ca="1">IFERROR(__xludf.DUMMYFUNCTION("""COMPUTED_VALUE"""),"Бабушкин")</f>
        <v>Бабушкин</v>
      </c>
      <c r="C206" s="5" t="str">
        <f ca="1">IFERROR(__xludf.DUMMYFUNCTION("""COMPUTED_VALUE"""),"Дмитрий")</f>
        <v>Дмитрий</v>
      </c>
      <c r="D206" s="5" t="str">
        <f ca="1">IFERROR(__xludf.DUMMYFUNCTION("""COMPUTED_VALUE"""),"Николаевич")</f>
        <v>Николаевич</v>
      </c>
      <c r="E206" s="5" t="str">
        <f ca="1">IFERROR(__xludf.DUMMYFUNCTION("""COMPUTED_VALUE"""),"Команда №3680")</f>
        <v>Команда №3680</v>
      </c>
      <c r="F206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206" s="7">
        <f ca="1">IFERROR(__xludf.DUMMYFUNCTION("""COMPUTED_VALUE"""),70)</f>
        <v>70</v>
      </c>
    </row>
    <row r="207" spans="1:7" ht="39.6" x14ac:dyDescent="0.25">
      <c r="A207" s="5">
        <f ca="1">IFERROR(__xludf.DUMMYFUNCTION("""COMPUTED_VALUE"""),97)</f>
        <v>97</v>
      </c>
      <c r="B207" s="5" t="str">
        <f ca="1">IFERROR(__xludf.DUMMYFUNCTION("""COMPUTED_VALUE"""),"Баушева")</f>
        <v>Баушева</v>
      </c>
      <c r="C207" s="5" t="str">
        <f ca="1">IFERROR(__xludf.DUMMYFUNCTION("""COMPUTED_VALUE"""),"Виктория")</f>
        <v>Виктория</v>
      </c>
      <c r="D207" s="5" t="str">
        <f ca="1">IFERROR(__xludf.DUMMYFUNCTION("""COMPUTED_VALUE"""),"Павловна")</f>
        <v>Павловна</v>
      </c>
      <c r="E207" s="5" t="str">
        <f ca="1">IFERROR(__xludf.DUMMYFUNCTION("""COMPUTED_VALUE"""),"Команда №3680")</f>
        <v>Команда №3680</v>
      </c>
      <c r="F207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207" s="7">
        <f ca="1">IFERROR(__xludf.DUMMYFUNCTION("""COMPUTED_VALUE"""),70)</f>
        <v>70</v>
      </c>
    </row>
    <row r="208" spans="1:7" ht="39.6" x14ac:dyDescent="0.25">
      <c r="A208" s="5">
        <f ca="1">IFERROR(__xludf.DUMMYFUNCTION("""COMPUTED_VALUE"""),338)</f>
        <v>338</v>
      </c>
      <c r="B208" s="5" t="str">
        <f ca="1">IFERROR(__xludf.DUMMYFUNCTION("""COMPUTED_VALUE"""),"Достовалов")</f>
        <v>Достовалов</v>
      </c>
      <c r="C208" s="5" t="str">
        <f ca="1">IFERROR(__xludf.DUMMYFUNCTION("""COMPUTED_VALUE"""),"Михаил")</f>
        <v>Михаил</v>
      </c>
      <c r="D208" s="5" t="str">
        <f ca="1">IFERROR(__xludf.DUMMYFUNCTION("""COMPUTED_VALUE"""),"Иванович")</f>
        <v>Иванович</v>
      </c>
      <c r="E208" s="5" t="str">
        <f ca="1">IFERROR(__xludf.DUMMYFUNCTION("""COMPUTED_VALUE"""),"Команда №3680")</f>
        <v>Команда №3680</v>
      </c>
      <c r="F208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208" s="7">
        <f ca="1">IFERROR(__xludf.DUMMYFUNCTION("""COMPUTED_VALUE"""),70)</f>
        <v>70</v>
      </c>
    </row>
    <row r="209" spans="1:7" ht="39.6" x14ac:dyDescent="0.25">
      <c r="A209" s="5">
        <f ca="1">IFERROR(__xludf.DUMMYFUNCTION("""COMPUTED_VALUE"""),605)</f>
        <v>605</v>
      </c>
      <c r="B209" s="5" t="str">
        <f ca="1">IFERROR(__xludf.DUMMYFUNCTION("""COMPUTED_VALUE"""),"Кравченко")</f>
        <v>Кравченко</v>
      </c>
      <c r="C209" s="5" t="str">
        <f ca="1">IFERROR(__xludf.DUMMYFUNCTION("""COMPUTED_VALUE"""),"Данил")</f>
        <v>Данил</v>
      </c>
      <c r="D209" s="5" t="str">
        <f ca="1">IFERROR(__xludf.DUMMYFUNCTION("""COMPUTED_VALUE"""),"Сергеевич")</f>
        <v>Сергеевич</v>
      </c>
      <c r="E209" s="5" t="str">
        <f ca="1">IFERROR(__xludf.DUMMYFUNCTION("""COMPUTED_VALUE"""),"Команда №3680")</f>
        <v>Команда №3680</v>
      </c>
      <c r="F209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209" s="7">
        <f ca="1">IFERROR(__xludf.DUMMYFUNCTION("""COMPUTED_VALUE"""),70)</f>
        <v>70</v>
      </c>
    </row>
    <row r="210" spans="1:7" ht="39.6" x14ac:dyDescent="0.25">
      <c r="A210" s="5">
        <f ca="1">IFERROR(__xludf.DUMMYFUNCTION("""COMPUTED_VALUE"""),1080)</f>
        <v>1080</v>
      </c>
      <c r="B210" s="5" t="str">
        <f ca="1">IFERROR(__xludf.DUMMYFUNCTION("""COMPUTED_VALUE"""),"Словцов")</f>
        <v>Словцов</v>
      </c>
      <c r="C210" s="5" t="str">
        <f ca="1">IFERROR(__xludf.DUMMYFUNCTION("""COMPUTED_VALUE"""),"Дмитрий")</f>
        <v>Дмитрий</v>
      </c>
      <c r="D210" s="5" t="str">
        <f ca="1">IFERROR(__xludf.DUMMYFUNCTION("""COMPUTED_VALUE"""),"Сергеевич")</f>
        <v>Сергеевич</v>
      </c>
      <c r="E210" s="5" t="str">
        <f ca="1">IFERROR(__xludf.DUMMYFUNCTION("""COMPUTED_VALUE"""),"Команда №3680")</f>
        <v>Команда №3680</v>
      </c>
      <c r="F210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210" s="7">
        <f ca="1">IFERROR(__xludf.DUMMYFUNCTION("""COMPUTED_VALUE"""),70)</f>
        <v>70</v>
      </c>
    </row>
    <row r="211" spans="1:7" ht="13.2" x14ac:dyDescent="0.25">
      <c r="A211" s="5">
        <f ca="1">IFERROR(__xludf.DUMMYFUNCTION("""COMPUTED_VALUE"""),424)</f>
        <v>424</v>
      </c>
      <c r="B211" s="5" t="str">
        <f ca="1">IFERROR(__xludf.DUMMYFUNCTION("""COMPUTED_VALUE"""),"Звариченко")</f>
        <v>Звариченко</v>
      </c>
      <c r="C211" s="5" t="str">
        <f ca="1">IFERROR(__xludf.DUMMYFUNCTION("""COMPUTED_VALUE"""),"Дарья")</f>
        <v>Дарья</v>
      </c>
      <c r="D211" s="5" t="str">
        <f ca="1">IFERROR(__xludf.DUMMYFUNCTION("""COMPUTED_VALUE"""),"Дмитриевна")</f>
        <v>Дмитриевна</v>
      </c>
      <c r="E211" s="5" t="str">
        <f ca="1">IFERROR(__xludf.DUMMYFUNCTION("""COMPUTED_VALUE"""),"Команда №3681")</f>
        <v>Команда №3681</v>
      </c>
      <c r="F211" s="6" t="str">
        <f ca="1">IFERROR(__xludf.DUMMYFUNCTION("""COMPUTED_VALUE"""),"Разработка игр на Unity + Игровой арт")</f>
        <v>Разработка игр на Unity + Игровой арт</v>
      </c>
      <c r="G211" s="7">
        <f ca="1">IFERROR(__xludf.DUMMYFUNCTION("""COMPUTED_VALUE"""),94)</f>
        <v>94</v>
      </c>
    </row>
    <row r="212" spans="1:7" ht="13.2" x14ac:dyDescent="0.25">
      <c r="A212" s="5">
        <f ca="1">IFERROR(__xludf.DUMMYFUNCTION("""COMPUTED_VALUE"""),881)</f>
        <v>881</v>
      </c>
      <c r="B212" s="5" t="str">
        <f ca="1">IFERROR(__xludf.DUMMYFUNCTION("""COMPUTED_VALUE"""),"Олокин")</f>
        <v>Олокин</v>
      </c>
      <c r="C212" s="5" t="str">
        <f ca="1">IFERROR(__xludf.DUMMYFUNCTION("""COMPUTED_VALUE"""),"Илья")</f>
        <v>Илья</v>
      </c>
      <c r="D212" s="5" t="str">
        <f ca="1">IFERROR(__xludf.DUMMYFUNCTION("""COMPUTED_VALUE"""),"Вячеславович")</f>
        <v>Вячеславович</v>
      </c>
      <c r="E212" s="5" t="str">
        <f ca="1">IFERROR(__xludf.DUMMYFUNCTION("""COMPUTED_VALUE"""),"Команда №3681")</f>
        <v>Команда №3681</v>
      </c>
      <c r="F212" s="6" t="str">
        <f ca="1">IFERROR(__xludf.DUMMYFUNCTION("""COMPUTED_VALUE"""),"Разработка игр на Unity + Игровой арт")</f>
        <v>Разработка игр на Unity + Игровой арт</v>
      </c>
      <c r="G212" s="7">
        <f ca="1">IFERROR(__xludf.DUMMYFUNCTION("""COMPUTED_VALUE"""),94)</f>
        <v>94</v>
      </c>
    </row>
    <row r="213" spans="1:7" ht="13.2" x14ac:dyDescent="0.25">
      <c r="A213" s="5">
        <f ca="1">IFERROR(__xludf.DUMMYFUNCTION("""COMPUTED_VALUE"""),890)</f>
        <v>890</v>
      </c>
      <c r="B213" s="5" t="str">
        <f ca="1">IFERROR(__xludf.DUMMYFUNCTION("""COMPUTED_VALUE"""),"Осипова")</f>
        <v>Осипова</v>
      </c>
      <c r="C213" s="5" t="str">
        <f ca="1">IFERROR(__xludf.DUMMYFUNCTION("""COMPUTED_VALUE"""),"Любовь")</f>
        <v>Любовь</v>
      </c>
      <c r="D213" s="5" t="str">
        <f ca="1">IFERROR(__xludf.DUMMYFUNCTION("""COMPUTED_VALUE"""),"Валерьевна")</f>
        <v>Валерьевна</v>
      </c>
      <c r="E213" s="5" t="str">
        <f ca="1">IFERROR(__xludf.DUMMYFUNCTION("""COMPUTED_VALUE"""),"Команда №3681")</f>
        <v>Команда №3681</v>
      </c>
      <c r="F213" s="6" t="str">
        <f ca="1">IFERROR(__xludf.DUMMYFUNCTION("""COMPUTED_VALUE"""),"Разработка игр на Unity + Игровой арт")</f>
        <v>Разработка игр на Unity + Игровой арт</v>
      </c>
      <c r="G213" s="7">
        <f ca="1">IFERROR(__xludf.DUMMYFUNCTION("""COMPUTED_VALUE"""),94)</f>
        <v>94</v>
      </c>
    </row>
    <row r="214" spans="1:7" ht="13.2" x14ac:dyDescent="0.25">
      <c r="A214" s="5">
        <f ca="1">IFERROR(__xludf.DUMMYFUNCTION("""COMPUTED_VALUE"""),1139)</f>
        <v>1139</v>
      </c>
      <c r="B214" s="5" t="str">
        <f ca="1">IFERROR(__xludf.DUMMYFUNCTION("""COMPUTED_VALUE"""),"Сычков")</f>
        <v>Сычков</v>
      </c>
      <c r="C214" s="5" t="str">
        <f ca="1">IFERROR(__xludf.DUMMYFUNCTION("""COMPUTED_VALUE"""),"Илья")</f>
        <v>Илья</v>
      </c>
      <c r="D214" s="5" t="str">
        <f ca="1">IFERROR(__xludf.DUMMYFUNCTION("""COMPUTED_VALUE"""),"Викторович")</f>
        <v>Викторович</v>
      </c>
      <c r="E214" s="5" t="str">
        <f ca="1">IFERROR(__xludf.DUMMYFUNCTION("""COMPUTED_VALUE"""),"Команда №3681")</f>
        <v>Команда №3681</v>
      </c>
      <c r="F214" s="6" t="str">
        <f ca="1">IFERROR(__xludf.DUMMYFUNCTION("""COMPUTED_VALUE"""),"Разработка игр на Unity + Игровой арт")</f>
        <v>Разработка игр на Unity + Игровой арт</v>
      </c>
      <c r="G214" s="7">
        <f ca="1">IFERROR(__xludf.DUMMYFUNCTION("""COMPUTED_VALUE"""),94)</f>
        <v>94</v>
      </c>
    </row>
    <row r="215" spans="1:7" ht="13.2" x14ac:dyDescent="0.25">
      <c r="A215" s="5">
        <f ca="1">IFERROR(__xludf.DUMMYFUNCTION("""COMPUTED_VALUE"""),1300)</f>
        <v>1300</v>
      </c>
      <c r="B215" s="5" t="str">
        <f ca="1">IFERROR(__xludf.DUMMYFUNCTION("""COMPUTED_VALUE"""),"Чусова")</f>
        <v>Чусова</v>
      </c>
      <c r="C215" s="5" t="str">
        <f ca="1">IFERROR(__xludf.DUMMYFUNCTION("""COMPUTED_VALUE"""),"Мария")</f>
        <v>Мария</v>
      </c>
      <c r="D215" s="5" t="str">
        <f ca="1">IFERROR(__xludf.DUMMYFUNCTION("""COMPUTED_VALUE"""),"Максимовна")</f>
        <v>Максимовна</v>
      </c>
      <c r="E215" s="5" t="str">
        <f ca="1">IFERROR(__xludf.DUMMYFUNCTION("""COMPUTED_VALUE"""),"Команда №3681")</f>
        <v>Команда №3681</v>
      </c>
      <c r="F215" s="6" t="str">
        <f ca="1">IFERROR(__xludf.DUMMYFUNCTION("""COMPUTED_VALUE"""),"Разработка игр на Unity + Игровой арт")</f>
        <v>Разработка игр на Unity + Игровой арт</v>
      </c>
      <c r="G215" s="7">
        <f ca="1">IFERROR(__xludf.DUMMYFUNCTION("""COMPUTED_VALUE"""),94)</f>
        <v>94</v>
      </c>
    </row>
    <row r="216" spans="1:7" ht="13.2" x14ac:dyDescent="0.25">
      <c r="A216" s="5">
        <f ca="1">IFERROR(__xludf.DUMMYFUNCTION("""COMPUTED_VALUE"""),1322)</f>
        <v>1322</v>
      </c>
      <c r="B216" s="5" t="str">
        <f ca="1">IFERROR(__xludf.DUMMYFUNCTION("""COMPUTED_VALUE"""),"Швец")</f>
        <v>Швец</v>
      </c>
      <c r="C216" s="5" t="str">
        <f ca="1">IFERROR(__xludf.DUMMYFUNCTION("""COMPUTED_VALUE"""),"Андрей")</f>
        <v>Андрей</v>
      </c>
      <c r="D216" s="5" t="str">
        <f ca="1">IFERROR(__xludf.DUMMYFUNCTION("""COMPUTED_VALUE"""),"Сергеевич")</f>
        <v>Сергеевич</v>
      </c>
      <c r="E216" s="5" t="str">
        <f ca="1">IFERROR(__xludf.DUMMYFUNCTION("""COMPUTED_VALUE"""),"Команда №3681")</f>
        <v>Команда №3681</v>
      </c>
      <c r="F216" s="6" t="str">
        <f ca="1">IFERROR(__xludf.DUMMYFUNCTION("""COMPUTED_VALUE"""),"Разработка игр на Unity + Игровой арт")</f>
        <v>Разработка игр на Unity + Игровой арт</v>
      </c>
      <c r="G216" s="7">
        <f ca="1">IFERROR(__xludf.DUMMYFUNCTION("""COMPUTED_VALUE"""),94)</f>
        <v>94</v>
      </c>
    </row>
    <row r="217" spans="1:7" ht="13.2" x14ac:dyDescent="0.25">
      <c r="A217" s="5">
        <f ca="1">IFERROR(__xludf.DUMMYFUNCTION("""COMPUTED_VALUE"""),355)</f>
        <v>355</v>
      </c>
      <c r="B217" s="5" t="str">
        <f ca="1">IFERROR(__xludf.DUMMYFUNCTION("""COMPUTED_VALUE"""),"Егоров")</f>
        <v>Егоров</v>
      </c>
      <c r="C217" s="5" t="str">
        <f ca="1">IFERROR(__xludf.DUMMYFUNCTION("""COMPUTED_VALUE"""),"Владислав")</f>
        <v>Владислав</v>
      </c>
      <c r="D217" s="5" t="str">
        <f ca="1">IFERROR(__xludf.DUMMYFUNCTION("""COMPUTED_VALUE"""),"Витальевич")</f>
        <v>Витальевич</v>
      </c>
      <c r="E217" s="5" t="str">
        <f ca="1">IFERROR(__xludf.DUMMYFUNCTION("""COMPUTED_VALUE"""),"Команда №3682")</f>
        <v>Команда №3682</v>
      </c>
      <c r="F217" s="6" t="str">
        <f ca="1">IFERROR(__xludf.DUMMYFUNCTION("""COMPUTED_VALUE"""),"Разработка игр на Unity + Игровой арт")</f>
        <v>Разработка игр на Unity + Игровой арт</v>
      </c>
      <c r="G217" s="7">
        <f ca="1">IFERROR(__xludf.DUMMYFUNCTION("""COMPUTED_VALUE"""),85)</f>
        <v>85</v>
      </c>
    </row>
    <row r="218" spans="1:7" ht="13.2" x14ac:dyDescent="0.25">
      <c r="A218" s="5">
        <f ca="1">IFERROR(__xludf.DUMMYFUNCTION("""COMPUTED_VALUE"""),727)</f>
        <v>727</v>
      </c>
      <c r="B218" s="5" t="str">
        <f ca="1">IFERROR(__xludf.DUMMYFUNCTION("""COMPUTED_VALUE"""),"Маркитан")</f>
        <v>Маркитан</v>
      </c>
      <c r="C218" s="5" t="str">
        <f ca="1">IFERROR(__xludf.DUMMYFUNCTION("""COMPUTED_VALUE"""),"Валерий")</f>
        <v>Валерий</v>
      </c>
      <c r="D218" s="5" t="str">
        <f ca="1">IFERROR(__xludf.DUMMYFUNCTION("""COMPUTED_VALUE"""),"Олегович")</f>
        <v>Олегович</v>
      </c>
      <c r="E218" s="5" t="str">
        <f ca="1">IFERROR(__xludf.DUMMYFUNCTION("""COMPUTED_VALUE"""),"Команда №3682")</f>
        <v>Команда №3682</v>
      </c>
      <c r="F218" s="6" t="str">
        <f ca="1">IFERROR(__xludf.DUMMYFUNCTION("""COMPUTED_VALUE"""),"Разработка игр на Unity + Игровой арт")</f>
        <v>Разработка игр на Unity + Игровой арт</v>
      </c>
      <c r="G218" s="7">
        <f ca="1">IFERROR(__xludf.DUMMYFUNCTION("""COMPUTED_VALUE"""),85)</f>
        <v>85</v>
      </c>
    </row>
    <row r="219" spans="1:7" ht="13.2" x14ac:dyDescent="0.25">
      <c r="A219" s="5">
        <f ca="1">IFERROR(__xludf.DUMMYFUNCTION("""COMPUTED_VALUE"""),783)</f>
        <v>783</v>
      </c>
      <c r="B219" s="5" t="str">
        <f ca="1">IFERROR(__xludf.DUMMYFUNCTION("""COMPUTED_VALUE"""),"Морозов")</f>
        <v>Морозов</v>
      </c>
      <c r="C219" s="5" t="str">
        <f ca="1">IFERROR(__xludf.DUMMYFUNCTION("""COMPUTED_VALUE"""),"Павел")</f>
        <v>Павел</v>
      </c>
      <c r="D219" s="5" t="str">
        <f ca="1">IFERROR(__xludf.DUMMYFUNCTION("""COMPUTED_VALUE"""),"Андреевич")</f>
        <v>Андреевич</v>
      </c>
      <c r="E219" s="5" t="str">
        <f ca="1">IFERROR(__xludf.DUMMYFUNCTION("""COMPUTED_VALUE"""),"Команда №3682")</f>
        <v>Команда №3682</v>
      </c>
      <c r="F219" s="6" t="str">
        <f ca="1">IFERROR(__xludf.DUMMYFUNCTION("""COMPUTED_VALUE"""),"Разработка игр на Unity + Игровой арт")</f>
        <v>Разработка игр на Unity + Игровой арт</v>
      </c>
      <c r="G219" s="7">
        <f ca="1">IFERROR(__xludf.DUMMYFUNCTION("""COMPUTED_VALUE"""),85)</f>
        <v>85</v>
      </c>
    </row>
    <row r="220" spans="1:7" ht="13.2" x14ac:dyDescent="0.25">
      <c r="A220" s="5">
        <f ca="1">IFERROR(__xludf.DUMMYFUNCTION("""COMPUTED_VALUE"""),886)</f>
        <v>886</v>
      </c>
      <c r="B220" s="5" t="str">
        <f ca="1">IFERROR(__xludf.DUMMYFUNCTION("""COMPUTED_VALUE"""),"Орлова")</f>
        <v>Орлова</v>
      </c>
      <c r="C220" s="5" t="str">
        <f ca="1">IFERROR(__xludf.DUMMYFUNCTION("""COMPUTED_VALUE"""),"Екатерина")</f>
        <v>Екатерина</v>
      </c>
      <c r="D220" s="5" t="str">
        <f ca="1">IFERROR(__xludf.DUMMYFUNCTION("""COMPUTED_VALUE"""),"Сергеевна")</f>
        <v>Сергеевна</v>
      </c>
      <c r="E220" s="5" t="str">
        <f ca="1">IFERROR(__xludf.DUMMYFUNCTION("""COMPUTED_VALUE"""),"Команда №3682")</f>
        <v>Команда №3682</v>
      </c>
      <c r="F220" s="6" t="str">
        <f ca="1">IFERROR(__xludf.DUMMYFUNCTION("""COMPUTED_VALUE"""),"Разработка игр на Unity + Игровой арт")</f>
        <v>Разработка игр на Unity + Игровой арт</v>
      </c>
      <c r="G220" s="7">
        <f ca="1">IFERROR(__xludf.DUMMYFUNCTION("""COMPUTED_VALUE"""),85)</f>
        <v>85</v>
      </c>
    </row>
    <row r="221" spans="1:7" ht="13.2" x14ac:dyDescent="0.25">
      <c r="A221" s="5">
        <f ca="1">IFERROR(__xludf.DUMMYFUNCTION("""COMPUTED_VALUE"""),895)</f>
        <v>895</v>
      </c>
      <c r="B221" s="5" t="str">
        <f ca="1">IFERROR(__xludf.DUMMYFUNCTION("""COMPUTED_VALUE"""),"Павленко")</f>
        <v>Павленко</v>
      </c>
      <c r="C221" s="5" t="str">
        <f ca="1">IFERROR(__xludf.DUMMYFUNCTION("""COMPUTED_VALUE"""),"Алексей")</f>
        <v>Алексей</v>
      </c>
      <c r="D221" s="5" t="str">
        <f ca="1">IFERROR(__xludf.DUMMYFUNCTION("""COMPUTED_VALUE"""),"Игоревич")</f>
        <v>Игоревич</v>
      </c>
      <c r="E221" s="5" t="str">
        <f ca="1">IFERROR(__xludf.DUMMYFUNCTION("""COMPUTED_VALUE"""),"Команда №3682")</f>
        <v>Команда №3682</v>
      </c>
      <c r="F221" s="6" t="str">
        <f ca="1">IFERROR(__xludf.DUMMYFUNCTION("""COMPUTED_VALUE"""),"Разработка игр на Unity + Игровой арт")</f>
        <v>Разработка игр на Unity + Игровой арт</v>
      </c>
      <c r="G221" s="7">
        <f ca="1">IFERROR(__xludf.DUMMYFUNCTION("""COMPUTED_VALUE"""),85)</f>
        <v>85</v>
      </c>
    </row>
    <row r="222" spans="1:7" ht="13.2" x14ac:dyDescent="0.25">
      <c r="A222" s="5">
        <f ca="1">IFERROR(__xludf.DUMMYFUNCTION("""COMPUTED_VALUE"""),902)</f>
        <v>902</v>
      </c>
      <c r="B222" s="5" t="str">
        <f ca="1">IFERROR(__xludf.DUMMYFUNCTION("""COMPUTED_VALUE"""),"Пантелеева")</f>
        <v>Пантелеева</v>
      </c>
      <c r="C222" s="5" t="str">
        <f ca="1">IFERROR(__xludf.DUMMYFUNCTION("""COMPUTED_VALUE"""),"Елизавета")</f>
        <v>Елизавета</v>
      </c>
      <c r="D222" s="5" t="str">
        <f ca="1">IFERROR(__xludf.DUMMYFUNCTION("""COMPUTED_VALUE"""),"Дмитриевна")</f>
        <v>Дмитриевна</v>
      </c>
      <c r="E222" s="5" t="str">
        <f ca="1">IFERROR(__xludf.DUMMYFUNCTION("""COMPUTED_VALUE"""),"Команда №3682")</f>
        <v>Команда №3682</v>
      </c>
      <c r="F222" s="6" t="str">
        <f ca="1">IFERROR(__xludf.DUMMYFUNCTION("""COMPUTED_VALUE"""),"Разработка игр на Unity + Игровой арт")</f>
        <v>Разработка игр на Unity + Игровой арт</v>
      </c>
      <c r="G222" s="7">
        <f ca="1">IFERROR(__xludf.DUMMYFUNCTION("""COMPUTED_VALUE"""),85)</f>
        <v>85</v>
      </c>
    </row>
    <row r="223" spans="1:7" ht="13.2" x14ac:dyDescent="0.25">
      <c r="A223" s="5">
        <f ca="1">IFERROR(__xludf.DUMMYFUNCTION("""COMPUTED_VALUE"""),1281)</f>
        <v>1281</v>
      </c>
      <c r="B223" s="5" t="str">
        <f ca="1">IFERROR(__xludf.DUMMYFUNCTION("""COMPUTED_VALUE"""),"Черноусова")</f>
        <v>Черноусова</v>
      </c>
      <c r="C223" s="5" t="str">
        <f ca="1">IFERROR(__xludf.DUMMYFUNCTION("""COMPUTED_VALUE"""),"Анастасия")</f>
        <v>Анастасия</v>
      </c>
      <c r="D223" s="5" t="str">
        <f ca="1">IFERROR(__xludf.DUMMYFUNCTION("""COMPUTED_VALUE"""),"Сергеевна")</f>
        <v>Сергеевна</v>
      </c>
      <c r="E223" s="5" t="str">
        <f ca="1">IFERROR(__xludf.DUMMYFUNCTION("""COMPUTED_VALUE"""),"Команда №3682")</f>
        <v>Команда №3682</v>
      </c>
      <c r="F223" s="6" t="str">
        <f ca="1">IFERROR(__xludf.DUMMYFUNCTION("""COMPUTED_VALUE"""),"Разработка игр на Unity + Игровой арт")</f>
        <v>Разработка игр на Unity + Игровой арт</v>
      </c>
      <c r="G223" s="7">
        <f ca="1">IFERROR(__xludf.DUMMYFUNCTION("""COMPUTED_VALUE"""),85)</f>
        <v>85</v>
      </c>
    </row>
    <row r="224" spans="1:7" ht="13.2" x14ac:dyDescent="0.25">
      <c r="A224" s="5">
        <f ca="1">IFERROR(__xludf.DUMMYFUNCTION("""COMPUTED_VALUE"""),110)</f>
        <v>110</v>
      </c>
      <c r="B224" s="5" t="str">
        <f ca="1">IFERROR(__xludf.DUMMYFUNCTION("""COMPUTED_VALUE"""),"Белковский")</f>
        <v>Белковский</v>
      </c>
      <c r="C224" s="5" t="str">
        <f ca="1">IFERROR(__xludf.DUMMYFUNCTION("""COMPUTED_VALUE"""),"Александр")</f>
        <v>Александр</v>
      </c>
      <c r="D224" s="5" t="str">
        <f ca="1">IFERROR(__xludf.DUMMYFUNCTION("""COMPUTED_VALUE"""),"Евгеньевич")</f>
        <v>Евгеньевич</v>
      </c>
      <c r="E224" s="5" t="str">
        <f ca="1">IFERROR(__xludf.DUMMYFUNCTION("""COMPUTED_VALUE"""),"Команда №3683")</f>
        <v>Команда №3683</v>
      </c>
      <c r="F224" s="6" t="str">
        <f ca="1">IFERROR(__xludf.DUMMYFUNCTION("""COMPUTED_VALUE"""),"Разработка игр на Unity + Игровой арт")</f>
        <v>Разработка игр на Unity + Игровой арт</v>
      </c>
      <c r="G224" s="7">
        <f ca="1">IFERROR(__xludf.DUMMYFUNCTION("""COMPUTED_VALUE"""),85)</f>
        <v>85</v>
      </c>
    </row>
    <row r="225" spans="1:7" ht="13.2" x14ac:dyDescent="0.25">
      <c r="A225" s="5">
        <f ca="1">IFERROR(__xludf.DUMMYFUNCTION("""COMPUTED_VALUE"""),263)</f>
        <v>263</v>
      </c>
      <c r="B225" s="5" t="str">
        <f ca="1">IFERROR(__xludf.DUMMYFUNCTION("""COMPUTED_VALUE"""),"Голубицкий")</f>
        <v>Голубицкий</v>
      </c>
      <c r="C225" s="5" t="str">
        <f ca="1">IFERROR(__xludf.DUMMYFUNCTION("""COMPUTED_VALUE"""),"Александр")</f>
        <v>Александр</v>
      </c>
      <c r="D225" s="5" t="str">
        <f ca="1">IFERROR(__xludf.DUMMYFUNCTION("""COMPUTED_VALUE"""),"Сергеевич")</f>
        <v>Сергеевич</v>
      </c>
      <c r="E225" s="5" t="str">
        <f ca="1">IFERROR(__xludf.DUMMYFUNCTION("""COMPUTED_VALUE"""),"Команда №3683")</f>
        <v>Команда №3683</v>
      </c>
      <c r="F225" s="6" t="str">
        <f ca="1">IFERROR(__xludf.DUMMYFUNCTION("""COMPUTED_VALUE"""),"Разработка игр на Unity + Игровой арт")</f>
        <v>Разработка игр на Unity + Игровой арт</v>
      </c>
      <c r="G225" s="7">
        <f ca="1">IFERROR(__xludf.DUMMYFUNCTION("""COMPUTED_VALUE"""),85)</f>
        <v>85</v>
      </c>
    </row>
    <row r="226" spans="1:7" ht="13.2" x14ac:dyDescent="0.25">
      <c r="A226" s="5">
        <f ca="1">IFERROR(__xludf.DUMMYFUNCTION("""COMPUTED_VALUE"""),266)</f>
        <v>266</v>
      </c>
      <c r="B226" s="5" t="str">
        <f ca="1">IFERROR(__xludf.DUMMYFUNCTION("""COMPUTED_VALUE"""),"Гомзикова")</f>
        <v>Гомзикова</v>
      </c>
      <c r="C226" s="5" t="str">
        <f ca="1">IFERROR(__xludf.DUMMYFUNCTION("""COMPUTED_VALUE"""),"Ксения")</f>
        <v>Ксения</v>
      </c>
      <c r="D226" s="5" t="str">
        <f ca="1">IFERROR(__xludf.DUMMYFUNCTION("""COMPUTED_VALUE"""),"Андреевна")</f>
        <v>Андреевна</v>
      </c>
      <c r="E226" s="5" t="str">
        <f ca="1">IFERROR(__xludf.DUMMYFUNCTION("""COMPUTED_VALUE"""),"Команда №3683")</f>
        <v>Команда №3683</v>
      </c>
      <c r="F226" s="6" t="str">
        <f ca="1">IFERROR(__xludf.DUMMYFUNCTION("""COMPUTED_VALUE"""),"Разработка игр на Unity + Игровой арт")</f>
        <v>Разработка игр на Unity + Игровой арт</v>
      </c>
      <c r="G226" s="7">
        <f ca="1">IFERROR(__xludf.DUMMYFUNCTION("""COMPUTED_VALUE"""),85)</f>
        <v>85</v>
      </c>
    </row>
    <row r="227" spans="1:7" ht="13.2" x14ac:dyDescent="0.25">
      <c r="A227" s="5">
        <f ca="1">IFERROR(__xludf.DUMMYFUNCTION("""COMPUTED_VALUE"""),973)</f>
        <v>973</v>
      </c>
      <c r="B227" s="5" t="str">
        <f ca="1">IFERROR(__xludf.DUMMYFUNCTION("""COMPUTED_VALUE"""),"Пушкарев")</f>
        <v>Пушкарев</v>
      </c>
      <c r="C227" s="5" t="str">
        <f ca="1">IFERROR(__xludf.DUMMYFUNCTION("""COMPUTED_VALUE"""),"Никита")</f>
        <v>Никита</v>
      </c>
      <c r="D227" s="5" t="str">
        <f ca="1">IFERROR(__xludf.DUMMYFUNCTION("""COMPUTED_VALUE"""),"Андреевич")</f>
        <v>Андреевич</v>
      </c>
      <c r="E227" s="5" t="str">
        <f ca="1">IFERROR(__xludf.DUMMYFUNCTION("""COMPUTED_VALUE"""),"Команда №3683")</f>
        <v>Команда №3683</v>
      </c>
      <c r="F227" s="6" t="str">
        <f ca="1">IFERROR(__xludf.DUMMYFUNCTION("""COMPUTED_VALUE"""),"Разработка игр на Unity + Игровой арт")</f>
        <v>Разработка игр на Unity + Игровой арт</v>
      </c>
      <c r="G227" s="7">
        <f ca="1">IFERROR(__xludf.DUMMYFUNCTION("""COMPUTED_VALUE"""),85)</f>
        <v>85</v>
      </c>
    </row>
    <row r="228" spans="1:7" ht="13.2" x14ac:dyDescent="0.25">
      <c r="A228" s="5">
        <f ca="1">IFERROR(__xludf.DUMMYFUNCTION("""COMPUTED_VALUE"""),999)</f>
        <v>999</v>
      </c>
      <c r="B228" s="5" t="str">
        <f ca="1">IFERROR(__xludf.DUMMYFUNCTION("""COMPUTED_VALUE"""),"Россихина")</f>
        <v>Россихина</v>
      </c>
      <c r="C228" s="5" t="str">
        <f ca="1">IFERROR(__xludf.DUMMYFUNCTION("""COMPUTED_VALUE"""),"Ирина")</f>
        <v>Ирина</v>
      </c>
      <c r="D228" s="5" t="str">
        <f ca="1">IFERROR(__xludf.DUMMYFUNCTION("""COMPUTED_VALUE"""),"Александровна")</f>
        <v>Александровна</v>
      </c>
      <c r="E228" s="5" t="str">
        <f ca="1">IFERROR(__xludf.DUMMYFUNCTION("""COMPUTED_VALUE"""),"Команда №3683")</f>
        <v>Команда №3683</v>
      </c>
      <c r="F228" s="6" t="str">
        <f ca="1">IFERROR(__xludf.DUMMYFUNCTION("""COMPUTED_VALUE"""),"Разработка игр на Unity + Игровой арт")</f>
        <v>Разработка игр на Unity + Игровой арт</v>
      </c>
      <c r="G228" s="7">
        <f ca="1">IFERROR(__xludf.DUMMYFUNCTION("""COMPUTED_VALUE"""),85)</f>
        <v>85</v>
      </c>
    </row>
    <row r="229" spans="1:7" ht="13.2" x14ac:dyDescent="0.25">
      <c r="A229" s="5">
        <f ca="1">IFERROR(__xludf.DUMMYFUNCTION("""COMPUTED_VALUE"""),1218)</f>
        <v>1218</v>
      </c>
      <c r="B229" s="5" t="str">
        <f ca="1">IFERROR(__xludf.DUMMYFUNCTION("""COMPUTED_VALUE"""),"Фефелова")</f>
        <v>Фефелова</v>
      </c>
      <c r="C229" s="5" t="str">
        <f ca="1">IFERROR(__xludf.DUMMYFUNCTION("""COMPUTED_VALUE"""),"Дарья")</f>
        <v>Дарья</v>
      </c>
      <c r="D229" s="5" t="str">
        <f ca="1">IFERROR(__xludf.DUMMYFUNCTION("""COMPUTED_VALUE"""),"Юрьевна")</f>
        <v>Юрьевна</v>
      </c>
      <c r="E229" s="5" t="str">
        <f ca="1">IFERROR(__xludf.DUMMYFUNCTION("""COMPUTED_VALUE"""),"Команда №3683")</f>
        <v>Команда №3683</v>
      </c>
      <c r="F229" s="6" t="str">
        <f ca="1">IFERROR(__xludf.DUMMYFUNCTION("""COMPUTED_VALUE"""),"Разработка игр на Unity + Игровой арт")</f>
        <v>Разработка игр на Unity + Игровой арт</v>
      </c>
      <c r="G229" s="7">
        <f ca="1">IFERROR(__xludf.DUMMYFUNCTION("""COMPUTED_VALUE"""),85)</f>
        <v>85</v>
      </c>
    </row>
    <row r="230" spans="1:7" ht="13.2" x14ac:dyDescent="0.25">
      <c r="A230" s="5">
        <f ca="1">IFERROR(__xludf.DUMMYFUNCTION("""COMPUTED_VALUE"""),1276)</f>
        <v>1276</v>
      </c>
      <c r="B230" s="5" t="str">
        <f ca="1">IFERROR(__xludf.DUMMYFUNCTION("""COMPUTED_VALUE"""),"Черепанова")</f>
        <v>Черепанова</v>
      </c>
      <c r="C230" s="5" t="str">
        <f ca="1">IFERROR(__xludf.DUMMYFUNCTION("""COMPUTED_VALUE"""),"Ирина")</f>
        <v>Ирина</v>
      </c>
      <c r="D230" s="5" t="str">
        <f ca="1">IFERROR(__xludf.DUMMYFUNCTION("""COMPUTED_VALUE"""),"Михайловна")</f>
        <v>Михайловна</v>
      </c>
      <c r="E230" s="5" t="str">
        <f ca="1">IFERROR(__xludf.DUMMYFUNCTION("""COMPUTED_VALUE"""),"Команда №3683")</f>
        <v>Команда №3683</v>
      </c>
      <c r="F230" s="6" t="str">
        <f ca="1">IFERROR(__xludf.DUMMYFUNCTION("""COMPUTED_VALUE"""),"Разработка игр на Unity + Игровой арт")</f>
        <v>Разработка игр на Unity + Игровой арт</v>
      </c>
      <c r="G230" s="7">
        <f ca="1">IFERROR(__xludf.DUMMYFUNCTION("""COMPUTED_VALUE"""),85)</f>
        <v>85</v>
      </c>
    </row>
    <row r="231" spans="1:7" ht="26.4" x14ac:dyDescent="0.25">
      <c r="A231" s="5">
        <f ca="1">IFERROR(__xludf.DUMMYFUNCTION("""COMPUTED_VALUE"""),26)</f>
        <v>26</v>
      </c>
      <c r="B231" s="5" t="str">
        <f ca="1">IFERROR(__xludf.DUMMYFUNCTION("""COMPUTED_VALUE"""),"Акулов")</f>
        <v>Акулов</v>
      </c>
      <c r="C231" s="5" t="str">
        <f ca="1">IFERROR(__xludf.DUMMYFUNCTION("""COMPUTED_VALUE"""),"Вячеслав")</f>
        <v>Вячеслав</v>
      </c>
      <c r="D231" s="5" t="str">
        <f ca="1">IFERROR(__xludf.DUMMYFUNCTION("""COMPUTED_VALUE"""),"Игнатович")</f>
        <v>Игнатович</v>
      </c>
      <c r="E231" s="5" t="str">
        <f ca="1">IFERROR(__xludf.DUMMYFUNCTION("""COMPUTED_VALUE"""),"Команда №3684")</f>
        <v>Команда №3684</v>
      </c>
      <c r="F231" s="6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G231" s="7">
        <f ca="1">IFERROR(__xludf.DUMMYFUNCTION("""COMPUTED_VALUE"""),85)</f>
        <v>85</v>
      </c>
    </row>
    <row r="232" spans="1:7" ht="26.4" x14ac:dyDescent="0.25">
      <c r="A232" s="5">
        <f ca="1">IFERROR(__xludf.DUMMYFUNCTION("""COMPUTED_VALUE"""),50)</f>
        <v>50</v>
      </c>
      <c r="B232" s="5" t="str">
        <f ca="1">IFERROR(__xludf.DUMMYFUNCTION("""COMPUTED_VALUE"""),"Апальков")</f>
        <v>Апальков</v>
      </c>
      <c r="C232" s="5" t="str">
        <f ca="1">IFERROR(__xludf.DUMMYFUNCTION("""COMPUTED_VALUE"""),"Егор")</f>
        <v>Егор</v>
      </c>
      <c r="D232" s="5" t="str">
        <f ca="1">IFERROR(__xludf.DUMMYFUNCTION("""COMPUTED_VALUE"""),"Владимирович")</f>
        <v>Владимирович</v>
      </c>
      <c r="E232" s="5" t="str">
        <f ca="1">IFERROR(__xludf.DUMMYFUNCTION("""COMPUTED_VALUE"""),"Команда №3684")</f>
        <v>Команда №3684</v>
      </c>
      <c r="F232" s="6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G232" s="7">
        <f ca="1">IFERROR(__xludf.DUMMYFUNCTION("""COMPUTED_VALUE"""),85)</f>
        <v>85</v>
      </c>
    </row>
    <row r="233" spans="1:7" ht="26.4" x14ac:dyDescent="0.25">
      <c r="A233" s="5">
        <f ca="1">IFERROR(__xludf.DUMMYFUNCTION("""COMPUTED_VALUE"""),69)</f>
        <v>69</v>
      </c>
      <c r="B233" s="5" t="str">
        <f ca="1">IFERROR(__xludf.DUMMYFUNCTION("""COMPUTED_VALUE"""),"Ахлюстина")</f>
        <v>Ахлюстина</v>
      </c>
      <c r="C233" s="5" t="str">
        <f ca="1">IFERROR(__xludf.DUMMYFUNCTION("""COMPUTED_VALUE"""),"Анастасия")</f>
        <v>Анастасия</v>
      </c>
      <c r="D233" s="5" t="str">
        <f ca="1">IFERROR(__xludf.DUMMYFUNCTION("""COMPUTED_VALUE"""),"Андреевна")</f>
        <v>Андреевна</v>
      </c>
      <c r="E233" s="5" t="str">
        <f ca="1">IFERROR(__xludf.DUMMYFUNCTION("""COMPUTED_VALUE"""),"Команда №3684")</f>
        <v>Команда №3684</v>
      </c>
      <c r="F233" s="6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G233" s="7">
        <f ca="1">IFERROR(__xludf.DUMMYFUNCTION("""COMPUTED_VALUE"""),85)</f>
        <v>85</v>
      </c>
    </row>
    <row r="234" spans="1:7" ht="26.4" x14ac:dyDescent="0.25">
      <c r="A234" s="5">
        <f ca="1">IFERROR(__xludf.DUMMYFUNCTION("""COMPUTED_VALUE"""),123)</f>
        <v>123</v>
      </c>
      <c r="B234" s="5" t="str">
        <f ca="1">IFERROR(__xludf.DUMMYFUNCTION("""COMPUTED_VALUE"""),"Биккужина")</f>
        <v>Биккужина</v>
      </c>
      <c r="C234" s="5" t="str">
        <f ca="1">IFERROR(__xludf.DUMMYFUNCTION("""COMPUTED_VALUE"""),"Полина")</f>
        <v>Полина</v>
      </c>
      <c r="D234" s="5" t="str">
        <f ca="1">IFERROR(__xludf.DUMMYFUNCTION("""COMPUTED_VALUE"""),"Дмитриевна")</f>
        <v>Дмитриевна</v>
      </c>
      <c r="E234" s="5" t="str">
        <f ca="1">IFERROR(__xludf.DUMMYFUNCTION("""COMPUTED_VALUE"""),"Команда №3684")</f>
        <v>Команда №3684</v>
      </c>
      <c r="F234" s="6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G234" s="7">
        <f ca="1">IFERROR(__xludf.DUMMYFUNCTION("""COMPUTED_VALUE"""),85)</f>
        <v>85</v>
      </c>
    </row>
    <row r="235" spans="1:7" ht="26.4" x14ac:dyDescent="0.25">
      <c r="A235" s="5">
        <f ca="1">IFERROR(__xludf.DUMMYFUNCTION("""COMPUTED_VALUE"""),871)</f>
        <v>871</v>
      </c>
      <c r="B235" s="5" t="str">
        <f ca="1">IFERROR(__xludf.DUMMYFUNCTION("""COMPUTED_VALUE"""),"Овинкин")</f>
        <v>Овинкин</v>
      </c>
      <c r="C235" s="5" t="str">
        <f ca="1">IFERROR(__xludf.DUMMYFUNCTION("""COMPUTED_VALUE"""),"Кирилл")</f>
        <v>Кирилл</v>
      </c>
      <c r="D235" s="5" t="str">
        <f ca="1">IFERROR(__xludf.DUMMYFUNCTION("""COMPUTED_VALUE"""),"Михайлович")</f>
        <v>Михайлович</v>
      </c>
      <c r="E235" s="5" t="str">
        <f ca="1">IFERROR(__xludf.DUMMYFUNCTION("""COMPUTED_VALUE"""),"Команда №3684")</f>
        <v>Команда №3684</v>
      </c>
      <c r="F235" s="6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G235" s="7">
        <f ca="1">IFERROR(__xludf.DUMMYFUNCTION("""COMPUTED_VALUE"""),85)</f>
        <v>85</v>
      </c>
    </row>
    <row r="236" spans="1:7" ht="26.4" x14ac:dyDescent="0.25">
      <c r="A236" s="5">
        <f ca="1">IFERROR(__xludf.DUMMYFUNCTION("""COMPUTED_VALUE"""),926)</f>
        <v>926</v>
      </c>
      <c r="B236" s="5" t="str">
        <f ca="1">IFERROR(__xludf.DUMMYFUNCTION("""COMPUTED_VALUE"""),"Петров")</f>
        <v>Петров</v>
      </c>
      <c r="C236" s="5" t="str">
        <f ca="1">IFERROR(__xludf.DUMMYFUNCTION("""COMPUTED_VALUE"""),"Михаил")</f>
        <v>Михаил</v>
      </c>
      <c r="D236" s="5" t="str">
        <f ca="1">IFERROR(__xludf.DUMMYFUNCTION("""COMPUTED_VALUE"""),"Дмитриевич")</f>
        <v>Дмитриевич</v>
      </c>
      <c r="E236" s="5" t="str">
        <f ca="1">IFERROR(__xludf.DUMMYFUNCTION("""COMPUTED_VALUE"""),"Команда №3684")</f>
        <v>Команда №3684</v>
      </c>
      <c r="F236" s="6" t="str">
        <f ca="1">IFERROR(__xludf.DUMMYFUNCTION("""COMPUTED_VALUE"""),"Разработка мультиплеерной 3D игры ""Hungry fellhounds"" на Unreal Engine")</f>
        <v>Разработка мультиплеерной 3D игры "Hungry fellhounds" на Unreal Engine</v>
      </c>
      <c r="G236" s="7">
        <f ca="1">IFERROR(__xludf.DUMMYFUNCTION("""COMPUTED_VALUE"""),85)</f>
        <v>85</v>
      </c>
    </row>
    <row r="237" spans="1:7" ht="13.2" x14ac:dyDescent="0.25">
      <c r="A237" s="5">
        <f ca="1">IFERROR(__xludf.DUMMYFUNCTION("""COMPUTED_VALUE"""),127)</f>
        <v>127</v>
      </c>
      <c r="B237" s="5" t="str">
        <f ca="1">IFERROR(__xludf.DUMMYFUNCTION("""COMPUTED_VALUE"""),"Бисик")</f>
        <v>Бисик</v>
      </c>
      <c r="C237" s="5" t="str">
        <f ca="1">IFERROR(__xludf.DUMMYFUNCTION("""COMPUTED_VALUE"""),"Артём")</f>
        <v>Артём</v>
      </c>
      <c r="D237" s="5" t="str">
        <f ca="1">IFERROR(__xludf.DUMMYFUNCTION("""COMPUTED_VALUE"""),"Дмитриевич")</f>
        <v>Дмитриевич</v>
      </c>
      <c r="E237" s="5" t="str">
        <f ca="1">IFERROR(__xludf.DUMMYFUNCTION("""COMPUTED_VALUE"""),"Команда №3685")</f>
        <v>Команда №3685</v>
      </c>
      <c r="F237" s="6" t="str">
        <f ca="1">IFERROR(__xludf.DUMMYFUNCTION("""COMPUTED_VALUE"""),"Создание web-игры ""ViruseWar""")</f>
        <v>Создание web-игры "ViruseWar"</v>
      </c>
      <c r="G237" s="7">
        <f ca="1">IFERROR(__xludf.DUMMYFUNCTION("""COMPUTED_VALUE"""),72)</f>
        <v>72</v>
      </c>
    </row>
    <row r="238" spans="1:7" ht="13.2" x14ac:dyDescent="0.25">
      <c r="A238" s="5">
        <f ca="1">IFERROR(__xludf.DUMMYFUNCTION("""COMPUTED_VALUE"""),616)</f>
        <v>616</v>
      </c>
      <c r="B238" s="5" t="str">
        <f ca="1">IFERROR(__xludf.DUMMYFUNCTION("""COMPUTED_VALUE"""),"Крутиков")</f>
        <v>Крутиков</v>
      </c>
      <c r="C238" s="5" t="str">
        <f ca="1">IFERROR(__xludf.DUMMYFUNCTION("""COMPUTED_VALUE"""),"Дмитрий")</f>
        <v>Дмитрий</v>
      </c>
      <c r="D238" s="5" t="str">
        <f ca="1">IFERROR(__xludf.DUMMYFUNCTION("""COMPUTED_VALUE"""),"Михайлович")</f>
        <v>Михайлович</v>
      </c>
      <c r="E238" s="5" t="str">
        <f ca="1">IFERROR(__xludf.DUMMYFUNCTION("""COMPUTED_VALUE"""),"Команда №3685")</f>
        <v>Команда №3685</v>
      </c>
      <c r="F238" s="6" t="str">
        <f ca="1">IFERROR(__xludf.DUMMYFUNCTION("""COMPUTED_VALUE"""),"Создание web-игры ""ViruseWar""")</f>
        <v>Создание web-игры "ViruseWar"</v>
      </c>
      <c r="G238" s="7">
        <f ca="1">IFERROR(__xludf.DUMMYFUNCTION("""COMPUTED_VALUE"""),72)</f>
        <v>72</v>
      </c>
    </row>
    <row r="239" spans="1:7" ht="13.2" x14ac:dyDescent="0.25">
      <c r="A239" s="5">
        <f ca="1">IFERROR(__xludf.DUMMYFUNCTION("""COMPUTED_VALUE"""),1278)</f>
        <v>1278</v>
      </c>
      <c r="B239" s="5" t="str">
        <f ca="1">IFERROR(__xludf.DUMMYFUNCTION("""COMPUTED_VALUE"""),"Черноморцев")</f>
        <v>Черноморцев</v>
      </c>
      <c r="C239" s="5" t="str">
        <f ca="1">IFERROR(__xludf.DUMMYFUNCTION("""COMPUTED_VALUE"""),"Егор")</f>
        <v>Егор</v>
      </c>
      <c r="D239" s="5" t="str">
        <f ca="1">IFERROR(__xludf.DUMMYFUNCTION("""COMPUTED_VALUE"""),"Вячеславович")</f>
        <v>Вячеславович</v>
      </c>
      <c r="E239" s="5" t="str">
        <f ca="1">IFERROR(__xludf.DUMMYFUNCTION("""COMPUTED_VALUE"""),"Команда №3685")</f>
        <v>Команда №3685</v>
      </c>
      <c r="F239" s="6" t="str">
        <f ca="1">IFERROR(__xludf.DUMMYFUNCTION("""COMPUTED_VALUE"""),"Создание web-игры ""ViruseWar""")</f>
        <v>Создание web-игры "ViruseWar"</v>
      </c>
      <c r="G239" s="7">
        <f ca="1">IFERROR(__xludf.DUMMYFUNCTION("""COMPUTED_VALUE"""),72)</f>
        <v>72</v>
      </c>
    </row>
    <row r="240" spans="1:7" ht="13.2" x14ac:dyDescent="0.25">
      <c r="A240" s="5">
        <f ca="1">IFERROR(__xludf.DUMMYFUNCTION("""COMPUTED_VALUE"""),1303)</f>
        <v>1303</v>
      </c>
      <c r="B240" s="5" t="str">
        <f ca="1">IFERROR(__xludf.DUMMYFUNCTION("""COMPUTED_VALUE"""),"Шайханов")</f>
        <v>Шайханов</v>
      </c>
      <c r="C240" s="5" t="str">
        <f ca="1">IFERROR(__xludf.DUMMYFUNCTION("""COMPUTED_VALUE"""),"Марат")</f>
        <v>Марат</v>
      </c>
      <c r="D240" s="5" t="str">
        <f ca="1">IFERROR(__xludf.DUMMYFUNCTION("""COMPUTED_VALUE"""),"Артурович")</f>
        <v>Артурович</v>
      </c>
      <c r="E240" s="5" t="str">
        <f ca="1">IFERROR(__xludf.DUMMYFUNCTION("""COMPUTED_VALUE"""),"Команда №3685")</f>
        <v>Команда №3685</v>
      </c>
      <c r="F240" s="6" t="str">
        <f ca="1">IFERROR(__xludf.DUMMYFUNCTION("""COMPUTED_VALUE"""),"Создание web-игры ""ViruseWar""")</f>
        <v>Создание web-игры "ViruseWar"</v>
      </c>
      <c r="G240" s="7">
        <f ca="1">IFERROR(__xludf.DUMMYFUNCTION("""COMPUTED_VALUE"""),72)</f>
        <v>72</v>
      </c>
    </row>
    <row r="241" spans="1:7" ht="26.4" x14ac:dyDescent="0.25">
      <c r="A241" s="5">
        <f ca="1">IFERROR(__xludf.DUMMYFUNCTION("""COMPUTED_VALUE"""),357)</f>
        <v>357</v>
      </c>
      <c r="B241" s="5" t="str">
        <f ca="1">IFERROR(__xludf.DUMMYFUNCTION("""COMPUTED_VALUE"""),"Ежиков")</f>
        <v>Ежиков</v>
      </c>
      <c r="C241" s="5" t="str">
        <f ca="1">IFERROR(__xludf.DUMMYFUNCTION("""COMPUTED_VALUE"""),"Павел")</f>
        <v>Павел</v>
      </c>
      <c r="D241" s="5" t="str">
        <f ca="1">IFERROR(__xludf.DUMMYFUNCTION("""COMPUTED_VALUE"""),"Андреевич")</f>
        <v>Андреевич</v>
      </c>
      <c r="E241" s="5" t="str">
        <f ca="1">IFERROR(__xludf.DUMMYFUNCTION("""COMPUTED_VALUE"""),"Команда №3686")</f>
        <v>Команда №3686</v>
      </c>
      <c r="F241" s="6" t="str">
        <f ca="1">IFERROR(__xludf.DUMMYFUNCTION("""COMPUTED_VALUE"""),"Corpas – сервис корпоративных ассистентов в мессенджерах")</f>
        <v>Corpas – сервис корпоративных ассистентов в мессенджерах</v>
      </c>
      <c r="G241" s="7">
        <f ca="1">IFERROR(__xludf.DUMMYFUNCTION("""COMPUTED_VALUE"""),73)</f>
        <v>73</v>
      </c>
    </row>
    <row r="242" spans="1:7" ht="26.4" x14ac:dyDescent="0.25">
      <c r="A242" s="5">
        <f ca="1">IFERROR(__xludf.DUMMYFUNCTION("""COMPUTED_VALUE"""),366)</f>
        <v>366</v>
      </c>
      <c r="B242" s="5" t="str">
        <f ca="1">IFERROR(__xludf.DUMMYFUNCTION("""COMPUTED_VALUE"""),"Емурашин")</f>
        <v>Емурашин</v>
      </c>
      <c r="C242" s="5" t="str">
        <f ca="1">IFERROR(__xludf.DUMMYFUNCTION("""COMPUTED_VALUE"""),"Данил")</f>
        <v>Данил</v>
      </c>
      <c r="D242" s="5" t="str">
        <f ca="1">IFERROR(__xludf.DUMMYFUNCTION("""COMPUTED_VALUE"""),"Евгеньевич")</f>
        <v>Евгеньевич</v>
      </c>
      <c r="E242" s="5" t="str">
        <f ca="1">IFERROR(__xludf.DUMMYFUNCTION("""COMPUTED_VALUE"""),"Команда №3686")</f>
        <v>Команда №3686</v>
      </c>
      <c r="F242" s="6" t="str">
        <f ca="1">IFERROR(__xludf.DUMMYFUNCTION("""COMPUTED_VALUE"""),"Corpas – сервис корпоративных ассистентов в мессенджерах")</f>
        <v>Corpas – сервис корпоративных ассистентов в мессенджерах</v>
      </c>
      <c r="G242" s="7">
        <f ca="1">IFERROR(__xludf.DUMMYFUNCTION("""COMPUTED_VALUE"""),73)</f>
        <v>73</v>
      </c>
    </row>
    <row r="243" spans="1:7" ht="26.4" x14ac:dyDescent="0.25">
      <c r="A243" s="5">
        <f ca="1">IFERROR(__xludf.DUMMYFUNCTION("""COMPUTED_VALUE"""),958)</f>
        <v>958</v>
      </c>
      <c r="B243" s="5" t="str">
        <f ca="1">IFERROR(__xludf.DUMMYFUNCTION("""COMPUTED_VALUE"""),"Портнова")</f>
        <v>Портнова</v>
      </c>
      <c r="C243" s="5" t="str">
        <f ca="1">IFERROR(__xludf.DUMMYFUNCTION("""COMPUTED_VALUE"""),"Ксения")</f>
        <v>Ксения</v>
      </c>
      <c r="D243" s="5" t="str">
        <f ca="1">IFERROR(__xludf.DUMMYFUNCTION("""COMPUTED_VALUE"""),"Вячеславовна")</f>
        <v>Вячеславовна</v>
      </c>
      <c r="E243" s="5" t="str">
        <f ca="1">IFERROR(__xludf.DUMMYFUNCTION("""COMPUTED_VALUE"""),"Команда №3686")</f>
        <v>Команда №3686</v>
      </c>
      <c r="F243" s="6" t="str">
        <f ca="1">IFERROR(__xludf.DUMMYFUNCTION("""COMPUTED_VALUE"""),"Corpas – сервис корпоративных ассистентов в мессенджерах")</f>
        <v>Corpas – сервис корпоративных ассистентов в мессенджерах</v>
      </c>
      <c r="G243" s="7">
        <f ca="1">IFERROR(__xludf.DUMMYFUNCTION("""COMPUTED_VALUE"""),73)</f>
        <v>73</v>
      </c>
    </row>
    <row r="244" spans="1:7" ht="26.4" x14ac:dyDescent="0.25">
      <c r="A244" s="5">
        <f ca="1">IFERROR(__xludf.DUMMYFUNCTION("""COMPUTED_VALUE"""),1298)</f>
        <v>1298</v>
      </c>
      <c r="B244" s="5" t="str">
        <f ca="1">IFERROR(__xludf.DUMMYFUNCTION("""COMPUTED_VALUE"""),"Чуриков")</f>
        <v>Чуриков</v>
      </c>
      <c r="C244" s="5" t="str">
        <f ca="1">IFERROR(__xludf.DUMMYFUNCTION("""COMPUTED_VALUE"""),"Ярослав")</f>
        <v>Ярослав</v>
      </c>
      <c r="D244" s="5" t="str">
        <f ca="1">IFERROR(__xludf.DUMMYFUNCTION("""COMPUTED_VALUE"""),"Игоревич")</f>
        <v>Игоревич</v>
      </c>
      <c r="E244" s="5" t="str">
        <f ca="1">IFERROR(__xludf.DUMMYFUNCTION("""COMPUTED_VALUE"""),"Команда №3686")</f>
        <v>Команда №3686</v>
      </c>
      <c r="F244" s="6" t="str">
        <f ca="1">IFERROR(__xludf.DUMMYFUNCTION("""COMPUTED_VALUE"""),"Corpas – сервис корпоративных ассистентов в мессенджерах")</f>
        <v>Corpas – сервис корпоративных ассистентов в мессенджерах</v>
      </c>
      <c r="G244" s="7">
        <f ca="1">IFERROR(__xludf.DUMMYFUNCTION("""COMPUTED_VALUE"""),73)</f>
        <v>73</v>
      </c>
    </row>
    <row r="245" spans="1:7" ht="26.4" x14ac:dyDescent="0.25">
      <c r="A245" s="5">
        <f ca="1">IFERROR(__xludf.DUMMYFUNCTION("""COMPUTED_VALUE"""),1348)</f>
        <v>1348</v>
      </c>
      <c r="B245" s="5" t="str">
        <f ca="1">IFERROR(__xludf.DUMMYFUNCTION("""COMPUTED_VALUE"""),"Шукуров")</f>
        <v>Шукуров</v>
      </c>
      <c r="C245" s="5" t="str">
        <f ca="1">IFERROR(__xludf.DUMMYFUNCTION("""COMPUTED_VALUE"""),"Сиёвуш")</f>
        <v>Сиёвуш</v>
      </c>
      <c r="D245" s="5" t="str">
        <f ca="1">IFERROR(__xludf.DUMMYFUNCTION("""COMPUTED_VALUE"""),"Абдусалимович")</f>
        <v>Абдусалимович</v>
      </c>
      <c r="E245" s="5" t="str">
        <f ca="1">IFERROR(__xludf.DUMMYFUNCTION("""COMPUTED_VALUE"""),"Команда №3686")</f>
        <v>Команда №3686</v>
      </c>
      <c r="F245" s="6" t="str">
        <f ca="1">IFERROR(__xludf.DUMMYFUNCTION("""COMPUTED_VALUE"""),"Corpas – сервис корпоративных ассистентов в мессенджерах")</f>
        <v>Corpas – сервис корпоративных ассистентов в мессенджерах</v>
      </c>
      <c r="G245" s="7">
        <f ca="1">IFERROR(__xludf.DUMMYFUNCTION("""COMPUTED_VALUE"""),73)</f>
        <v>73</v>
      </c>
    </row>
    <row r="246" spans="1:7" ht="13.2" x14ac:dyDescent="0.25">
      <c r="A246" s="5">
        <f ca="1">IFERROR(__xludf.DUMMYFUNCTION("""COMPUTED_VALUE"""),122)</f>
        <v>122</v>
      </c>
      <c r="B246" s="5" t="str">
        <f ca="1">IFERROR(__xludf.DUMMYFUNCTION("""COMPUTED_VALUE"""),"Бешкильцев")</f>
        <v>Бешкильцев</v>
      </c>
      <c r="C246" s="5" t="str">
        <f ca="1">IFERROR(__xludf.DUMMYFUNCTION("""COMPUTED_VALUE"""),"Иван")</f>
        <v>Иван</v>
      </c>
      <c r="D246" s="5" t="str">
        <f ca="1">IFERROR(__xludf.DUMMYFUNCTION("""COMPUTED_VALUE"""),"Александрович")</f>
        <v>Александрович</v>
      </c>
      <c r="E246" s="5" t="str">
        <f ca="1">IFERROR(__xludf.DUMMYFUNCTION("""COMPUTED_VALUE"""),"Команда №3687")</f>
        <v>Команда №3687</v>
      </c>
      <c r="F246" s="6" t="str">
        <f ca="1">IFERROR(__xludf.DUMMYFUNCTION("""COMPUTED_VALUE"""),"Trading bot")</f>
        <v>Trading bot</v>
      </c>
      <c r="G246" s="7">
        <f ca="1">IFERROR(__xludf.DUMMYFUNCTION("""COMPUTED_VALUE"""),40)</f>
        <v>40</v>
      </c>
    </row>
    <row r="247" spans="1:7" ht="13.2" x14ac:dyDescent="0.25">
      <c r="A247" s="5">
        <f ca="1">IFERROR(__xludf.DUMMYFUNCTION("""COMPUTED_VALUE"""),484)</f>
        <v>484</v>
      </c>
      <c r="B247" s="5" t="str">
        <f ca="1">IFERROR(__xludf.DUMMYFUNCTION("""COMPUTED_VALUE"""),"Калеменев")</f>
        <v>Калеменев</v>
      </c>
      <c r="C247" s="5" t="str">
        <f ca="1">IFERROR(__xludf.DUMMYFUNCTION("""COMPUTED_VALUE"""),"Сергей")</f>
        <v>Сергей</v>
      </c>
      <c r="D247" s="5" t="str">
        <f ca="1">IFERROR(__xludf.DUMMYFUNCTION("""COMPUTED_VALUE"""),"Анатольевич")</f>
        <v>Анатольевич</v>
      </c>
      <c r="E247" s="5" t="str">
        <f ca="1">IFERROR(__xludf.DUMMYFUNCTION("""COMPUTED_VALUE"""),"Команда №3687")</f>
        <v>Команда №3687</v>
      </c>
      <c r="F247" s="6" t="str">
        <f ca="1">IFERROR(__xludf.DUMMYFUNCTION("""COMPUTED_VALUE"""),"Trading bot")</f>
        <v>Trading bot</v>
      </c>
      <c r="G247" s="7">
        <f ca="1">IFERROR(__xludf.DUMMYFUNCTION("""COMPUTED_VALUE"""),40)</f>
        <v>40</v>
      </c>
    </row>
    <row r="248" spans="1:7" ht="13.2" x14ac:dyDescent="0.25">
      <c r="A248" s="5">
        <f ca="1">IFERROR(__xludf.DUMMYFUNCTION("""COMPUTED_VALUE"""),588)</f>
        <v>588</v>
      </c>
      <c r="B248" s="5" t="str">
        <f ca="1">IFERROR(__xludf.DUMMYFUNCTION("""COMPUTED_VALUE"""),"Коршунов")</f>
        <v>Коршунов</v>
      </c>
      <c r="C248" s="5" t="str">
        <f ca="1">IFERROR(__xludf.DUMMYFUNCTION("""COMPUTED_VALUE"""),"Александр")</f>
        <v>Александр</v>
      </c>
      <c r="D248" s="5" t="str">
        <f ca="1">IFERROR(__xludf.DUMMYFUNCTION("""COMPUTED_VALUE"""),"Павлович")</f>
        <v>Павлович</v>
      </c>
      <c r="E248" s="5" t="str">
        <f ca="1">IFERROR(__xludf.DUMMYFUNCTION("""COMPUTED_VALUE"""),"Команда №3687")</f>
        <v>Команда №3687</v>
      </c>
      <c r="F248" s="6" t="str">
        <f ca="1">IFERROR(__xludf.DUMMYFUNCTION("""COMPUTED_VALUE"""),"Trading bot")</f>
        <v>Trading bot</v>
      </c>
      <c r="G248" s="7">
        <f ca="1">IFERROR(__xludf.DUMMYFUNCTION("""COMPUTED_VALUE"""),40)</f>
        <v>40</v>
      </c>
    </row>
    <row r="249" spans="1:7" ht="13.2" x14ac:dyDescent="0.25">
      <c r="A249" s="5">
        <f ca="1">IFERROR(__xludf.DUMMYFUNCTION("""COMPUTED_VALUE"""),767)</f>
        <v>767</v>
      </c>
      <c r="B249" s="5" t="str">
        <f ca="1">IFERROR(__xludf.DUMMYFUNCTION("""COMPUTED_VALUE"""),"Михайлов")</f>
        <v>Михайлов</v>
      </c>
      <c r="C249" s="5" t="str">
        <f ca="1">IFERROR(__xludf.DUMMYFUNCTION("""COMPUTED_VALUE"""),"Егор")</f>
        <v>Егор</v>
      </c>
      <c r="D249" s="5" t="str">
        <f ca="1">IFERROR(__xludf.DUMMYFUNCTION("""COMPUTED_VALUE"""),"Владимирович")</f>
        <v>Владимирович</v>
      </c>
      <c r="E249" s="5" t="str">
        <f ca="1">IFERROR(__xludf.DUMMYFUNCTION("""COMPUTED_VALUE"""),"Команда №3687")</f>
        <v>Команда №3687</v>
      </c>
      <c r="F249" s="6" t="str">
        <f ca="1">IFERROR(__xludf.DUMMYFUNCTION("""COMPUTED_VALUE"""),"Trading bot")</f>
        <v>Trading bot</v>
      </c>
      <c r="G249" s="7">
        <f ca="1">IFERROR(__xludf.DUMMYFUNCTION("""COMPUTED_VALUE"""),40)</f>
        <v>40</v>
      </c>
    </row>
    <row r="250" spans="1:7" ht="39.6" x14ac:dyDescent="0.25">
      <c r="A250" s="5">
        <f ca="1">IFERROR(__xludf.DUMMYFUNCTION("""COMPUTED_VALUE"""),80)</f>
        <v>80</v>
      </c>
      <c r="B250" s="5" t="str">
        <f ca="1">IFERROR(__xludf.DUMMYFUNCTION("""COMPUTED_VALUE"""),"Баева")</f>
        <v>Баева</v>
      </c>
      <c r="C250" s="5" t="str">
        <f ca="1">IFERROR(__xludf.DUMMYFUNCTION("""COMPUTED_VALUE"""),"Наталия")</f>
        <v>Наталия</v>
      </c>
      <c r="D250" s="5" t="str">
        <f ca="1">IFERROR(__xludf.DUMMYFUNCTION("""COMPUTED_VALUE"""),"Владимировна")</f>
        <v>Владимировна</v>
      </c>
      <c r="E250" s="5" t="str">
        <f ca="1">IFERROR(__xludf.DUMMYFUNCTION("""COMPUTED_VALUE"""),"Команда №3689")</f>
        <v>Команда №3689</v>
      </c>
      <c r="F250" s="6" t="str">
        <f ca="1">IFERROR(__xludf.DUMMYFUNCTION("""COMPUTED_VALUE"""),"Создание образовательной игры для детей c диабетом 1 типа (СД1), обучающая навыкам самоконтроля")</f>
        <v>Создание образовательной игры для детей c диабетом 1 типа (СД1), обучающая навыкам самоконтроля</v>
      </c>
      <c r="G250" s="7">
        <f ca="1">IFERROR(__xludf.DUMMYFUNCTION("""COMPUTED_VALUE"""),0)</f>
        <v>0</v>
      </c>
    </row>
    <row r="251" spans="1:7" ht="39.6" x14ac:dyDescent="0.25">
      <c r="A251" s="5">
        <f ca="1">IFERROR(__xludf.DUMMYFUNCTION("""COMPUTED_VALUE"""),341)</f>
        <v>341</v>
      </c>
      <c r="B251" s="5" t="str">
        <f ca="1">IFERROR(__xludf.DUMMYFUNCTION("""COMPUTED_VALUE"""),"Дрогавцев")</f>
        <v>Дрогавцев</v>
      </c>
      <c r="C251" s="5" t="str">
        <f ca="1">IFERROR(__xludf.DUMMYFUNCTION("""COMPUTED_VALUE"""),"Даниил")</f>
        <v>Даниил</v>
      </c>
      <c r="D251" s="5" t="str">
        <f ca="1">IFERROR(__xludf.DUMMYFUNCTION("""COMPUTED_VALUE"""),"Алексеевич")</f>
        <v>Алексеевич</v>
      </c>
      <c r="E251" s="5" t="str">
        <f ca="1">IFERROR(__xludf.DUMMYFUNCTION("""COMPUTED_VALUE"""),"Команда №3689")</f>
        <v>Команда №3689</v>
      </c>
      <c r="F251" s="6" t="str">
        <f ca="1">IFERROR(__xludf.DUMMYFUNCTION("""COMPUTED_VALUE"""),"Создание образовательной игры для детей c диабетом 1 типа (СД1), обучающая навыкам самоконтроля")</f>
        <v>Создание образовательной игры для детей c диабетом 1 типа (СД1), обучающая навыкам самоконтроля</v>
      </c>
      <c r="G251" s="7">
        <f ca="1">IFERROR(__xludf.DUMMYFUNCTION("""COMPUTED_VALUE"""),0)</f>
        <v>0</v>
      </c>
    </row>
    <row r="252" spans="1:7" ht="39.6" x14ac:dyDescent="0.25">
      <c r="A252" s="5">
        <f ca="1">IFERROR(__xludf.DUMMYFUNCTION("""COMPUTED_VALUE"""),1237)</f>
        <v>1237</v>
      </c>
      <c r="B252" s="5" t="str">
        <f ca="1">IFERROR(__xludf.DUMMYFUNCTION("""COMPUTED_VALUE"""),"Хайбулин")</f>
        <v>Хайбулин</v>
      </c>
      <c r="C252" s="5" t="str">
        <f ca="1">IFERROR(__xludf.DUMMYFUNCTION("""COMPUTED_VALUE"""),"Данила")</f>
        <v>Данила</v>
      </c>
      <c r="D252" s="5" t="str">
        <f ca="1">IFERROR(__xludf.DUMMYFUNCTION("""COMPUTED_VALUE"""),"Сергеевич")</f>
        <v>Сергеевич</v>
      </c>
      <c r="E252" s="5" t="str">
        <f ca="1">IFERROR(__xludf.DUMMYFUNCTION("""COMPUTED_VALUE"""),"Команда №3689")</f>
        <v>Команда №3689</v>
      </c>
      <c r="F252" s="6" t="str">
        <f ca="1">IFERROR(__xludf.DUMMYFUNCTION("""COMPUTED_VALUE"""),"Создание образовательной игры для детей c диабетом 1 типа (СД1), обучающая навыкам самоконтроля")</f>
        <v>Создание образовательной игры для детей c диабетом 1 типа (СД1), обучающая навыкам самоконтроля</v>
      </c>
      <c r="G252" s="7">
        <f ca="1">IFERROR(__xludf.DUMMYFUNCTION("""COMPUTED_VALUE"""),0)</f>
        <v>0</v>
      </c>
    </row>
    <row r="253" spans="1:7" ht="13.2" x14ac:dyDescent="0.25">
      <c r="A253" s="5">
        <f ca="1">IFERROR(__xludf.DUMMYFUNCTION("""COMPUTED_VALUE"""),627)</f>
        <v>627</v>
      </c>
      <c r="B253" s="5" t="str">
        <f ca="1">IFERROR(__xludf.DUMMYFUNCTION("""COMPUTED_VALUE"""),"Кузнецов")</f>
        <v>Кузнецов</v>
      </c>
      <c r="C253" s="5" t="str">
        <f ca="1">IFERROR(__xludf.DUMMYFUNCTION("""COMPUTED_VALUE"""),"Михаил")</f>
        <v>Михаил</v>
      </c>
      <c r="D253" s="5" t="str">
        <f ca="1">IFERROR(__xludf.DUMMYFUNCTION("""COMPUTED_VALUE"""),"Юрьевич")</f>
        <v>Юрьевич</v>
      </c>
      <c r="E253" s="5" t="str">
        <f ca="1">IFERROR(__xludf.DUMMYFUNCTION("""COMPUTED_VALUE"""),"Команда №3694")</f>
        <v>Команда №3694</v>
      </c>
      <c r="F253" s="6" t="str">
        <f ca="1">IFERROR(__xludf.DUMMYFUNCTION("""COMPUTED_VALUE"""),"Telegram бот для поиска информации о ТС")</f>
        <v>Telegram бот для поиска информации о ТС</v>
      </c>
      <c r="G253" s="7">
        <f ca="1">IFERROR(__xludf.DUMMYFUNCTION("""COMPUTED_VALUE"""),50)</f>
        <v>50</v>
      </c>
    </row>
    <row r="254" spans="1:7" ht="13.2" x14ac:dyDescent="0.25">
      <c r="A254" s="5">
        <f ca="1">IFERROR(__xludf.DUMMYFUNCTION("""COMPUTED_VALUE"""),864)</f>
        <v>864</v>
      </c>
      <c r="B254" s="5" t="str">
        <f ca="1">IFERROR(__xludf.DUMMYFUNCTION("""COMPUTED_VALUE"""),"Нургалиев")</f>
        <v>Нургалиев</v>
      </c>
      <c r="C254" s="5" t="str">
        <f ca="1">IFERROR(__xludf.DUMMYFUNCTION("""COMPUTED_VALUE"""),"Роберт")</f>
        <v>Роберт</v>
      </c>
      <c r="D254" s="5" t="str">
        <f ca="1">IFERROR(__xludf.DUMMYFUNCTION("""COMPUTED_VALUE"""),"Мазгабович")</f>
        <v>Мазгабович</v>
      </c>
      <c r="E254" s="5" t="str">
        <f ca="1">IFERROR(__xludf.DUMMYFUNCTION("""COMPUTED_VALUE"""),"Команда №3694")</f>
        <v>Команда №3694</v>
      </c>
      <c r="F254" s="6" t="str">
        <f ca="1">IFERROR(__xludf.DUMMYFUNCTION("""COMPUTED_VALUE"""),"Telegram бот для поиска информации о ТС")</f>
        <v>Telegram бот для поиска информации о ТС</v>
      </c>
      <c r="G254" s="7">
        <f ca="1">IFERROR(__xludf.DUMMYFUNCTION("""COMPUTED_VALUE"""),50)</f>
        <v>50</v>
      </c>
    </row>
    <row r="255" spans="1:7" ht="13.2" x14ac:dyDescent="0.25">
      <c r="A255" s="5">
        <f ca="1">IFERROR(__xludf.DUMMYFUNCTION("""COMPUTED_VALUE"""),996)</f>
        <v>996</v>
      </c>
      <c r="B255" s="5" t="str">
        <f ca="1">IFERROR(__xludf.DUMMYFUNCTION("""COMPUTED_VALUE"""),"Романов")</f>
        <v>Романов</v>
      </c>
      <c r="C255" s="5" t="str">
        <f ca="1">IFERROR(__xludf.DUMMYFUNCTION("""COMPUTED_VALUE"""),"Ярослав")</f>
        <v>Ярослав</v>
      </c>
      <c r="D255" s="5" t="str">
        <f ca="1">IFERROR(__xludf.DUMMYFUNCTION("""COMPUTED_VALUE"""),"Юрьевич")</f>
        <v>Юрьевич</v>
      </c>
      <c r="E255" s="5" t="str">
        <f ca="1">IFERROR(__xludf.DUMMYFUNCTION("""COMPUTED_VALUE"""),"Команда №3695")</f>
        <v>Команда №3695</v>
      </c>
      <c r="F255" s="6" t="str">
        <f ca="1">IFERROR(__xludf.DUMMYFUNCTION("""COMPUTED_VALUE"""),"Создание платформы для обучения React")</f>
        <v>Создание платформы для обучения React</v>
      </c>
      <c r="G255" s="7">
        <f ca="1">IFERROR(__xludf.DUMMYFUNCTION("""COMPUTED_VALUE"""),78)</f>
        <v>78</v>
      </c>
    </row>
    <row r="256" spans="1:7" ht="13.2" x14ac:dyDescent="0.25">
      <c r="A256" s="5">
        <f ca="1">IFERROR(__xludf.DUMMYFUNCTION("""COMPUTED_VALUE"""),1246)</f>
        <v>1246</v>
      </c>
      <c r="B256" s="5" t="str">
        <f ca="1">IFERROR(__xludf.DUMMYFUNCTION("""COMPUTED_VALUE"""),"Хафизова")</f>
        <v>Хафизова</v>
      </c>
      <c r="C256" s="5" t="str">
        <f ca="1">IFERROR(__xludf.DUMMYFUNCTION("""COMPUTED_VALUE"""),"Анна")</f>
        <v>Анна</v>
      </c>
      <c r="D256" s="5" t="str">
        <f ca="1">IFERROR(__xludf.DUMMYFUNCTION("""COMPUTED_VALUE"""),"Эдуардовна")</f>
        <v>Эдуардовна</v>
      </c>
      <c r="E256" s="5" t="str">
        <f ca="1">IFERROR(__xludf.DUMMYFUNCTION("""COMPUTED_VALUE"""),"Команда №3695")</f>
        <v>Команда №3695</v>
      </c>
      <c r="F256" s="6" t="str">
        <f ca="1">IFERROR(__xludf.DUMMYFUNCTION("""COMPUTED_VALUE"""),"Создание платформы для обучения React")</f>
        <v>Создание платформы для обучения React</v>
      </c>
      <c r="G256" s="7">
        <f ca="1">IFERROR(__xludf.DUMMYFUNCTION("""COMPUTED_VALUE"""),78)</f>
        <v>78</v>
      </c>
    </row>
    <row r="257" spans="1:7" ht="13.2" x14ac:dyDescent="0.25">
      <c r="A257" s="5">
        <f ca="1">IFERROR(__xludf.DUMMYFUNCTION("""COMPUTED_VALUE"""),1259)</f>
        <v>1259</v>
      </c>
      <c r="B257" s="5" t="str">
        <f ca="1">IFERROR(__xludf.DUMMYFUNCTION("""COMPUTED_VALUE"""),"Хуранов")</f>
        <v>Хуранов</v>
      </c>
      <c r="C257" s="5" t="str">
        <f ca="1">IFERROR(__xludf.DUMMYFUNCTION("""COMPUTED_VALUE"""),"Арсен")</f>
        <v>Арсен</v>
      </c>
      <c r="D257" s="5" t="str">
        <f ca="1">IFERROR(__xludf.DUMMYFUNCTION("""COMPUTED_VALUE"""),"Хасенович")</f>
        <v>Хасенович</v>
      </c>
      <c r="E257" s="5" t="str">
        <f ca="1">IFERROR(__xludf.DUMMYFUNCTION("""COMPUTED_VALUE"""),"Команда №3695")</f>
        <v>Команда №3695</v>
      </c>
      <c r="F257" s="6" t="str">
        <f ca="1">IFERROR(__xludf.DUMMYFUNCTION("""COMPUTED_VALUE"""),"Создание платформы для обучения React")</f>
        <v>Создание платформы для обучения React</v>
      </c>
      <c r="G257" s="7">
        <f ca="1">IFERROR(__xludf.DUMMYFUNCTION("""COMPUTED_VALUE"""),78)</f>
        <v>78</v>
      </c>
    </row>
    <row r="258" spans="1:7" ht="39.6" x14ac:dyDescent="0.25">
      <c r="A258" s="5">
        <f ca="1">IFERROR(__xludf.DUMMYFUNCTION("""COMPUTED_VALUE"""),65)</f>
        <v>65</v>
      </c>
      <c r="B258" s="5" t="str">
        <f ca="1">IFERROR(__xludf.DUMMYFUNCTION("""COMPUTED_VALUE"""),"Афонин")</f>
        <v>Афонин</v>
      </c>
      <c r="C258" s="5" t="str">
        <f ca="1">IFERROR(__xludf.DUMMYFUNCTION("""COMPUTED_VALUE"""),"Игорь")</f>
        <v>Игорь</v>
      </c>
      <c r="D258" s="5" t="str">
        <f ca="1">IFERROR(__xludf.DUMMYFUNCTION("""COMPUTED_VALUE"""),"Вячеславович")</f>
        <v>Вячеславович</v>
      </c>
      <c r="E258" s="5" t="str">
        <f ca="1">IFERROR(__xludf.DUMMYFUNCTION("""COMPUTED_VALUE"""),"Команда №3696")</f>
        <v>Команда №3696</v>
      </c>
      <c r="F258" s="6" t="str">
        <f ca="1">IFERROR(__xludf.DUMMYFUNCTION("""COMPUTED_VALUE"""),"Создание сервиса открытых отзывов на преподавателей дисциплин УрФУ и заказчиков проектного практикума")</f>
        <v>Создание сервиса открытых отзывов на преподавателей дисциплин УрФУ и заказчиков проектного практикума</v>
      </c>
      <c r="G258" s="7">
        <f ca="1">IFERROR(__xludf.DUMMYFUNCTION("""COMPUTED_VALUE"""),76)</f>
        <v>76</v>
      </c>
    </row>
    <row r="259" spans="1:7" ht="39.6" x14ac:dyDescent="0.25">
      <c r="A259" s="5">
        <f ca="1">IFERROR(__xludf.DUMMYFUNCTION("""COMPUTED_VALUE"""),693)</f>
        <v>693</v>
      </c>
      <c r="B259" s="5" t="str">
        <f ca="1">IFERROR(__xludf.DUMMYFUNCTION("""COMPUTED_VALUE"""),"Лурье")</f>
        <v>Лурье</v>
      </c>
      <c r="C259" s="5" t="str">
        <f ca="1">IFERROR(__xludf.DUMMYFUNCTION("""COMPUTED_VALUE"""),"Виктор")</f>
        <v>Виктор</v>
      </c>
      <c r="D259" s="5" t="str">
        <f ca="1">IFERROR(__xludf.DUMMYFUNCTION("""COMPUTED_VALUE"""),"Витальевич")</f>
        <v>Витальевич</v>
      </c>
      <c r="E259" s="5" t="str">
        <f ca="1">IFERROR(__xludf.DUMMYFUNCTION("""COMPUTED_VALUE"""),"Команда №3696")</f>
        <v>Команда №3696</v>
      </c>
      <c r="F259" s="6" t="str">
        <f ca="1">IFERROR(__xludf.DUMMYFUNCTION("""COMPUTED_VALUE"""),"Создание сервиса открытых отзывов на преподавателей дисциплин УрФУ и заказчиков проектного практикума")</f>
        <v>Создание сервиса открытых отзывов на преподавателей дисциплин УрФУ и заказчиков проектного практикума</v>
      </c>
      <c r="G259" s="7">
        <f ca="1">IFERROR(__xludf.DUMMYFUNCTION("""COMPUTED_VALUE"""),76)</f>
        <v>76</v>
      </c>
    </row>
    <row r="260" spans="1:7" ht="39.6" x14ac:dyDescent="0.25">
      <c r="A260" s="5">
        <f ca="1">IFERROR(__xludf.DUMMYFUNCTION("""COMPUTED_VALUE"""),1122)</f>
        <v>1122</v>
      </c>
      <c r="B260" s="5" t="str">
        <f ca="1">IFERROR(__xludf.DUMMYFUNCTION("""COMPUTED_VALUE"""),"Стрельцов")</f>
        <v>Стрельцов</v>
      </c>
      <c r="C260" s="5" t="str">
        <f ca="1">IFERROR(__xludf.DUMMYFUNCTION("""COMPUTED_VALUE"""),"Евгений")</f>
        <v>Евгений</v>
      </c>
      <c r="D260" s="5" t="str">
        <f ca="1">IFERROR(__xludf.DUMMYFUNCTION("""COMPUTED_VALUE"""),"Александрович")</f>
        <v>Александрович</v>
      </c>
      <c r="E260" s="5" t="str">
        <f ca="1">IFERROR(__xludf.DUMMYFUNCTION("""COMPUTED_VALUE"""),"Команда №3696")</f>
        <v>Команда №3696</v>
      </c>
      <c r="F260" s="6" t="str">
        <f ca="1">IFERROR(__xludf.DUMMYFUNCTION("""COMPUTED_VALUE"""),"Создание сервиса открытых отзывов на преподавателей дисциплин УрФУ и заказчиков проектного практикума")</f>
        <v>Создание сервиса открытых отзывов на преподавателей дисциплин УрФУ и заказчиков проектного практикума</v>
      </c>
      <c r="G260" s="7">
        <f ca="1">IFERROR(__xludf.DUMMYFUNCTION("""COMPUTED_VALUE"""),76)</f>
        <v>76</v>
      </c>
    </row>
    <row r="261" spans="1:7" ht="39.6" x14ac:dyDescent="0.25">
      <c r="A261" s="5">
        <f ca="1">IFERROR(__xludf.DUMMYFUNCTION("""COMPUTED_VALUE"""),1230)</f>
        <v>1230</v>
      </c>
      <c r="B261" s="5" t="str">
        <f ca="1">IFERROR(__xludf.DUMMYFUNCTION("""COMPUTED_VALUE"""),"Фишер")</f>
        <v>Фишер</v>
      </c>
      <c r="C261" s="5" t="str">
        <f ca="1">IFERROR(__xludf.DUMMYFUNCTION("""COMPUTED_VALUE"""),"Иван")</f>
        <v>Иван</v>
      </c>
      <c r="D261" s="5" t="str">
        <f ca="1">IFERROR(__xludf.DUMMYFUNCTION("""COMPUTED_VALUE"""),"Викторович")</f>
        <v>Викторович</v>
      </c>
      <c r="E261" s="5" t="str">
        <f ca="1">IFERROR(__xludf.DUMMYFUNCTION("""COMPUTED_VALUE"""),"Команда №3696")</f>
        <v>Команда №3696</v>
      </c>
      <c r="F261" s="6" t="str">
        <f ca="1">IFERROR(__xludf.DUMMYFUNCTION("""COMPUTED_VALUE"""),"Создание сервиса открытых отзывов на преподавателей дисциплин УрФУ и заказчиков проектного практикума")</f>
        <v>Создание сервиса открытых отзывов на преподавателей дисциплин УрФУ и заказчиков проектного практикума</v>
      </c>
      <c r="G261" s="7">
        <f ca="1">IFERROR(__xludf.DUMMYFUNCTION("""COMPUTED_VALUE"""),76)</f>
        <v>76</v>
      </c>
    </row>
    <row r="262" spans="1:7" ht="39.6" x14ac:dyDescent="0.25">
      <c r="A262" s="5">
        <f ca="1">IFERROR(__xludf.DUMMYFUNCTION("""COMPUTED_VALUE"""),1296)</f>
        <v>1296</v>
      </c>
      <c r="B262" s="5" t="str">
        <f ca="1">IFERROR(__xludf.DUMMYFUNCTION("""COMPUTED_VALUE"""),"Чукин")</f>
        <v>Чукин</v>
      </c>
      <c r="C262" s="5" t="str">
        <f ca="1">IFERROR(__xludf.DUMMYFUNCTION("""COMPUTED_VALUE"""),"Георгий")</f>
        <v>Георгий</v>
      </c>
      <c r="D262" s="5" t="str">
        <f ca="1">IFERROR(__xludf.DUMMYFUNCTION("""COMPUTED_VALUE"""),"Леонидович")</f>
        <v>Леонидович</v>
      </c>
      <c r="E262" s="5" t="str">
        <f ca="1">IFERROR(__xludf.DUMMYFUNCTION("""COMPUTED_VALUE"""),"Команда №3696")</f>
        <v>Команда №3696</v>
      </c>
      <c r="F262" s="6" t="str">
        <f ca="1">IFERROR(__xludf.DUMMYFUNCTION("""COMPUTED_VALUE"""),"Создание сервиса открытых отзывов на преподавателей дисциплин УрФУ и заказчиков проектного практикума")</f>
        <v>Создание сервиса открытых отзывов на преподавателей дисциплин УрФУ и заказчиков проектного практикума</v>
      </c>
      <c r="G262" s="7">
        <f ca="1">IFERROR(__xludf.DUMMYFUNCTION("""COMPUTED_VALUE"""),76)</f>
        <v>76</v>
      </c>
    </row>
    <row r="263" spans="1:7" ht="26.4" x14ac:dyDescent="0.25">
      <c r="A263" s="5">
        <f ca="1">IFERROR(__xludf.DUMMYFUNCTION("""COMPUTED_VALUE"""),133)</f>
        <v>133</v>
      </c>
      <c r="B263" s="5" t="str">
        <f ca="1">IFERROR(__xludf.DUMMYFUNCTION("""COMPUTED_VALUE"""),"Богданов")</f>
        <v>Богданов</v>
      </c>
      <c r="C263" s="5" t="str">
        <f ca="1">IFERROR(__xludf.DUMMYFUNCTION("""COMPUTED_VALUE"""),"Никита")</f>
        <v>Никита</v>
      </c>
      <c r="D263" s="5" t="str">
        <f ca="1">IFERROR(__xludf.DUMMYFUNCTION("""COMPUTED_VALUE"""),"Евгеньевич")</f>
        <v>Евгеньевич</v>
      </c>
      <c r="E263" s="5" t="str">
        <f ca="1">IFERROR(__xludf.DUMMYFUNCTION("""COMPUTED_VALUE"""),"Команда №3697")</f>
        <v>Команда №3697</v>
      </c>
      <c r="F263" s="6" t="str">
        <f ca="1">IFERROR(__xludf.DUMMYFUNCTION("""COMPUTED_VALUE"""),"Разработка инструмента информирования при управлении инцидентами Statuspage")</f>
        <v>Разработка инструмента информирования при управлении инцидентами Statuspage</v>
      </c>
      <c r="G263" s="7">
        <f ca="1">IFERROR(__xludf.DUMMYFUNCTION("""COMPUTED_VALUE"""),83)</f>
        <v>83</v>
      </c>
    </row>
    <row r="264" spans="1:7" ht="26.4" x14ac:dyDescent="0.25">
      <c r="A264" s="5">
        <f ca="1">IFERROR(__xludf.DUMMYFUNCTION("""COMPUTED_VALUE"""),47)</f>
        <v>47</v>
      </c>
      <c r="B264" s="5" t="str">
        <f ca="1">IFERROR(__xludf.DUMMYFUNCTION("""COMPUTED_VALUE"""),"Антушев")</f>
        <v>Антушев</v>
      </c>
      <c r="C264" s="5" t="str">
        <f ca="1">IFERROR(__xludf.DUMMYFUNCTION("""COMPUTED_VALUE"""),"Максим")</f>
        <v>Максим</v>
      </c>
      <c r="D264" s="5" t="str">
        <f ca="1">IFERROR(__xludf.DUMMYFUNCTION("""COMPUTED_VALUE"""),"Федорович")</f>
        <v>Федорович</v>
      </c>
      <c r="E264" s="5" t="str">
        <f ca="1">IFERROR(__xludf.DUMMYFUNCTION("""COMPUTED_VALUE"""),"Команда №3699")</f>
        <v>Команда №3699</v>
      </c>
      <c r="F264" s="6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G264" s="7">
        <f ca="1">IFERROR(__xludf.DUMMYFUNCTION("""COMPUTED_VALUE"""),85)</f>
        <v>85</v>
      </c>
    </row>
    <row r="265" spans="1:7" ht="26.4" x14ac:dyDescent="0.25">
      <c r="A265" s="5">
        <f ca="1">IFERROR(__xludf.DUMMYFUNCTION("""COMPUTED_VALUE"""),131)</f>
        <v>131</v>
      </c>
      <c r="B265" s="5" t="str">
        <f ca="1">IFERROR(__xludf.DUMMYFUNCTION("""COMPUTED_VALUE"""),"Бобров")</f>
        <v>Бобров</v>
      </c>
      <c r="C265" s="5" t="str">
        <f ca="1">IFERROR(__xludf.DUMMYFUNCTION("""COMPUTED_VALUE"""),"Кирилл")</f>
        <v>Кирилл</v>
      </c>
      <c r="D265" s="5" t="str">
        <f ca="1">IFERROR(__xludf.DUMMYFUNCTION("""COMPUTED_VALUE"""),"Михайлович")</f>
        <v>Михайлович</v>
      </c>
      <c r="E265" s="5" t="str">
        <f ca="1">IFERROR(__xludf.DUMMYFUNCTION("""COMPUTED_VALUE"""),"Команда №3699")</f>
        <v>Команда №3699</v>
      </c>
      <c r="F265" s="6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G265" s="7">
        <f ca="1">IFERROR(__xludf.DUMMYFUNCTION("""COMPUTED_VALUE"""),85)</f>
        <v>85</v>
      </c>
    </row>
    <row r="266" spans="1:7" ht="26.4" x14ac:dyDescent="0.25">
      <c r="A266" s="5">
        <f ca="1">IFERROR(__xludf.DUMMYFUNCTION("""COMPUTED_VALUE"""),641)</f>
        <v>641</v>
      </c>
      <c r="B266" s="5" t="str">
        <f ca="1">IFERROR(__xludf.DUMMYFUNCTION("""COMPUTED_VALUE"""),"Кулик")</f>
        <v>Кулик</v>
      </c>
      <c r="C266" s="5" t="str">
        <f ca="1">IFERROR(__xludf.DUMMYFUNCTION("""COMPUTED_VALUE"""),"Данил")</f>
        <v>Данил</v>
      </c>
      <c r="D266" s="5" t="str">
        <f ca="1">IFERROR(__xludf.DUMMYFUNCTION("""COMPUTED_VALUE"""),"Викторович")</f>
        <v>Викторович</v>
      </c>
      <c r="E266" s="5" t="str">
        <f ca="1">IFERROR(__xludf.DUMMYFUNCTION("""COMPUTED_VALUE"""),"Команда №3699")</f>
        <v>Команда №3699</v>
      </c>
      <c r="F266" s="6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G266" s="7">
        <f ca="1">IFERROR(__xludf.DUMMYFUNCTION("""COMPUTED_VALUE"""),85)</f>
        <v>85</v>
      </c>
    </row>
    <row r="267" spans="1:7" ht="26.4" x14ac:dyDescent="0.25">
      <c r="A267" s="5">
        <f ca="1">IFERROR(__xludf.DUMMYFUNCTION("""COMPUTED_VALUE"""),841)</f>
        <v>841</v>
      </c>
      <c r="B267" s="5" t="str">
        <f ca="1">IFERROR(__xludf.DUMMYFUNCTION("""COMPUTED_VALUE"""),"Низамов")</f>
        <v>Низамов</v>
      </c>
      <c r="C267" s="5" t="str">
        <f ca="1">IFERROR(__xludf.DUMMYFUNCTION("""COMPUTED_VALUE"""),"Анвар")</f>
        <v>Анвар</v>
      </c>
      <c r="D267" s="5" t="str">
        <f ca="1">IFERROR(__xludf.DUMMYFUNCTION("""COMPUTED_VALUE"""),"Русланович")</f>
        <v>Русланович</v>
      </c>
      <c r="E267" s="5" t="str">
        <f ca="1">IFERROR(__xludf.DUMMYFUNCTION("""COMPUTED_VALUE"""),"Команда №3699")</f>
        <v>Команда №3699</v>
      </c>
      <c r="F267" s="6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G267" s="7">
        <f ca="1">IFERROR(__xludf.DUMMYFUNCTION("""COMPUTED_VALUE"""),85)</f>
        <v>85</v>
      </c>
    </row>
    <row r="268" spans="1:7" ht="26.4" x14ac:dyDescent="0.25">
      <c r="A268" s="5">
        <f ca="1">IFERROR(__xludf.DUMMYFUNCTION("""COMPUTED_VALUE"""),1169)</f>
        <v>1169</v>
      </c>
      <c r="B268" s="5" t="str">
        <f ca="1">IFERROR(__xludf.DUMMYFUNCTION("""COMPUTED_VALUE"""),"Третьяков")</f>
        <v>Третьяков</v>
      </c>
      <c r="C268" s="5" t="str">
        <f ca="1">IFERROR(__xludf.DUMMYFUNCTION("""COMPUTED_VALUE"""),"Алексей")</f>
        <v>Алексей</v>
      </c>
      <c r="D268" s="5" t="str">
        <f ca="1">IFERROR(__xludf.DUMMYFUNCTION("""COMPUTED_VALUE"""),"Васильевич")</f>
        <v>Васильевич</v>
      </c>
      <c r="E268" s="5" t="str">
        <f ca="1">IFERROR(__xludf.DUMMYFUNCTION("""COMPUTED_VALUE"""),"Команда №3699")</f>
        <v>Команда №3699</v>
      </c>
      <c r="F268" s="6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G268" s="7">
        <f ca="1">IFERROR(__xludf.DUMMYFUNCTION("""COMPUTED_VALUE"""),85)</f>
        <v>85</v>
      </c>
    </row>
    <row r="269" spans="1:7" ht="26.4" x14ac:dyDescent="0.25">
      <c r="A269" s="5">
        <f ca="1">IFERROR(__xludf.DUMMYFUNCTION("""COMPUTED_VALUE"""),1390)</f>
        <v>1390</v>
      </c>
      <c r="B269" s="5" t="str">
        <f ca="1">IFERROR(__xludf.DUMMYFUNCTION("""COMPUTED_VALUE"""),"Ясиненко")</f>
        <v>Ясиненко</v>
      </c>
      <c r="C269" s="5" t="str">
        <f ca="1">IFERROR(__xludf.DUMMYFUNCTION("""COMPUTED_VALUE"""),"Кирилл")</f>
        <v>Кирилл</v>
      </c>
      <c r="D269" s="5" t="str">
        <f ca="1">IFERROR(__xludf.DUMMYFUNCTION("""COMPUTED_VALUE"""),"Юрьевич")</f>
        <v>Юрьевич</v>
      </c>
      <c r="E269" s="5" t="str">
        <f ca="1">IFERROR(__xludf.DUMMYFUNCTION("""COMPUTED_VALUE"""),"Команда №3699")</f>
        <v>Команда №3699</v>
      </c>
      <c r="F269" s="6" t="str">
        <f ca="1">IFERROR(__xludf.DUMMYFUNCTION("""COMPUTED_VALUE"""),"Разработка игры для развития памяти ""Tangle Maze""")</f>
        <v>Разработка игры для развития памяти "Tangle Maze"</v>
      </c>
      <c r="G269" s="7">
        <f ca="1">IFERROR(__xludf.DUMMYFUNCTION("""COMPUTED_VALUE"""),85)</f>
        <v>85</v>
      </c>
    </row>
    <row r="270" spans="1:7" ht="26.4" x14ac:dyDescent="0.25">
      <c r="A270" s="5">
        <f ca="1">IFERROR(__xludf.DUMMYFUNCTION("""COMPUTED_VALUE"""),9)</f>
        <v>9</v>
      </c>
      <c r="B270" s="5" t="str">
        <f ca="1">IFERROR(__xludf.DUMMYFUNCTION("""COMPUTED_VALUE"""),"Абзапаров")</f>
        <v>Абзапаров</v>
      </c>
      <c r="C270" s="5" t="str">
        <f ca="1">IFERROR(__xludf.DUMMYFUNCTION("""COMPUTED_VALUE"""),"Николай")</f>
        <v>Николай</v>
      </c>
      <c r="D270" s="5" t="str">
        <f ca="1">IFERROR(__xludf.DUMMYFUNCTION("""COMPUTED_VALUE"""),"Дмитриевич")</f>
        <v>Дмитриевич</v>
      </c>
      <c r="E270" s="5" t="str">
        <f ca="1">IFERROR(__xludf.DUMMYFUNCTION("""COMPUTED_VALUE"""),"Команда №3700")</f>
        <v>Команда №3700</v>
      </c>
      <c r="F270" s="6" t="str">
        <f ca="1">IFERROR(__xludf.DUMMYFUNCTION("""COMPUTED_VALUE"""),"Разработка мобильного игрового приложения под маркетплейс в жанре ККИ - Tower Defence")</f>
        <v>Разработка мобильного игрового приложения под маркетплейс в жанре ККИ - Tower Defence</v>
      </c>
      <c r="G270" s="7">
        <f ca="1">IFERROR(__xludf.DUMMYFUNCTION("""COMPUTED_VALUE"""),97)</f>
        <v>97</v>
      </c>
    </row>
    <row r="271" spans="1:7" ht="26.4" x14ac:dyDescent="0.25">
      <c r="A271" s="5">
        <f ca="1">IFERROR(__xludf.DUMMYFUNCTION("""COMPUTED_VALUE"""),408)</f>
        <v>408</v>
      </c>
      <c r="B271" s="5" t="str">
        <f ca="1">IFERROR(__xludf.DUMMYFUNCTION("""COMPUTED_VALUE"""),"Заикин")</f>
        <v>Заикин</v>
      </c>
      <c r="C271" s="5" t="str">
        <f ca="1">IFERROR(__xludf.DUMMYFUNCTION("""COMPUTED_VALUE"""),"Александр")</f>
        <v>Александр</v>
      </c>
      <c r="D271" s="5" t="str">
        <f ca="1">IFERROR(__xludf.DUMMYFUNCTION("""COMPUTED_VALUE"""),"Юрьевич")</f>
        <v>Юрьевич</v>
      </c>
      <c r="E271" s="5" t="str">
        <f ca="1">IFERROR(__xludf.DUMMYFUNCTION("""COMPUTED_VALUE"""),"Команда №3700")</f>
        <v>Команда №3700</v>
      </c>
      <c r="F271" s="6" t="str">
        <f ca="1">IFERROR(__xludf.DUMMYFUNCTION("""COMPUTED_VALUE"""),"Разработка мобильного игрового приложения под маркетплейс в жанре ККИ - Tower Defence")</f>
        <v>Разработка мобильного игрового приложения под маркетплейс в жанре ККИ - Tower Defence</v>
      </c>
      <c r="G271" s="7">
        <f ca="1">IFERROR(__xludf.DUMMYFUNCTION("""COMPUTED_VALUE"""),97)</f>
        <v>97</v>
      </c>
    </row>
    <row r="272" spans="1:7" ht="26.4" x14ac:dyDescent="0.25">
      <c r="A272" s="5">
        <f ca="1">IFERROR(__xludf.DUMMYFUNCTION("""COMPUTED_VALUE"""),813)</f>
        <v>813</v>
      </c>
      <c r="B272" s="5" t="str">
        <f ca="1">IFERROR(__xludf.DUMMYFUNCTION("""COMPUTED_VALUE"""),"Назаров")</f>
        <v>Назаров</v>
      </c>
      <c r="C272" s="5" t="str">
        <f ca="1">IFERROR(__xludf.DUMMYFUNCTION("""COMPUTED_VALUE"""),"Лев")</f>
        <v>Лев</v>
      </c>
      <c r="D272" s="5" t="str">
        <f ca="1">IFERROR(__xludf.DUMMYFUNCTION("""COMPUTED_VALUE"""),"Сергеевич")</f>
        <v>Сергеевич</v>
      </c>
      <c r="E272" s="5" t="str">
        <f ca="1">IFERROR(__xludf.DUMMYFUNCTION("""COMPUTED_VALUE"""),"Команда №3700")</f>
        <v>Команда №3700</v>
      </c>
      <c r="F272" s="6" t="str">
        <f ca="1">IFERROR(__xludf.DUMMYFUNCTION("""COMPUTED_VALUE"""),"Разработка мобильного игрового приложения под маркетплейс в жанре ККИ - Tower Defence")</f>
        <v>Разработка мобильного игрового приложения под маркетплейс в жанре ККИ - Tower Defence</v>
      </c>
      <c r="G272" s="7">
        <f ca="1">IFERROR(__xludf.DUMMYFUNCTION("""COMPUTED_VALUE"""),97)</f>
        <v>97</v>
      </c>
    </row>
    <row r="273" spans="1:7" ht="13.2" x14ac:dyDescent="0.25">
      <c r="A273" s="5">
        <f ca="1">IFERROR(__xludf.DUMMYFUNCTION("""COMPUTED_VALUE"""),19)</f>
        <v>19</v>
      </c>
      <c r="B273" s="5" t="str">
        <f ca="1">IFERROR(__xludf.DUMMYFUNCTION("""COMPUTED_VALUE"""),"Агеев")</f>
        <v>Агеев</v>
      </c>
      <c r="C273" s="5" t="str">
        <f ca="1">IFERROR(__xludf.DUMMYFUNCTION("""COMPUTED_VALUE"""),"Егор")</f>
        <v>Егор</v>
      </c>
      <c r="D273" s="5" t="str">
        <f ca="1">IFERROR(__xludf.DUMMYFUNCTION("""COMPUTED_VALUE"""),"Витальевич")</f>
        <v>Витальевич</v>
      </c>
      <c r="E273" s="5" t="str">
        <f ca="1">IFERROR(__xludf.DUMMYFUNCTION("""COMPUTED_VALUE"""),"Команда №3702")</f>
        <v>Команда №3702</v>
      </c>
      <c r="F273" s="6" t="str">
        <f ca="1">IFERROR(__xludf.DUMMYFUNCTION("""COMPUTED_VALUE"""),"Создание коммерческой 2D игры")</f>
        <v>Создание коммерческой 2D игры</v>
      </c>
      <c r="G273" s="7">
        <f ca="1">IFERROR(__xludf.DUMMYFUNCTION("""COMPUTED_VALUE"""),100)</f>
        <v>100</v>
      </c>
    </row>
    <row r="274" spans="1:7" ht="13.2" x14ac:dyDescent="0.25">
      <c r="A274" s="5">
        <f ca="1">IFERROR(__xludf.DUMMYFUNCTION("""COMPUTED_VALUE"""),86)</f>
        <v>86</v>
      </c>
      <c r="B274" s="5" t="str">
        <f ca="1">IFERROR(__xludf.DUMMYFUNCTION("""COMPUTED_VALUE"""),"Балашов")</f>
        <v>Балашов</v>
      </c>
      <c r="C274" s="5" t="str">
        <f ca="1">IFERROR(__xludf.DUMMYFUNCTION("""COMPUTED_VALUE"""),"Никита")</f>
        <v>Никита</v>
      </c>
      <c r="D274" s="5" t="str">
        <f ca="1">IFERROR(__xludf.DUMMYFUNCTION("""COMPUTED_VALUE"""),"Сергеевич")</f>
        <v>Сергеевич</v>
      </c>
      <c r="E274" s="5" t="str">
        <f ca="1">IFERROR(__xludf.DUMMYFUNCTION("""COMPUTED_VALUE"""),"Команда №3702")</f>
        <v>Команда №3702</v>
      </c>
      <c r="F274" s="6" t="str">
        <f ca="1">IFERROR(__xludf.DUMMYFUNCTION("""COMPUTED_VALUE"""),"Создание коммерческой 2D игры")</f>
        <v>Создание коммерческой 2D игры</v>
      </c>
      <c r="G274" s="7">
        <f ca="1">IFERROR(__xludf.DUMMYFUNCTION("""COMPUTED_VALUE"""),100)</f>
        <v>100</v>
      </c>
    </row>
    <row r="275" spans="1:7" ht="13.2" x14ac:dyDescent="0.25">
      <c r="A275" s="5">
        <f ca="1">IFERROR(__xludf.DUMMYFUNCTION("""COMPUTED_VALUE"""),217)</f>
        <v>217</v>
      </c>
      <c r="B275" s="5" t="str">
        <f ca="1">IFERROR(__xludf.DUMMYFUNCTION("""COMPUTED_VALUE"""),"Волчатников")</f>
        <v>Волчатников</v>
      </c>
      <c r="C275" s="5" t="str">
        <f ca="1">IFERROR(__xludf.DUMMYFUNCTION("""COMPUTED_VALUE"""),"Сергей")</f>
        <v>Сергей</v>
      </c>
      <c r="D275" s="5" t="str">
        <f ca="1">IFERROR(__xludf.DUMMYFUNCTION("""COMPUTED_VALUE"""),"Игоревич")</f>
        <v>Игоревич</v>
      </c>
      <c r="E275" s="5" t="str">
        <f ca="1">IFERROR(__xludf.DUMMYFUNCTION("""COMPUTED_VALUE"""),"Команда №3702")</f>
        <v>Команда №3702</v>
      </c>
      <c r="F275" s="6" t="str">
        <f ca="1">IFERROR(__xludf.DUMMYFUNCTION("""COMPUTED_VALUE"""),"Создание коммерческой 2D игры")</f>
        <v>Создание коммерческой 2D игры</v>
      </c>
      <c r="G275" s="7">
        <f ca="1">IFERROR(__xludf.DUMMYFUNCTION("""COMPUTED_VALUE"""),100)</f>
        <v>100</v>
      </c>
    </row>
    <row r="276" spans="1:7" ht="13.2" x14ac:dyDescent="0.25">
      <c r="A276" s="5">
        <f ca="1">IFERROR(__xludf.DUMMYFUNCTION("""COMPUTED_VALUE"""),385)</f>
        <v>385</v>
      </c>
      <c r="B276" s="5" t="str">
        <f ca="1">IFERROR(__xludf.DUMMYFUNCTION("""COMPUTED_VALUE"""),"Ефремов")</f>
        <v>Ефремов</v>
      </c>
      <c r="C276" s="5" t="str">
        <f ca="1">IFERROR(__xludf.DUMMYFUNCTION("""COMPUTED_VALUE"""),"Дмитрий")</f>
        <v>Дмитрий</v>
      </c>
      <c r="D276" s="5" t="str">
        <f ca="1">IFERROR(__xludf.DUMMYFUNCTION("""COMPUTED_VALUE"""),"Игоревич")</f>
        <v>Игоревич</v>
      </c>
      <c r="E276" s="5" t="str">
        <f ca="1">IFERROR(__xludf.DUMMYFUNCTION("""COMPUTED_VALUE"""),"Команда №3702")</f>
        <v>Команда №3702</v>
      </c>
      <c r="F276" s="6" t="str">
        <f ca="1">IFERROR(__xludf.DUMMYFUNCTION("""COMPUTED_VALUE"""),"Создание коммерческой 2D игры")</f>
        <v>Создание коммерческой 2D игры</v>
      </c>
      <c r="G276" s="7">
        <f ca="1">IFERROR(__xludf.DUMMYFUNCTION("""COMPUTED_VALUE"""),100)</f>
        <v>100</v>
      </c>
    </row>
    <row r="277" spans="1:7" ht="13.2" x14ac:dyDescent="0.25">
      <c r="A277" s="5">
        <f ca="1">IFERROR(__xludf.DUMMYFUNCTION("""COMPUTED_VALUE"""),1050)</f>
        <v>1050</v>
      </c>
      <c r="B277" s="5" t="str">
        <f ca="1">IFERROR(__xludf.DUMMYFUNCTION("""COMPUTED_VALUE"""),"Семенов")</f>
        <v>Семенов</v>
      </c>
      <c r="C277" s="5" t="str">
        <f ca="1">IFERROR(__xludf.DUMMYFUNCTION("""COMPUTED_VALUE"""),"Всеволод")</f>
        <v>Всеволод</v>
      </c>
      <c r="D277" s="5" t="str">
        <f ca="1">IFERROR(__xludf.DUMMYFUNCTION("""COMPUTED_VALUE"""),"Николаевич")</f>
        <v>Николаевич</v>
      </c>
      <c r="E277" s="5" t="str">
        <f ca="1">IFERROR(__xludf.DUMMYFUNCTION("""COMPUTED_VALUE"""),"Команда №3702")</f>
        <v>Команда №3702</v>
      </c>
      <c r="F277" s="6" t="str">
        <f ca="1">IFERROR(__xludf.DUMMYFUNCTION("""COMPUTED_VALUE"""),"Создание коммерческой 2D игры")</f>
        <v>Создание коммерческой 2D игры</v>
      </c>
      <c r="G277" s="7">
        <f ca="1">IFERROR(__xludf.DUMMYFUNCTION("""COMPUTED_VALUE"""),100)</f>
        <v>100</v>
      </c>
    </row>
    <row r="278" spans="1:7" ht="13.2" x14ac:dyDescent="0.25">
      <c r="A278" s="5">
        <f ca="1">IFERROR(__xludf.DUMMYFUNCTION("""COMPUTED_VALUE"""),199)</f>
        <v>199</v>
      </c>
      <c r="B278" s="5" t="str">
        <f ca="1">IFERROR(__xludf.DUMMYFUNCTION("""COMPUTED_VALUE"""),"Виниченко")</f>
        <v>Виниченко</v>
      </c>
      <c r="C278" s="5" t="str">
        <f ca="1">IFERROR(__xludf.DUMMYFUNCTION("""COMPUTED_VALUE"""),"Алексей")</f>
        <v>Алексей</v>
      </c>
      <c r="D278" s="5" t="str">
        <f ca="1">IFERROR(__xludf.DUMMYFUNCTION("""COMPUTED_VALUE"""),"Евгеньевич")</f>
        <v>Евгеньевич</v>
      </c>
      <c r="E278" s="5" t="str">
        <f ca="1">IFERROR(__xludf.DUMMYFUNCTION("""COMPUTED_VALUE"""),"Команда №3703")</f>
        <v>Команда №3703</v>
      </c>
      <c r="F278" s="6" t="str">
        <f ca="1">IFERROR(__xludf.DUMMYFUNCTION("""COMPUTED_VALUE"""),"Создание MVP игры Jungle Rockets")</f>
        <v>Создание MVP игры Jungle Rockets</v>
      </c>
      <c r="G278" s="7">
        <f ca="1">IFERROR(__xludf.DUMMYFUNCTION("""COMPUTED_VALUE"""),99)</f>
        <v>99</v>
      </c>
    </row>
    <row r="279" spans="1:7" ht="13.2" x14ac:dyDescent="0.25">
      <c r="A279" s="5">
        <f ca="1">IFERROR(__xludf.DUMMYFUNCTION("""COMPUTED_VALUE"""),210)</f>
        <v>210</v>
      </c>
      <c r="B279" s="5" t="str">
        <f ca="1">IFERROR(__xludf.DUMMYFUNCTION("""COMPUTED_VALUE"""),"Волков")</f>
        <v>Волков</v>
      </c>
      <c r="C279" s="5" t="str">
        <f ca="1">IFERROR(__xludf.DUMMYFUNCTION("""COMPUTED_VALUE"""),"Илья")</f>
        <v>Илья</v>
      </c>
      <c r="D279" s="5" t="str">
        <f ca="1">IFERROR(__xludf.DUMMYFUNCTION("""COMPUTED_VALUE"""),"Евгеньевич")</f>
        <v>Евгеньевич</v>
      </c>
      <c r="E279" s="5" t="str">
        <f ca="1">IFERROR(__xludf.DUMMYFUNCTION("""COMPUTED_VALUE"""),"Команда №3703")</f>
        <v>Команда №3703</v>
      </c>
      <c r="F279" s="6" t="str">
        <f ca="1">IFERROR(__xludf.DUMMYFUNCTION("""COMPUTED_VALUE"""),"Создание MVP игры Jungle Rockets")</f>
        <v>Создание MVP игры Jungle Rockets</v>
      </c>
      <c r="G279" s="7">
        <f ca="1">IFERROR(__xludf.DUMMYFUNCTION("""COMPUTED_VALUE"""),99)</f>
        <v>99</v>
      </c>
    </row>
    <row r="280" spans="1:7" ht="13.2" x14ac:dyDescent="0.25">
      <c r="A280" s="5">
        <f ca="1">IFERROR(__xludf.DUMMYFUNCTION("""COMPUTED_VALUE"""),323)</f>
        <v>323</v>
      </c>
      <c r="B280" s="5" t="str">
        <f ca="1">IFERROR(__xludf.DUMMYFUNCTION("""COMPUTED_VALUE"""),"Добрякова")</f>
        <v>Добрякова</v>
      </c>
      <c r="C280" s="5" t="str">
        <f ca="1">IFERROR(__xludf.DUMMYFUNCTION("""COMPUTED_VALUE"""),"Александра")</f>
        <v>Александра</v>
      </c>
      <c r="D280" s="5" t="str">
        <f ca="1">IFERROR(__xludf.DUMMYFUNCTION("""COMPUTED_VALUE"""),"Андреевна")</f>
        <v>Андреевна</v>
      </c>
      <c r="E280" s="5" t="str">
        <f ca="1">IFERROR(__xludf.DUMMYFUNCTION("""COMPUTED_VALUE"""),"Команда №3703")</f>
        <v>Команда №3703</v>
      </c>
      <c r="F280" s="6" t="str">
        <f ca="1">IFERROR(__xludf.DUMMYFUNCTION("""COMPUTED_VALUE"""),"Создание MVP игры Jungle Rockets")</f>
        <v>Создание MVP игры Jungle Rockets</v>
      </c>
      <c r="G280" s="7">
        <f ca="1">IFERROR(__xludf.DUMMYFUNCTION("""COMPUTED_VALUE"""),99)</f>
        <v>99</v>
      </c>
    </row>
    <row r="281" spans="1:7" ht="13.2" x14ac:dyDescent="0.25">
      <c r="A281" s="5">
        <f ca="1">IFERROR(__xludf.DUMMYFUNCTION("""COMPUTED_VALUE"""),1184)</f>
        <v>1184</v>
      </c>
      <c r="B281" s="5" t="str">
        <f ca="1">IFERROR(__xludf.DUMMYFUNCTION("""COMPUTED_VALUE"""),"Тюленев")</f>
        <v>Тюленев</v>
      </c>
      <c r="C281" s="5" t="str">
        <f ca="1">IFERROR(__xludf.DUMMYFUNCTION("""COMPUTED_VALUE"""),"Дмитрий")</f>
        <v>Дмитрий</v>
      </c>
      <c r="D281" s="5" t="str">
        <f ca="1">IFERROR(__xludf.DUMMYFUNCTION("""COMPUTED_VALUE"""),"Иванович")</f>
        <v>Иванович</v>
      </c>
      <c r="E281" s="5" t="str">
        <f ca="1">IFERROR(__xludf.DUMMYFUNCTION("""COMPUTED_VALUE"""),"Команда №3703")</f>
        <v>Команда №3703</v>
      </c>
      <c r="F281" s="6" t="str">
        <f ca="1">IFERROR(__xludf.DUMMYFUNCTION("""COMPUTED_VALUE"""),"Создание MVP игры Jungle Rockets")</f>
        <v>Создание MVP игры Jungle Rockets</v>
      </c>
      <c r="G281" s="7">
        <f ca="1">IFERROR(__xludf.DUMMYFUNCTION("""COMPUTED_VALUE"""),99)</f>
        <v>99</v>
      </c>
    </row>
    <row r="282" spans="1:7" ht="39.6" x14ac:dyDescent="0.25">
      <c r="A282" s="5">
        <f ca="1">IFERROR(__xludf.DUMMYFUNCTION("""COMPUTED_VALUE"""),435)</f>
        <v>435</v>
      </c>
      <c r="B282" s="5" t="str">
        <f ca="1">IFERROR(__xludf.DUMMYFUNCTION("""COMPUTED_VALUE"""),"Золотарев")</f>
        <v>Золотарев</v>
      </c>
      <c r="C282" s="5" t="str">
        <f ca="1">IFERROR(__xludf.DUMMYFUNCTION("""COMPUTED_VALUE"""),"Иван")</f>
        <v>Иван</v>
      </c>
      <c r="D282" s="5" t="str">
        <f ca="1">IFERROR(__xludf.DUMMYFUNCTION("""COMPUTED_VALUE"""),"Евгеньевич")</f>
        <v>Евгеньевич</v>
      </c>
      <c r="E282" s="5" t="str">
        <f ca="1">IFERROR(__xludf.DUMMYFUNCTION("""COMPUTED_VALUE"""),"Команда №3705")</f>
        <v>Команда №3705</v>
      </c>
      <c r="F282" s="6" t="str">
        <f ca="1">IFERROR(__xludf.DUMMYFUNCTION("""COMPUTED_VALUE"""),"Создание веб-сервиса-агрегатора репетиторства с возможностью интеграций различных частных организаций")</f>
        <v>Создание веб-сервиса-агрегатора репетиторства с возможностью интеграций различных частных организаций</v>
      </c>
      <c r="G282" s="7">
        <f ca="1">IFERROR(__xludf.DUMMYFUNCTION("""COMPUTED_VALUE"""),88)</f>
        <v>88</v>
      </c>
    </row>
    <row r="283" spans="1:7" ht="39.6" x14ac:dyDescent="0.25">
      <c r="A283" s="5">
        <f ca="1">IFERROR(__xludf.DUMMYFUNCTION("""COMPUTED_VALUE"""),545)</f>
        <v>545</v>
      </c>
      <c r="B283" s="5" t="str">
        <f ca="1">IFERROR(__xludf.DUMMYFUNCTION("""COMPUTED_VALUE"""),"Койнова")</f>
        <v>Койнова</v>
      </c>
      <c r="C283" s="5" t="str">
        <f ca="1">IFERROR(__xludf.DUMMYFUNCTION("""COMPUTED_VALUE"""),"Елизавета")</f>
        <v>Елизавета</v>
      </c>
      <c r="D283" s="5" t="str">
        <f ca="1">IFERROR(__xludf.DUMMYFUNCTION("""COMPUTED_VALUE"""),"Александровна")</f>
        <v>Александровна</v>
      </c>
      <c r="E283" s="5" t="str">
        <f ca="1">IFERROR(__xludf.DUMMYFUNCTION("""COMPUTED_VALUE"""),"Команда №3705")</f>
        <v>Команда №3705</v>
      </c>
      <c r="F283" s="6" t="str">
        <f ca="1">IFERROR(__xludf.DUMMYFUNCTION("""COMPUTED_VALUE"""),"Создание веб-сервиса-агрегатора репетиторства с возможностью интеграций различных частных организаций")</f>
        <v>Создание веб-сервиса-агрегатора репетиторства с возможностью интеграций различных частных организаций</v>
      </c>
      <c r="G283" s="7">
        <f ca="1">IFERROR(__xludf.DUMMYFUNCTION("""COMPUTED_VALUE"""),88)</f>
        <v>88</v>
      </c>
    </row>
    <row r="284" spans="1:7" ht="39.6" x14ac:dyDescent="0.25">
      <c r="A284" s="5">
        <f ca="1">IFERROR(__xludf.DUMMYFUNCTION("""COMPUTED_VALUE"""),766)</f>
        <v>766</v>
      </c>
      <c r="B284" s="5" t="str">
        <f ca="1">IFERROR(__xludf.DUMMYFUNCTION("""COMPUTED_VALUE"""),"Мирошниченко")</f>
        <v>Мирошниченко</v>
      </c>
      <c r="C284" s="5" t="str">
        <f ca="1">IFERROR(__xludf.DUMMYFUNCTION("""COMPUTED_VALUE"""),"Кирилл")</f>
        <v>Кирилл</v>
      </c>
      <c r="D284" s="5" t="str">
        <f ca="1">IFERROR(__xludf.DUMMYFUNCTION("""COMPUTED_VALUE"""),"Алексеевич")</f>
        <v>Алексеевич</v>
      </c>
      <c r="E284" s="5" t="str">
        <f ca="1">IFERROR(__xludf.DUMMYFUNCTION("""COMPUTED_VALUE"""),"Команда №3705")</f>
        <v>Команда №3705</v>
      </c>
      <c r="F284" s="6" t="str">
        <f ca="1">IFERROR(__xludf.DUMMYFUNCTION("""COMPUTED_VALUE"""),"Создание веб-сервиса-агрегатора репетиторства с возможностью интеграций различных частных организаций")</f>
        <v>Создание веб-сервиса-агрегатора репетиторства с возможностью интеграций различных частных организаций</v>
      </c>
      <c r="G284" s="7">
        <f ca="1">IFERROR(__xludf.DUMMYFUNCTION("""COMPUTED_VALUE"""),88)</f>
        <v>88</v>
      </c>
    </row>
    <row r="285" spans="1:7" ht="39.6" x14ac:dyDescent="0.25">
      <c r="A285" s="5">
        <f ca="1">IFERROR(__xludf.DUMMYFUNCTION("""COMPUTED_VALUE"""),185)</f>
        <v>185</v>
      </c>
      <c r="B285" s="5" t="str">
        <f ca="1">IFERROR(__xludf.DUMMYFUNCTION("""COMPUTED_VALUE"""),"Ватолин")</f>
        <v>Ватолин</v>
      </c>
      <c r="C285" s="5" t="str">
        <f ca="1">IFERROR(__xludf.DUMMYFUNCTION("""COMPUTED_VALUE"""),"Кирилл")</f>
        <v>Кирилл</v>
      </c>
      <c r="D285" s="5" t="str">
        <f ca="1">IFERROR(__xludf.DUMMYFUNCTION("""COMPUTED_VALUE"""),"Николаевич")</f>
        <v>Николаевич</v>
      </c>
      <c r="E285" s="5" t="str">
        <f ca="1">IFERROR(__xludf.DUMMYFUNCTION("""COMPUTED_VALUE"""),"Команда №3710")</f>
        <v>Команда №3710</v>
      </c>
      <c r="F285" s="6" t="str">
        <f ca="1">IFERROR(__xludf.DUMMYFUNCTION("""COMPUTED_VALUE"""),"Создание наиболее эффективного способа продвижения медиапродукта и расширения аудитории.")</f>
        <v>Создание наиболее эффективного способа продвижения медиапродукта и расширения аудитории.</v>
      </c>
      <c r="G285" s="7">
        <f ca="1">IFERROR(__xludf.DUMMYFUNCTION("""COMPUTED_VALUE"""),80)</f>
        <v>80</v>
      </c>
    </row>
    <row r="286" spans="1:7" ht="39.6" x14ac:dyDescent="0.25">
      <c r="A286" s="5">
        <f ca="1">IFERROR(__xludf.DUMMYFUNCTION("""COMPUTED_VALUE"""),725)</f>
        <v>725</v>
      </c>
      <c r="B286" s="5" t="str">
        <f ca="1">IFERROR(__xludf.DUMMYFUNCTION("""COMPUTED_VALUE"""),"Маркевич")</f>
        <v>Маркевич</v>
      </c>
      <c r="C286" s="5" t="str">
        <f ca="1">IFERROR(__xludf.DUMMYFUNCTION("""COMPUTED_VALUE"""),"Дмитрий")</f>
        <v>Дмитрий</v>
      </c>
      <c r="D286" s="5" t="str">
        <f ca="1">IFERROR(__xludf.DUMMYFUNCTION("""COMPUTED_VALUE"""),"Александрович")</f>
        <v>Александрович</v>
      </c>
      <c r="E286" s="5" t="str">
        <f ca="1">IFERROR(__xludf.DUMMYFUNCTION("""COMPUTED_VALUE"""),"Команда №3710")</f>
        <v>Команда №3710</v>
      </c>
      <c r="F286" s="6" t="str">
        <f ca="1">IFERROR(__xludf.DUMMYFUNCTION("""COMPUTED_VALUE"""),"Создание наиболее эффективного способа продвижения медиапродукта и расширения аудитории.")</f>
        <v>Создание наиболее эффективного способа продвижения медиапродукта и расширения аудитории.</v>
      </c>
      <c r="G286" s="7">
        <f ca="1">IFERROR(__xludf.DUMMYFUNCTION("""COMPUTED_VALUE"""),80)</f>
        <v>80</v>
      </c>
    </row>
    <row r="287" spans="1:7" ht="39.6" x14ac:dyDescent="0.25">
      <c r="A287" s="5">
        <f ca="1">IFERROR(__xludf.DUMMYFUNCTION("""COMPUTED_VALUE"""),1042)</f>
        <v>1042</v>
      </c>
      <c r="B287" s="5" t="str">
        <f ca="1">IFERROR(__xludf.DUMMYFUNCTION("""COMPUTED_VALUE"""),"Сафрыгина")</f>
        <v>Сафрыгина</v>
      </c>
      <c r="C287" s="5" t="str">
        <f ca="1">IFERROR(__xludf.DUMMYFUNCTION("""COMPUTED_VALUE"""),"Наталья")</f>
        <v>Наталья</v>
      </c>
      <c r="D287" s="5" t="str">
        <f ca="1">IFERROR(__xludf.DUMMYFUNCTION("""COMPUTED_VALUE"""),"Сергеевна")</f>
        <v>Сергеевна</v>
      </c>
      <c r="E287" s="5" t="str">
        <f ca="1">IFERROR(__xludf.DUMMYFUNCTION("""COMPUTED_VALUE"""),"Команда №3710")</f>
        <v>Команда №3710</v>
      </c>
      <c r="F287" s="6" t="str">
        <f ca="1">IFERROR(__xludf.DUMMYFUNCTION("""COMPUTED_VALUE"""),"Создание наиболее эффективного способа продвижения медиапродукта и расширения аудитории.")</f>
        <v>Создание наиболее эффективного способа продвижения медиапродукта и расширения аудитории.</v>
      </c>
      <c r="G287" s="7">
        <f ca="1">IFERROR(__xludf.DUMMYFUNCTION("""COMPUTED_VALUE"""),80)</f>
        <v>80</v>
      </c>
    </row>
    <row r="288" spans="1:7" ht="39.6" x14ac:dyDescent="0.25">
      <c r="A288" s="5">
        <f ca="1">IFERROR(__xludf.DUMMYFUNCTION("""COMPUTED_VALUE"""),1209)</f>
        <v>1209</v>
      </c>
      <c r="B288" s="5" t="str">
        <f ca="1">IFERROR(__xludf.DUMMYFUNCTION("""COMPUTED_VALUE"""),"Феделеш")</f>
        <v>Феделеш</v>
      </c>
      <c r="C288" s="5" t="str">
        <f ca="1">IFERROR(__xludf.DUMMYFUNCTION("""COMPUTED_VALUE"""),"Даниил")</f>
        <v>Даниил</v>
      </c>
      <c r="D288" s="5" t="str">
        <f ca="1">IFERROR(__xludf.DUMMYFUNCTION("""COMPUTED_VALUE"""),"Михайлович")</f>
        <v>Михайлович</v>
      </c>
      <c r="E288" s="5" t="str">
        <f ca="1">IFERROR(__xludf.DUMMYFUNCTION("""COMPUTED_VALUE"""),"Команда №3710")</f>
        <v>Команда №3710</v>
      </c>
      <c r="F288" s="6" t="str">
        <f ca="1">IFERROR(__xludf.DUMMYFUNCTION("""COMPUTED_VALUE"""),"Создание наиболее эффективного способа продвижения медиапродукта и расширения аудитории.")</f>
        <v>Создание наиболее эффективного способа продвижения медиапродукта и расширения аудитории.</v>
      </c>
      <c r="G288" s="7">
        <f ca="1">IFERROR(__xludf.DUMMYFUNCTION("""COMPUTED_VALUE"""),80)</f>
        <v>80</v>
      </c>
    </row>
    <row r="289" spans="1:7" ht="26.4" x14ac:dyDescent="0.25">
      <c r="A289" s="5">
        <f ca="1">IFERROR(__xludf.DUMMYFUNCTION("""COMPUTED_VALUE"""),162)</f>
        <v>162</v>
      </c>
      <c r="B289" s="5" t="str">
        <f ca="1">IFERROR(__xludf.DUMMYFUNCTION("""COMPUTED_VALUE"""),"Бухольцев")</f>
        <v>Бухольцев</v>
      </c>
      <c r="C289" s="5" t="str">
        <f ca="1">IFERROR(__xludf.DUMMYFUNCTION("""COMPUTED_VALUE"""),"Богдан")</f>
        <v>Богдан</v>
      </c>
      <c r="D289" s="5" t="str">
        <f ca="1">IFERROR(__xludf.DUMMYFUNCTION("""COMPUTED_VALUE"""),"Дмитриевич")</f>
        <v>Дмитриевич</v>
      </c>
      <c r="E289" s="5" t="str">
        <f ca="1">IFERROR(__xludf.DUMMYFUNCTION("""COMPUTED_VALUE"""),"Команда №3712")</f>
        <v>Команда №3712</v>
      </c>
      <c r="F289" s="6" t="str">
        <f ca="1">IFERROR(__xludf.DUMMYFUNCTION("""COMPUTED_VALUE"""),"Создание онлайн-площадки с набором сервисов для геймеров")</f>
        <v>Создание онлайн-площадки с набором сервисов для геймеров</v>
      </c>
      <c r="G289" s="7">
        <f ca="1">IFERROR(__xludf.DUMMYFUNCTION("""COMPUTED_VALUE"""),85)</f>
        <v>85</v>
      </c>
    </row>
    <row r="290" spans="1:7" ht="26.4" x14ac:dyDescent="0.25">
      <c r="A290" s="5">
        <f ca="1">IFERROR(__xludf.DUMMYFUNCTION("""COMPUTED_VALUE"""),393)</f>
        <v>393</v>
      </c>
      <c r="B290" s="5" t="str">
        <f ca="1">IFERROR(__xludf.DUMMYFUNCTION("""COMPUTED_VALUE"""),"Жилин")</f>
        <v>Жилин</v>
      </c>
      <c r="C290" s="5" t="str">
        <f ca="1">IFERROR(__xludf.DUMMYFUNCTION("""COMPUTED_VALUE"""),"Евгений")</f>
        <v>Евгений</v>
      </c>
      <c r="D290" s="5" t="str">
        <f ca="1">IFERROR(__xludf.DUMMYFUNCTION("""COMPUTED_VALUE"""),"Ильич")</f>
        <v>Ильич</v>
      </c>
      <c r="E290" s="5" t="str">
        <f ca="1">IFERROR(__xludf.DUMMYFUNCTION("""COMPUTED_VALUE"""),"Команда №3712")</f>
        <v>Команда №3712</v>
      </c>
      <c r="F290" s="6" t="str">
        <f ca="1">IFERROR(__xludf.DUMMYFUNCTION("""COMPUTED_VALUE"""),"Создание онлайн-площадки с набором сервисов для геймеров")</f>
        <v>Создание онлайн-площадки с набором сервисов для геймеров</v>
      </c>
      <c r="G290" s="7">
        <f ca="1">IFERROR(__xludf.DUMMYFUNCTION("""COMPUTED_VALUE"""),85)</f>
        <v>85</v>
      </c>
    </row>
    <row r="291" spans="1:7" ht="26.4" x14ac:dyDescent="0.25">
      <c r="A291" s="5">
        <f ca="1">IFERROR(__xludf.DUMMYFUNCTION("""COMPUTED_VALUE"""),1203)</f>
        <v>1203</v>
      </c>
      <c r="B291" s="5" t="str">
        <f ca="1">IFERROR(__xludf.DUMMYFUNCTION("""COMPUTED_VALUE"""),"Утева")</f>
        <v>Утева</v>
      </c>
      <c r="C291" s="5" t="str">
        <f ca="1">IFERROR(__xludf.DUMMYFUNCTION("""COMPUTED_VALUE"""),"Светлана")</f>
        <v>Светлана</v>
      </c>
      <c r="D291" s="5" t="str">
        <f ca="1">IFERROR(__xludf.DUMMYFUNCTION("""COMPUTED_VALUE"""),"Алексеевна")</f>
        <v>Алексеевна</v>
      </c>
      <c r="E291" s="5" t="str">
        <f ca="1">IFERROR(__xludf.DUMMYFUNCTION("""COMPUTED_VALUE"""),"Команда №3712")</f>
        <v>Команда №3712</v>
      </c>
      <c r="F291" s="6" t="str">
        <f ca="1">IFERROR(__xludf.DUMMYFUNCTION("""COMPUTED_VALUE"""),"Создание онлайн-площадки с набором сервисов для геймеров")</f>
        <v>Создание онлайн-площадки с набором сервисов для геймеров</v>
      </c>
      <c r="G291" s="7">
        <f ca="1">IFERROR(__xludf.DUMMYFUNCTION("""COMPUTED_VALUE"""),85)</f>
        <v>85</v>
      </c>
    </row>
    <row r="292" spans="1:7" ht="26.4" x14ac:dyDescent="0.25">
      <c r="A292" s="5">
        <f ca="1">IFERROR(__xludf.DUMMYFUNCTION("""COMPUTED_VALUE"""),1321)</f>
        <v>1321</v>
      </c>
      <c r="B292" s="5" t="str">
        <f ca="1">IFERROR(__xludf.DUMMYFUNCTION("""COMPUTED_VALUE"""),"Швалев")</f>
        <v>Швалев</v>
      </c>
      <c r="C292" s="5" t="str">
        <f ca="1">IFERROR(__xludf.DUMMYFUNCTION("""COMPUTED_VALUE"""),"Григорий")</f>
        <v>Григорий</v>
      </c>
      <c r="D292" s="5" t="str">
        <f ca="1">IFERROR(__xludf.DUMMYFUNCTION("""COMPUTED_VALUE"""),"Иванович")</f>
        <v>Иванович</v>
      </c>
      <c r="E292" s="5" t="str">
        <f ca="1">IFERROR(__xludf.DUMMYFUNCTION("""COMPUTED_VALUE"""),"Команда №3712")</f>
        <v>Команда №3712</v>
      </c>
      <c r="F292" s="6" t="str">
        <f ca="1">IFERROR(__xludf.DUMMYFUNCTION("""COMPUTED_VALUE"""),"Создание онлайн-площадки с набором сервисов для геймеров")</f>
        <v>Создание онлайн-площадки с набором сервисов для геймеров</v>
      </c>
      <c r="G292" s="7">
        <f ca="1">IFERROR(__xludf.DUMMYFUNCTION("""COMPUTED_VALUE"""),85)</f>
        <v>85</v>
      </c>
    </row>
    <row r="293" spans="1:7" ht="39.6" x14ac:dyDescent="0.25">
      <c r="A293" s="5">
        <f ca="1">IFERROR(__xludf.DUMMYFUNCTION("""COMPUTED_VALUE"""),692)</f>
        <v>692</v>
      </c>
      <c r="B293" s="5" t="str">
        <f ca="1">IFERROR(__xludf.DUMMYFUNCTION("""COMPUTED_VALUE"""),"Лукьянчиков")</f>
        <v>Лукьянчиков</v>
      </c>
      <c r="C293" s="5" t="str">
        <f ca="1">IFERROR(__xludf.DUMMYFUNCTION("""COMPUTED_VALUE"""),"Егор")</f>
        <v>Егор</v>
      </c>
      <c r="D293" s="5" t="str">
        <f ca="1">IFERROR(__xludf.DUMMYFUNCTION("""COMPUTED_VALUE"""),"Русланович")</f>
        <v>Русланович</v>
      </c>
      <c r="E293" s="5" t="str">
        <f ca="1">IFERROR(__xludf.DUMMYFUNCTION("""COMPUTED_VALUE"""),"Команда №3713")</f>
        <v>Команда №3713</v>
      </c>
      <c r="F293" s="6" t="str">
        <f ca="1">IFERROR(__xludf.DUMMYFUNCTION("""COMPUTED_VALUE"""),"Разработка агрегатора репетиторов и иных людей, проводящих обучение, с возможностью записи на занятие")</f>
        <v>Разработка агрегатора репетиторов и иных людей, проводящих обучение, с возможностью записи на занятие</v>
      </c>
      <c r="G293" s="7">
        <f ca="1">IFERROR(__xludf.DUMMYFUNCTION("""COMPUTED_VALUE"""),70)</f>
        <v>70</v>
      </c>
    </row>
    <row r="294" spans="1:7" ht="39.6" x14ac:dyDescent="0.25">
      <c r="A294" s="5">
        <f ca="1">IFERROR(__xludf.DUMMYFUNCTION("""COMPUTED_VALUE"""),893)</f>
        <v>893</v>
      </c>
      <c r="B294" s="5" t="str">
        <f ca="1">IFERROR(__xludf.DUMMYFUNCTION("""COMPUTED_VALUE"""),"Осьминин")</f>
        <v>Осьминин</v>
      </c>
      <c r="C294" s="5" t="str">
        <f ca="1">IFERROR(__xludf.DUMMYFUNCTION("""COMPUTED_VALUE"""),"Никита")</f>
        <v>Никита</v>
      </c>
      <c r="D294" s="5" t="str">
        <f ca="1">IFERROR(__xludf.DUMMYFUNCTION("""COMPUTED_VALUE"""),"Борисович")</f>
        <v>Борисович</v>
      </c>
      <c r="E294" s="5" t="str">
        <f ca="1">IFERROR(__xludf.DUMMYFUNCTION("""COMPUTED_VALUE"""),"Команда №3713")</f>
        <v>Команда №3713</v>
      </c>
      <c r="F294" s="6" t="str">
        <f ca="1">IFERROR(__xludf.DUMMYFUNCTION("""COMPUTED_VALUE"""),"Разработка агрегатора репетиторов и иных людей, проводящих обучение, с возможностью записи на занятие")</f>
        <v>Разработка агрегатора репетиторов и иных людей, проводящих обучение, с возможностью записи на занятие</v>
      </c>
      <c r="G294" s="7">
        <f ca="1">IFERROR(__xludf.DUMMYFUNCTION("""COMPUTED_VALUE"""),70)</f>
        <v>70</v>
      </c>
    </row>
    <row r="295" spans="1:7" ht="39.6" x14ac:dyDescent="0.25">
      <c r="A295" s="5">
        <f ca="1">IFERROR(__xludf.DUMMYFUNCTION("""COMPUTED_VALUE"""),1175)</f>
        <v>1175</v>
      </c>
      <c r="B295" s="5" t="str">
        <f ca="1">IFERROR(__xludf.DUMMYFUNCTION("""COMPUTED_VALUE"""),"Трофимов")</f>
        <v>Трофимов</v>
      </c>
      <c r="C295" s="5" t="str">
        <f ca="1">IFERROR(__xludf.DUMMYFUNCTION("""COMPUTED_VALUE"""),"Никита")</f>
        <v>Никита</v>
      </c>
      <c r="D295" s="5" t="str">
        <f ca="1">IFERROR(__xludf.DUMMYFUNCTION("""COMPUTED_VALUE"""),"Вадимович")</f>
        <v>Вадимович</v>
      </c>
      <c r="E295" s="5" t="str">
        <f ca="1">IFERROR(__xludf.DUMMYFUNCTION("""COMPUTED_VALUE"""),"Команда №3713")</f>
        <v>Команда №3713</v>
      </c>
      <c r="F295" s="6" t="str">
        <f ca="1">IFERROR(__xludf.DUMMYFUNCTION("""COMPUTED_VALUE"""),"Разработка агрегатора репетиторов и иных людей, проводящих обучение, с возможностью записи на занятие")</f>
        <v>Разработка агрегатора репетиторов и иных людей, проводящих обучение, с возможностью записи на занятие</v>
      </c>
      <c r="G295" s="7">
        <f ca="1">IFERROR(__xludf.DUMMYFUNCTION("""COMPUTED_VALUE"""),70)</f>
        <v>70</v>
      </c>
    </row>
    <row r="296" spans="1:7" ht="39.6" x14ac:dyDescent="0.25">
      <c r="A296" s="5">
        <f ca="1">IFERROR(__xludf.DUMMYFUNCTION("""COMPUTED_VALUE"""),1393)</f>
        <v>1393</v>
      </c>
      <c r="B296" s="5" t="str">
        <f ca="1">IFERROR(__xludf.DUMMYFUNCTION("""COMPUTED_VALUE"""),"Яськов")</f>
        <v>Яськов</v>
      </c>
      <c r="C296" s="5" t="str">
        <f ca="1">IFERROR(__xludf.DUMMYFUNCTION("""COMPUTED_VALUE"""),"Антоний")</f>
        <v>Антоний</v>
      </c>
      <c r="D296" s="5" t="str">
        <f ca="1">IFERROR(__xludf.DUMMYFUNCTION("""COMPUTED_VALUE"""),"Михайлович")</f>
        <v>Михайлович</v>
      </c>
      <c r="E296" s="5" t="str">
        <f ca="1">IFERROR(__xludf.DUMMYFUNCTION("""COMPUTED_VALUE"""),"Команда №3713")</f>
        <v>Команда №3713</v>
      </c>
      <c r="F296" s="6" t="str">
        <f ca="1">IFERROR(__xludf.DUMMYFUNCTION("""COMPUTED_VALUE"""),"Разработка агрегатора репетиторов и иных людей, проводящих обучение, с возможностью записи на занятие")</f>
        <v>Разработка агрегатора репетиторов и иных людей, проводящих обучение, с возможностью записи на занятие</v>
      </c>
      <c r="G296" s="7">
        <f ca="1">IFERROR(__xludf.DUMMYFUNCTION("""COMPUTED_VALUE"""),70)</f>
        <v>70</v>
      </c>
    </row>
    <row r="297" spans="1:7" ht="26.4" x14ac:dyDescent="0.25">
      <c r="A297" s="5">
        <f ca="1">IFERROR(__xludf.DUMMYFUNCTION("""COMPUTED_VALUE"""),179)</f>
        <v>179</v>
      </c>
      <c r="B297" s="5" t="str">
        <f ca="1">IFERROR(__xludf.DUMMYFUNCTION("""COMPUTED_VALUE"""),"Васильев")</f>
        <v>Васильев</v>
      </c>
      <c r="C297" s="5" t="str">
        <f ca="1">IFERROR(__xludf.DUMMYFUNCTION("""COMPUTED_VALUE"""),"Александр")</f>
        <v>Александр</v>
      </c>
      <c r="D297" s="5" t="str">
        <f ca="1">IFERROR(__xludf.DUMMYFUNCTION("""COMPUTED_VALUE"""),"Дмитриевич")</f>
        <v>Дмитриевич</v>
      </c>
      <c r="E297" s="5" t="str">
        <f ca="1">IFERROR(__xludf.DUMMYFUNCTION("""COMPUTED_VALUE"""),"Команда №3714")</f>
        <v>Команда №3714</v>
      </c>
      <c r="F297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297" s="7">
        <f ca="1">IFERROR(__xludf.DUMMYFUNCTION("""COMPUTED_VALUE"""),89)</f>
        <v>89</v>
      </c>
    </row>
    <row r="298" spans="1:7" ht="26.4" x14ac:dyDescent="0.25">
      <c r="A298" s="5">
        <f ca="1">IFERROR(__xludf.DUMMYFUNCTION("""COMPUTED_VALUE"""),318)</f>
        <v>318</v>
      </c>
      <c r="B298" s="5" t="str">
        <f ca="1">IFERROR(__xludf.DUMMYFUNCTION("""COMPUTED_VALUE"""),"Дмитриев")</f>
        <v>Дмитриев</v>
      </c>
      <c r="C298" s="5" t="str">
        <f ca="1">IFERROR(__xludf.DUMMYFUNCTION("""COMPUTED_VALUE"""),"Кирилл")</f>
        <v>Кирилл</v>
      </c>
      <c r="D298" s="5" t="str">
        <f ca="1">IFERROR(__xludf.DUMMYFUNCTION("""COMPUTED_VALUE"""),"Ильич")</f>
        <v>Ильич</v>
      </c>
      <c r="E298" s="5" t="str">
        <f ca="1">IFERROR(__xludf.DUMMYFUNCTION("""COMPUTED_VALUE"""),"Команда №3714")</f>
        <v>Команда №3714</v>
      </c>
      <c r="F298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298" s="7">
        <f ca="1">IFERROR(__xludf.DUMMYFUNCTION("""COMPUTED_VALUE"""),89)</f>
        <v>89</v>
      </c>
    </row>
    <row r="299" spans="1:7" ht="26.4" x14ac:dyDescent="0.25">
      <c r="A299" s="5">
        <f ca="1">IFERROR(__xludf.DUMMYFUNCTION("""COMPUTED_VALUE"""),595)</f>
        <v>595</v>
      </c>
      <c r="B299" s="5" t="str">
        <f ca="1">IFERROR(__xludf.DUMMYFUNCTION("""COMPUTED_VALUE"""),"Косяков")</f>
        <v>Косяков</v>
      </c>
      <c r="C299" s="5" t="str">
        <f ca="1">IFERROR(__xludf.DUMMYFUNCTION("""COMPUTED_VALUE"""),"Илья")</f>
        <v>Илья</v>
      </c>
      <c r="D299" s="5" t="str">
        <f ca="1">IFERROR(__xludf.DUMMYFUNCTION("""COMPUTED_VALUE"""),"Александрович")</f>
        <v>Александрович</v>
      </c>
      <c r="E299" s="5" t="str">
        <f ca="1">IFERROR(__xludf.DUMMYFUNCTION("""COMPUTED_VALUE"""),"Команда №3714")</f>
        <v>Команда №3714</v>
      </c>
      <c r="F299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299" s="7">
        <f ca="1">IFERROR(__xludf.DUMMYFUNCTION("""COMPUTED_VALUE"""),89)</f>
        <v>89</v>
      </c>
    </row>
    <row r="300" spans="1:7" ht="26.4" x14ac:dyDescent="0.25">
      <c r="A300" s="5">
        <f ca="1">IFERROR(__xludf.DUMMYFUNCTION("""COMPUTED_VALUE"""),762)</f>
        <v>762</v>
      </c>
      <c r="B300" s="5" t="str">
        <f ca="1">IFERROR(__xludf.DUMMYFUNCTION("""COMPUTED_VALUE"""),"Мильчаков")</f>
        <v>Мильчаков</v>
      </c>
      <c r="C300" s="5" t="str">
        <f ca="1">IFERROR(__xludf.DUMMYFUNCTION("""COMPUTED_VALUE"""),"Владимир")</f>
        <v>Владимир</v>
      </c>
      <c r="D300" s="5" t="str">
        <f ca="1">IFERROR(__xludf.DUMMYFUNCTION("""COMPUTED_VALUE"""),"Александрович")</f>
        <v>Александрович</v>
      </c>
      <c r="E300" s="5" t="str">
        <f ca="1">IFERROR(__xludf.DUMMYFUNCTION("""COMPUTED_VALUE"""),"Команда №3714")</f>
        <v>Команда №3714</v>
      </c>
      <c r="F300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300" s="7">
        <f ca="1">IFERROR(__xludf.DUMMYFUNCTION("""COMPUTED_VALUE"""),89)</f>
        <v>89</v>
      </c>
    </row>
    <row r="301" spans="1:7" ht="13.2" x14ac:dyDescent="0.25">
      <c r="A301" s="5">
        <f ca="1">IFERROR(__xludf.DUMMYFUNCTION("""COMPUTED_VALUE"""),1378)</f>
        <v>1378</v>
      </c>
      <c r="B301" s="5" t="str">
        <f ca="1">IFERROR(__xludf.DUMMYFUNCTION("""COMPUTED_VALUE"""),"Якубов")</f>
        <v>Якубов</v>
      </c>
      <c r="C301" s="5" t="str">
        <f ca="1">IFERROR(__xludf.DUMMYFUNCTION("""COMPUTED_VALUE"""),"Алексей")</f>
        <v>Алексей</v>
      </c>
      <c r="D301" s="5" t="str">
        <f ca="1">IFERROR(__xludf.DUMMYFUNCTION("""COMPUTED_VALUE"""),"Александрович")</f>
        <v>Александрович</v>
      </c>
      <c r="E301" s="5" t="str">
        <f ca="1">IFERROR(__xludf.DUMMYFUNCTION("""COMPUTED_VALUE"""),"Команда №3714")</f>
        <v>Команда №3714</v>
      </c>
      <c r="F301" s="6" t="str">
        <f ca="1">IFERROR(__xludf.DUMMYFUNCTION("""COMPUTED_VALUE"""),"Разработка VR-игры в жанре puzzle(головоломка)")</f>
        <v>Разработка VR-игры в жанре puzzle(головоломка)</v>
      </c>
      <c r="G301" s="7">
        <f ca="1">IFERROR(__xludf.DUMMYFUNCTION("""COMPUTED_VALUE"""),89)</f>
        <v>89</v>
      </c>
    </row>
    <row r="302" spans="1:7" ht="26.4" x14ac:dyDescent="0.25">
      <c r="A302" s="5">
        <f ca="1">IFERROR(__xludf.DUMMYFUNCTION("""COMPUTED_VALUE"""),143)</f>
        <v>143</v>
      </c>
      <c r="B302" s="5" t="str">
        <f ca="1">IFERROR(__xludf.DUMMYFUNCTION("""COMPUTED_VALUE"""),"Борноволокова")</f>
        <v>Борноволокова</v>
      </c>
      <c r="C302" s="5" t="str">
        <f ca="1">IFERROR(__xludf.DUMMYFUNCTION("""COMPUTED_VALUE"""),"Ольга")</f>
        <v>Ольга</v>
      </c>
      <c r="D302" s="5" t="str">
        <f ca="1">IFERROR(__xludf.DUMMYFUNCTION("""COMPUTED_VALUE"""),"Алексеевна")</f>
        <v>Алексеевна</v>
      </c>
      <c r="E302" s="5" t="str">
        <f ca="1">IFERROR(__xludf.DUMMYFUNCTION("""COMPUTED_VALUE"""),"Команда №3715")</f>
        <v>Команда №3715</v>
      </c>
      <c r="F302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02" s="7">
        <f ca="1">IFERROR(__xludf.DUMMYFUNCTION("""COMPUTED_VALUE"""),95)</f>
        <v>95</v>
      </c>
    </row>
    <row r="303" spans="1:7" ht="26.4" x14ac:dyDescent="0.25">
      <c r="A303" s="5">
        <f ca="1">IFERROR(__xludf.DUMMYFUNCTION("""COMPUTED_VALUE"""),469)</f>
        <v>469</v>
      </c>
      <c r="B303" s="5" t="str">
        <f ca="1">IFERROR(__xludf.DUMMYFUNCTION("""COMPUTED_VALUE"""),"Ионин")</f>
        <v>Ионин</v>
      </c>
      <c r="C303" s="5" t="str">
        <f ca="1">IFERROR(__xludf.DUMMYFUNCTION("""COMPUTED_VALUE"""),"Ярослав")</f>
        <v>Ярослав</v>
      </c>
      <c r="D303" s="5" t="str">
        <f ca="1">IFERROR(__xludf.DUMMYFUNCTION("""COMPUTED_VALUE"""),"Андреевич")</f>
        <v>Андреевич</v>
      </c>
      <c r="E303" s="5" t="str">
        <f ca="1">IFERROR(__xludf.DUMMYFUNCTION("""COMPUTED_VALUE"""),"Команда №3715")</f>
        <v>Команда №3715</v>
      </c>
      <c r="F303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03" s="7">
        <f ca="1">IFERROR(__xludf.DUMMYFUNCTION("""COMPUTED_VALUE"""),95)</f>
        <v>95</v>
      </c>
    </row>
    <row r="304" spans="1:7" ht="26.4" x14ac:dyDescent="0.25">
      <c r="A304" s="5">
        <f ca="1">IFERROR(__xludf.DUMMYFUNCTION("""COMPUTED_VALUE"""),1228)</f>
        <v>1228</v>
      </c>
      <c r="B304" s="5" t="str">
        <f ca="1">IFERROR(__xludf.DUMMYFUNCTION("""COMPUTED_VALUE"""),"Филяева")</f>
        <v>Филяева</v>
      </c>
      <c r="C304" s="5" t="str">
        <f ca="1">IFERROR(__xludf.DUMMYFUNCTION("""COMPUTED_VALUE"""),"Алёна")</f>
        <v>Алёна</v>
      </c>
      <c r="D304" s="5" t="str">
        <f ca="1">IFERROR(__xludf.DUMMYFUNCTION("""COMPUTED_VALUE"""),"Владимировна")</f>
        <v>Владимировна</v>
      </c>
      <c r="E304" s="5" t="str">
        <f ca="1">IFERROR(__xludf.DUMMYFUNCTION("""COMPUTED_VALUE"""),"Команда №3715")</f>
        <v>Команда №3715</v>
      </c>
      <c r="F304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04" s="7">
        <f ca="1">IFERROR(__xludf.DUMMYFUNCTION("""COMPUTED_VALUE"""),95)</f>
        <v>95</v>
      </c>
    </row>
    <row r="305" spans="1:7" ht="26.4" x14ac:dyDescent="0.25">
      <c r="A305" s="5">
        <f ca="1">IFERROR(__xludf.DUMMYFUNCTION("""COMPUTED_VALUE"""),1349)</f>
        <v>1349</v>
      </c>
      <c r="B305" s="5" t="str">
        <f ca="1">IFERROR(__xludf.DUMMYFUNCTION("""COMPUTED_VALUE"""),"Шульгина")</f>
        <v>Шульгина</v>
      </c>
      <c r="C305" s="5" t="str">
        <f ca="1">IFERROR(__xludf.DUMMYFUNCTION("""COMPUTED_VALUE"""),"Ирина")</f>
        <v>Ирина</v>
      </c>
      <c r="D305" s="5" t="str">
        <f ca="1">IFERROR(__xludf.DUMMYFUNCTION("""COMPUTED_VALUE"""),"Алексеевна")</f>
        <v>Алексеевна</v>
      </c>
      <c r="E305" s="5" t="str">
        <f ca="1">IFERROR(__xludf.DUMMYFUNCTION("""COMPUTED_VALUE"""),"Команда №3715")</f>
        <v>Команда №3715</v>
      </c>
      <c r="F305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05" s="7">
        <f ca="1">IFERROR(__xludf.DUMMYFUNCTION("""COMPUTED_VALUE"""),95)</f>
        <v>95</v>
      </c>
    </row>
    <row r="306" spans="1:7" ht="26.4" x14ac:dyDescent="0.25">
      <c r="A306" s="5">
        <f ca="1">IFERROR(__xludf.DUMMYFUNCTION("""COMPUTED_VALUE"""),104)</f>
        <v>104</v>
      </c>
      <c r="B306" s="5" t="str">
        <f ca="1">IFERROR(__xludf.DUMMYFUNCTION("""COMPUTED_VALUE"""),"Безбородов")</f>
        <v>Безбородов</v>
      </c>
      <c r="C306" s="5" t="str">
        <f ca="1">IFERROR(__xludf.DUMMYFUNCTION("""COMPUTED_VALUE"""),"Евгений")</f>
        <v>Евгений</v>
      </c>
      <c r="D306" s="5" t="str">
        <f ca="1">IFERROR(__xludf.DUMMYFUNCTION("""COMPUTED_VALUE"""),"Сергеевич")</f>
        <v>Сергеевич</v>
      </c>
      <c r="E306" s="5" t="str">
        <f ca="1">IFERROR(__xludf.DUMMYFUNCTION("""COMPUTED_VALUE"""),"Команда №3716")</f>
        <v>Команда №3716</v>
      </c>
      <c r="F306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06" s="7">
        <f ca="1">IFERROR(__xludf.DUMMYFUNCTION("""COMPUTED_VALUE"""),98)</f>
        <v>98</v>
      </c>
    </row>
    <row r="307" spans="1:7" ht="26.4" x14ac:dyDescent="0.25">
      <c r="A307" s="5">
        <f ca="1">IFERROR(__xludf.DUMMYFUNCTION("""COMPUTED_VALUE"""),345)</f>
        <v>345</v>
      </c>
      <c r="B307" s="5" t="str">
        <f ca="1">IFERROR(__xludf.DUMMYFUNCTION("""COMPUTED_VALUE"""),"Дубров")</f>
        <v>Дубров</v>
      </c>
      <c r="C307" s="5" t="str">
        <f ca="1">IFERROR(__xludf.DUMMYFUNCTION("""COMPUTED_VALUE"""),"Сергей")</f>
        <v>Сергей</v>
      </c>
      <c r="D307" s="5" t="str">
        <f ca="1">IFERROR(__xludf.DUMMYFUNCTION("""COMPUTED_VALUE"""),"Александрович")</f>
        <v>Александрович</v>
      </c>
      <c r="E307" s="5" t="str">
        <f ca="1">IFERROR(__xludf.DUMMYFUNCTION("""COMPUTED_VALUE"""),"Команда №3716")</f>
        <v>Команда №3716</v>
      </c>
      <c r="F307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07" s="7">
        <f ca="1">IFERROR(__xludf.DUMMYFUNCTION("""COMPUTED_VALUE"""),98)</f>
        <v>98</v>
      </c>
    </row>
    <row r="308" spans="1:7" ht="26.4" x14ac:dyDescent="0.25">
      <c r="A308" s="5">
        <f ca="1">IFERROR(__xludf.DUMMYFUNCTION("""COMPUTED_VALUE"""),935)</f>
        <v>935</v>
      </c>
      <c r="B308" s="5" t="str">
        <f ca="1">IFERROR(__xludf.DUMMYFUNCTION("""COMPUTED_VALUE"""),"Плешивцев")</f>
        <v>Плешивцев</v>
      </c>
      <c r="C308" s="5" t="str">
        <f ca="1">IFERROR(__xludf.DUMMYFUNCTION("""COMPUTED_VALUE"""),"Денис")</f>
        <v>Денис</v>
      </c>
      <c r="D308" s="5" t="str">
        <f ca="1">IFERROR(__xludf.DUMMYFUNCTION("""COMPUTED_VALUE"""),"Владимирович")</f>
        <v>Владимирович</v>
      </c>
      <c r="E308" s="5" t="str">
        <f ca="1">IFERROR(__xludf.DUMMYFUNCTION("""COMPUTED_VALUE"""),"Команда №3716")</f>
        <v>Команда №3716</v>
      </c>
      <c r="F308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08" s="7">
        <f ca="1">IFERROR(__xludf.DUMMYFUNCTION("""COMPUTED_VALUE"""),98)</f>
        <v>98</v>
      </c>
    </row>
    <row r="309" spans="1:7" ht="26.4" x14ac:dyDescent="0.25">
      <c r="A309" s="5">
        <f ca="1">IFERROR(__xludf.DUMMYFUNCTION("""COMPUTED_VALUE"""),1121)</f>
        <v>1121</v>
      </c>
      <c r="B309" s="5" t="str">
        <f ca="1">IFERROR(__xludf.DUMMYFUNCTION("""COMPUTED_VALUE"""),"Стратюк")</f>
        <v>Стратюк</v>
      </c>
      <c r="C309" s="5" t="str">
        <f ca="1">IFERROR(__xludf.DUMMYFUNCTION("""COMPUTED_VALUE"""),"Лада")</f>
        <v>Лада</v>
      </c>
      <c r="D309" s="5" t="str">
        <f ca="1">IFERROR(__xludf.DUMMYFUNCTION("""COMPUTED_VALUE"""),"Александровна")</f>
        <v>Александровна</v>
      </c>
      <c r="E309" s="5" t="str">
        <f ca="1">IFERROR(__xludf.DUMMYFUNCTION("""COMPUTED_VALUE"""),"Команда №3716")</f>
        <v>Команда №3716</v>
      </c>
      <c r="F309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09" s="7">
        <f ca="1">IFERROR(__xludf.DUMMYFUNCTION("""COMPUTED_VALUE"""),98)</f>
        <v>98</v>
      </c>
    </row>
    <row r="310" spans="1:7" ht="26.4" x14ac:dyDescent="0.25">
      <c r="A310" s="5">
        <f ca="1">IFERROR(__xludf.DUMMYFUNCTION("""COMPUTED_VALUE"""),1164)</f>
        <v>1164</v>
      </c>
      <c r="B310" s="5" t="str">
        <f ca="1">IFERROR(__xludf.DUMMYFUNCTION("""COMPUTED_VALUE"""),"Толочко")</f>
        <v>Толочко</v>
      </c>
      <c r="C310" s="5" t="str">
        <f ca="1">IFERROR(__xludf.DUMMYFUNCTION("""COMPUTED_VALUE"""),"Дмитрий")</f>
        <v>Дмитрий</v>
      </c>
      <c r="D310" s="5" t="str">
        <f ca="1">IFERROR(__xludf.DUMMYFUNCTION("""COMPUTED_VALUE"""),"Александрович")</f>
        <v>Александрович</v>
      </c>
      <c r="E310" s="5" t="str">
        <f ca="1">IFERROR(__xludf.DUMMYFUNCTION("""COMPUTED_VALUE"""),"Команда №3716")</f>
        <v>Команда №3716</v>
      </c>
      <c r="F310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10" s="7">
        <f ca="1">IFERROR(__xludf.DUMMYFUNCTION("""COMPUTED_VALUE"""),98)</f>
        <v>98</v>
      </c>
    </row>
    <row r="311" spans="1:7" ht="26.4" x14ac:dyDescent="0.25">
      <c r="A311" s="5">
        <f ca="1">IFERROR(__xludf.DUMMYFUNCTION("""COMPUTED_VALUE"""),1344)</f>
        <v>1344</v>
      </c>
      <c r="B311" s="5" t="str">
        <f ca="1">IFERROR(__xludf.DUMMYFUNCTION("""COMPUTED_VALUE"""),"Шмелева")</f>
        <v>Шмелева</v>
      </c>
      <c r="C311" s="5" t="str">
        <f ca="1">IFERROR(__xludf.DUMMYFUNCTION("""COMPUTED_VALUE"""),"Елизавета")</f>
        <v>Елизавета</v>
      </c>
      <c r="D311" s="5" t="str">
        <f ca="1">IFERROR(__xludf.DUMMYFUNCTION("""COMPUTED_VALUE"""),"Сергеевна")</f>
        <v>Сергеевна</v>
      </c>
      <c r="E311" s="5" t="str">
        <f ca="1">IFERROR(__xludf.DUMMYFUNCTION("""COMPUTED_VALUE"""),"Команда №3716")</f>
        <v>Команда №3716</v>
      </c>
      <c r="F311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11" s="7">
        <f ca="1">IFERROR(__xludf.DUMMYFUNCTION("""COMPUTED_VALUE"""),98)</f>
        <v>98</v>
      </c>
    </row>
    <row r="312" spans="1:7" ht="26.4" x14ac:dyDescent="0.25">
      <c r="A312" s="5">
        <f ca="1">IFERROR(__xludf.DUMMYFUNCTION("""COMPUTED_VALUE"""),1377)</f>
        <v>1377</v>
      </c>
      <c r="B312" s="5" t="str">
        <f ca="1">IFERROR(__xludf.DUMMYFUNCTION("""COMPUTED_VALUE"""),"Яковленко")</f>
        <v>Яковленко</v>
      </c>
      <c r="C312" s="5" t="str">
        <f ca="1">IFERROR(__xludf.DUMMYFUNCTION("""COMPUTED_VALUE"""),"Владимир")</f>
        <v>Владимир</v>
      </c>
      <c r="D312" s="5" t="str">
        <f ca="1">IFERROR(__xludf.DUMMYFUNCTION("""COMPUTED_VALUE"""),"Александрович")</f>
        <v>Александрович</v>
      </c>
      <c r="E312" s="5" t="str">
        <f ca="1">IFERROR(__xludf.DUMMYFUNCTION("""COMPUTED_VALUE"""),"Команда №3716")</f>
        <v>Команда №3716</v>
      </c>
      <c r="F312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312" s="7">
        <f ca="1">IFERROR(__xludf.DUMMYFUNCTION("""COMPUTED_VALUE"""),98)</f>
        <v>98</v>
      </c>
    </row>
    <row r="313" spans="1:7" ht="26.4" x14ac:dyDescent="0.25">
      <c r="A313" s="5">
        <f ca="1">IFERROR(__xludf.DUMMYFUNCTION("""COMPUTED_VALUE"""),289)</f>
        <v>289</v>
      </c>
      <c r="B313" s="5" t="str">
        <f ca="1">IFERROR(__xludf.DUMMYFUNCTION("""COMPUTED_VALUE"""),"Грухин")</f>
        <v>Грухин</v>
      </c>
      <c r="C313" s="5" t="str">
        <f ca="1">IFERROR(__xludf.DUMMYFUNCTION("""COMPUTED_VALUE"""),"Константин")</f>
        <v>Константин</v>
      </c>
      <c r="D313" s="5" t="str">
        <f ca="1">IFERROR(__xludf.DUMMYFUNCTION("""COMPUTED_VALUE"""),"Артемович")</f>
        <v>Артемович</v>
      </c>
      <c r="E313" s="5" t="str">
        <f ca="1">IFERROR(__xludf.DUMMYFUNCTION("""COMPUTED_VALUE"""),"Команда №3718")</f>
        <v>Команда №3718</v>
      </c>
      <c r="F313" s="6" t="str">
        <f ca="1">IFERROR(__xludf.DUMMYFUNCTION("""COMPUTED_VALUE"""),"Создание онлайн платформы для 3D-дизайнеров")</f>
        <v>Создание онлайн платформы для 3D-дизайнеров</v>
      </c>
      <c r="G313" s="7">
        <f ca="1">IFERROR(__xludf.DUMMYFUNCTION("""COMPUTED_VALUE"""),100)</f>
        <v>100</v>
      </c>
    </row>
    <row r="314" spans="1:7" ht="26.4" x14ac:dyDescent="0.25">
      <c r="A314" s="5">
        <f ca="1">IFERROR(__xludf.DUMMYFUNCTION("""COMPUTED_VALUE"""),389)</f>
        <v>389</v>
      </c>
      <c r="B314" s="5" t="str">
        <f ca="1">IFERROR(__xludf.DUMMYFUNCTION("""COMPUTED_VALUE"""),"Жернаков")</f>
        <v>Жернаков</v>
      </c>
      <c r="C314" s="5" t="str">
        <f ca="1">IFERROR(__xludf.DUMMYFUNCTION("""COMPUTED_VALUE"""),"Михаил")</f>
        <v>Михаил</v>
      </c>
      <c r="D314" s="5" t="str">
        <f ca="1">IFERROR(__xludf.DUMMYFUNCTION("""COMPUTED_VALUE"""),"Анатольевич")</f>
        <v>Анатольевич</v>
      </c>
      <c r="E314" s="5" t="str">
        <f ca="1">IFERROR(__xludf.DUMMYFUNCTION("""COMPUTED_VALUE"""),"Команда №3718")</f>
        <v>Команда №3718</v>
      </c>
      <c r="F314" s="6" t="str">
        <f ca="1">IFERROR(__xludf.DUMMYFUNCTION("""COMPUTED_VALUE"""),"Создание онлайн платформы для 3D-дизайнеров")</f>
        <v>Создание онлайн платформы для 3D-дизайнеров</v>
      </c>
      <c r="G314" s="7">
        <f ca="1">IFERROR(__xludf.DUMMYFUNCTION("""COMPUTED_VALUE"""),100)</f>
        <v>100</v>
      </c>
    </row>
    <row r="315" spans="1:7" ht="26.4" x14ac:dyDescent="0.25">
      <c r="A315" s="5">
        <f ca="1">IFERROR(__xludf.DUMMYFUNCTION("""COMPUTED_VALUE"""),657)</f>
        <v>657</v>
      </c>
      <c r="B315" s="5" t="str">
        <f ca="1">IFERROR(__xludf.DUMMYFUNCTION("""COMPUTED_VALUE"""),"Ланских")</f>
        <v>Ланских</v>
      </c>
      <c r="C315" s="5" t="str">
        <f ca="1">IFERROR(__xludf.DUMMYFUNCTION("""COMPUTED_VALUE"""),"Михаил")</f>
        <v>Михаил</v>
      </c>
      <c r="D315" s="5" t="str">
        <f ca="1">IFERROR(__xludf.DUMMYFUNCTION("""COMPUTED_VALUE"""),"Игоревич")</f>
        <v>Игоревич</v>
      </c>
      <c r="E315" s="5" t="str">
        <f ca="1">IFERROR(__xludf.DUMMYFUNCTION("""COMPUTED_VALUE"""),"Команда №3718")</f>
        <v>Команда №3718</v>
      </c>
      <c r="F315" s="6" t="str">
        <f ca="1">IFERROR(__xludf.DUMMYFUNCTION("""COMPUTED_VALUE"""),"Создание онлайн платформы для 3D-дизайнеров")</f>
        <v>Создание онлайн платформы для 3D-дизайнеров</v>
      </c>
      <c r="G315" s="7">
        <f ca="1">IFERROR(__xludf.DUMMYFUNCTION("""COMPUTED_VALUE"""),100)</f>
        <v>100</v>
      </c>
    </row>
    <row r="316" spans="1:7" ht="26.4" x14ac:dyDescent="0.25">
      <c r="A316" s="5">
        <f ca="1">IFERROR(__xludf.DUMMYFUNCTION("""COMPUTED_VALUE"""),948)</f>
        <v>948</v>
      </c>
      <c r="B316" s="5" t="str">
        <f ca="1">IFERROR(__xludf.DUMMYFUNCTION("""COMPUTED_VALUE"""),"Попков")</f>
        <v>Попков</v>
      </c>
      <c r="C316" s="5" t="str">
        <f ca="1">IFERROR(__xludf.DUMMYFUNCTION("""COMPUTED_VALUE"""),"Вячеслав")</f>
        <v>Вячеслав</v>
      </c>
      <c r="D316" s="5" t="str">
        <f ca="1">IFERROR(__xludf.DUMMYFUNCTION("""COMPUTED_VALUE"""),"Андреевич")</f>
        <v>Андреевич</v>
      </c>
      <c r="E316" s="5" t="str">
        <f ca="1">IFERROR(__xludf.DUMMYFUNCTION("""COMPUTED_VALUE"""),"Команда №3718")</f>
        <v>Команда №3718</v>
      </c>
      <c r="F316" s="6" t="str">
        <f ca="1">IFERROR(__xludf.DUMMYFUNCTION("""COMPUTED_VALUE"""),"Создание онлайн платформы для 3D-дизайнеров")</f>
        <v>Создание онлайн платформы для 3D-дизайнеров</v>
      </c>
      <c r="G316" s="7">
        <f ca="1">IFERROR(__xludf.DUMMYFUNCTION("""COMPUTED_VALUE"""),100)</f>
        <v>100</v>
      </c>
    </row>
    <row r="317" spans="1:7" ht="26.4" x14ac:dyDescent="0.25">
      <c r="A317" s="5">
        <f ca="1">IFERROR(__xludf.DUMMYFUNCTION("""COMPUTED_VALUE"""),1365)</f>
        <v>1365</v>
      </c>
      <c r="B317" s="5" t="str">
        <f ca="1">IFERROR(__xludf.DUMMYFUNCTION("""COMPUTED_VALUE"""),"Юрин")</f>
        <v>Юрин</v>
      </c>
      <c r="C317" s="5" t="str">
        <f ca="1">IFERROR(__xludf.DUMMYFUNCTION("""COMPUTED_VALUE"""),"Олег")</f>
        <v>Олег</v>
      </c>
      <c r="D317" s="5" t="str">
        <f ca="1">IFERROR(__xludf.DUMMYFUNCTION("""COMPUTED_VALUE"""),"Алексеевич")</f>
        <v>Алексеевич</v>
      </c>
      <c r="E317" s="5" t="str">
        <f ca="1">IFERROR(__xludf.DUMMYFUNCTION("""COMPUTED_VALUE"""),"Команда №3718")</f>
        <v>Команда №3718</v>
      </c>
      <c r="F317" s="6" t="str">
        <f ca="1">IFERROR(__xludf.DUMMYFUNCTION("""COMPUTED_VALUE"""),"Создание онлайн платформы для 3D-дизайнеров")</f>
        <v>Создание онлайн платформы для 3D-дизайнеров</v>
      </c>
      <c r="G317" s="7">
        <f ca="1">IFERROR(__xludf.DUMMYFUNCTION("""COMPUTED_VALUE"""),100)</f>
        <v>100</v>
      </c>
    </row>
    <row r="318" spans="1:7" ht="26.4" x14ac:dyDescent="0.25">
      <c r="A318" s="5">
        <f ca="1">IFERROR(__xludf.DUMMYFUNCTION("""COMPUTED_VALUE"""),269)</f>
        <v>269</v>
      </c>
      <c r="B318" s="5" t="str">
        <f ca="1">IFERROR(__xludf.DUMMYFUNCTION("""COMPUTED_VALUE"""),"Гордиенко")</f>
        <v>Гордиенко</v>
      </c>
      <c r="C318" s="5" t="str">
        <f ca="1">IFERROR(__xludf.DUMMYFUNCTION("""COMPUTED_VALUE"""),"Григорий")</f>
        <v>Григорий</v>
      </c>
      <c r="D318" s="5" t="str">
        <f ca="1">IFERROR(__xludf.DUMMYFUNCTION("""COMPUTED_VALUE"""),"Сергеевич")</f>
        <v>Сергеевич</v>
      </c>
      <c r="E318" s="5" t="str">
        <f ca="1">IFERROR(__xludf.DUMMYFUNCTION("""COMPUTED_VALUE"""),"Команда №3719")</f>
        <v>Команда №3719</v>
      </c>
      <c r="F318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318" s="7">
        <f ca="1">IFERROR(__xludf.DUMMYFUNCTION("""COMPUTED_VALUE"""),0)</f>
        <v>0</v>
      </c>
    </row>
    <row r="319" spans="1:7" ht="26.4" x14ac:dyDescent="0.25">
      <c r="A319" s="5">
        <f ca="1">IFERROR(__xludf.DUMMYFUNCTION("""COMPUTED_VALUE"""),427)</f>
        <v>427</v>
      </c>
      <c r="B319" s="5" t="str">
        <f ca="1">IFERROR(__xludf.DUMMYFUNCTION("""COMPUTED_VALUE"""),"Зверев")</f>
        <v>Зверев</v>
      </c>
      <c r="C319" s="5" t="str">
        <f ca="1">IFERROR(__xludf.DUMMYFUNCTION("""COMPUTED_VALUE"""),"Данила")</f>
        <v>Данила</v>
      </c>
      <c r="D319" s="5" t="str">
        <f ca="1">IFERROR(__xludf.DUMMYFUNCTION("""COMPUTED_VALUE"""),"Эдуардович")</f>
        <v>Эдуардович</v>
      </c>
      <c r="E319" s="5" t="str">
        <f ca="1">IFERROR(__xludf.DUMMYFUNCTION("""COMPUTED_VALUE"""),"Команда №3719")</f>
        <v>Команда №3719</v>
      </c>
      <c r="F319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319" s="7">
        <f ca="1">IFERROR(__xludf.DUMMYFUNCTION("""COMPUTED_VALUE"""),0)</f>
        <v>0</v>
      </c>
    </row>
    <row r="320" spans="1:7" ht="26.4" x14ac:dyDescent="0.25">
      <c r="A320" s="5">
        <f ca="1">IFERROR(__xludf.DUMMYFUNCTION("""COMPUTED_VALUE"""),434)</f>
        <v>434</v>
      </c>
      <c r="B320" s="5" t="str">
        <f ca="1">IFERROR(__xludf.DUMMYFUNCTION("""COMPUTED_VALUE"""),"Зинченко")</f>
        <v>Зинченко</v>
      </c>
      <c r="C320" s="5" t="str">
        <f ca="1">IFERROR(__xludf.DUMMYFUNCTION("""COMPUTED_VALUE"""),"Александр")</f>
        <v>Александр</v>
      </c>
      <c r="D320" s="5" t="str">
        <f ca="1">IFERROR(__xludf.DUMMYFUNCTION("""COMPUTED_VALUE"""),"Иванович")</f>
        <v>Иванович</v>
      </c>
      <c r="E320" s="5" t="str">
        <f ca="1">IFERROR(__xludf.DUMMYFUNCTION("""COMPUTED_VALUE"""),"Команда №3719")</f>
        <v>Команда №3719</v>
      </c>
      <c r="F320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320" s="7">
        <f ca="1">IFERROR(__xludf.DUMMYFUNCTION("""COMPUTED_VALUE"""),0)</f>
        <v>0</v>
      </c>
    </row>
    <row r="321" spans="1:7" ht="26.4" x14ac:dyDescent="0.25">
      <c r="A321" s="5">
        <f ca="1">IFERROR(__xludf.DUMMYFUNCTION("""COMPUTED_VALUE"""),100)</f>
        <v>100</v>
      </c>
      <c r="B321" s="5" t="str">
        <f ca="1">IFERROR(__xludf.DUMMYFUNCTION("""COMPUTED_VALUE"""),"Башков")</f>
        <v>Башков</v>
      </c>
      <c r="C321" s="5" t="str">
        <f ca="1">IFERROR(__xludf.DUMMYFUNCTION("""COMPUTED_VALUE"""),"Данил")</f>
        <v>Данил</v>
      </c>
      <c r="D321" s="5" t="str">
        <f ca="1">IFERROR(__xludf.DUMMYFUNCTION("""COMPUTED_VALUE"""),"Андреевич")</f>
        <v>Андреевич</v>
      </c>
      <c r="E321" s="5" t="str">
        <f ca="1">IFERROR(__xludf.DUMMYFUNCTION("""COMPUTED_VALUE"""),"Команда №3720")</f>
        <v>Команда №3720</v>
      </c>
      <c r="F321" s="6" t="str">
        <f ca="1">IFERROR(__xludf.DUMMYFUNCTION("""COMPUTED_VALUE"""),"Ярус. Разработка модуля планирования задач для сотрудников")</f>
        <v>Ярус. Разработка модуля планирования задач для сотрудников</v>
      </c>
      <c r="G321" s="7">
        <f ca="1">IFERROR(__xludf.DUMMYFUNCTION("""COMPUTED_VALUE"""),92)</f>
        <v>92</v>
      </c>
    </row>
    <row r="322" spans="1:7" ht="26.4" x14ac:dyDescent="0.25">
      <c r="A322" s="5">
        <f ca="1">IFERROR(__xludf.DUMMYFUNCTION("""COMPUTED_VALUE"""),889)</f>
        <v>889</v>
      </c>
      <c r="B322" s="5" t="str">
        <f ca="1">IFERROR(__xludf.DUMMYFUNCTION("""COMPUTED_VALUE"""),"Осипова")</f>
        <v>Осипова</v>
      </c>
      <c r="C322" s="5" t="str">
        <f ca="1">IFERROR(__xludf.DUMMYFUNCTION("""COMPUTED_VALUE"""),"Елизавета")</f>
        <v>Елизавета</v>
      </c>
      <c r="D322" s="5" t="str">
        <f ca="1">IFERROR(__xludf.DUMMYFUNCTION("""COMPUTED_VALUE"""),"Сергеевна")</f>
        <v>Сергеевна</v>
      </c>
      <c r="E322" s="5" t="str">
        <f ca="1">IFERROR(__xludf.DUMMYFUNCTION("""COMPUTED_VALUE"""),"Команда №3720")</f>
        <v>Команда №3720</v>
      </c>
      <c r="F322" s="6" t="str">
        <f ca="1">IFERROR(__xludf.DUMMYFUNCTION("""COMPUTED_VALUE"""),"Ярус. Разработка модуля планирования задач для сотрудников")</f>
        <v>Ярус. Разработка модуля планирования задач для сотрудников</v>
      </c>
      <c r="G322" s="7">
        <f ca="1">IFERROR(__xludf.DUMMYFUNCTION("""COMPUTED_VALUE"""),92)</f>
        <v>92</v>
      </c>
    </row>
    <row r="323" spans="1:7" ht="26.4" x14ac:dyDescent="0.25">
      <c r="A323" s="5">
        <f ca="1">IFERROR(__xludf.DUMMYFUNCTION("""COMPUTED_VALUE"""),1085)</f>
        <v>1085</v>
      </c>
      <c r="B323" s="5" t="str">
        <f ca="1">IFERROR(__xludf.DUMMYFUNCTION("""COMPUTED_VALUE"""),"Смирнова")</f>
        <v>Смирнова</v>
      </c>
      <c r="C323" s="5" t="str">
        <f ca="1">IFERROR(__xludf.DUMMYFUNCTION("""COMPUTED_VALUE"""),"Елизавета")</f>
        <v>Елизавета</v>
      </c>
      <c r="D323" s="5" t="str">
        <f ca="1">IFERROR(__xludf.DUMMYFUNCTION("""COMPUTED_VALUE"""),"Вячеславовна")</f>
        <v>Вячеславовна</v>
      </c>
      <c r="E323" s="5" t="str">
        <f ca="1">IFERROR(__xludf.DUMMYFUNCTION("""COMPUTED_VALUE"""),"Команда №3720")</f>
        <v>Команда №3720</v>
      </c>
      <c r="F323" s="6" t="str">
        <f ca="1">IFERROR(__xludf.DUMMYFUNCTION("""COMPUTED_VALUE"""),"Ярус. Разработка модуля планирования задач для сотрудников")</f>
        <v>Ярус. Разработка модуля планирования задач для сотрудников</v>
      </c>
      <c r="G323" s="7">
        <f ca="1">IFERROR(__xludf.DUMMYFUNCTION("""COMPUTED_VALUE"""),92)</f>
        <v>92</v>
      </c>
    </row>
    <row r="324" spans="1:7" ht="26.4" x14ac:dyDescent="0.25">
      <c r="A324" s="5">
        <f ca="1">IFERROR(__xludf.DUMMYFUNCTION("""COMPUTED_VALUE"""),1110)</f>
        <v>1110</v>
      </c>
      <c r="B324" s="5" t="str">
        <f ca="1">IFERROR(__xludf.DUMMYFUNCTION("""COMPUTED_VALUE"""),"Сотников")</f>
        <v>Сотников</v>
      </c>
      <c r="C324" s="5" t="str">
        <f ca="1">IFERROR(__xludf.DUMMYFUNCTION("""COMPUTED_VALUE"""),"Илья")</f>
        <v>Илья</v>
      </c>
      <c r="D324" s="5" t="str">
        <f ca="1">IFERROR(__xludf.DUMMYFUNCTION("""COMPUTED_VALUE"""),"Александрович")</f>
        <v>Александрович</v>
      </c>
      <c r="E324" s="5" t="str">
        <f ca="1">IFERROR(__xludf.DUMMYFUNCTION("""COMPUTED_VALUE"""),"Команда №3720")</f>
        <v>Команда №3720</v>
      </c>
      <c r="F324" s="6" t="str">
        <f ca="1">IFERROR(__xludf.DUMMYFUNCTION("""COMPUTED_VALUE"""),"Ярус. Разработка модуля планирования задач для сотрудников")</f>
        <v>Ярус. Разработка модуля планирования задач для сотрудников</v>
      </c>
      <c r="G324" s="7">
        <f ca="1">IFERROR(__xludf.DUMMYFUNCTION("""COMPUTED_VALUE"""),92)</f>
        <v>92</v>
      </c>
    </row>
    <row r="325" spans="1:7" ht="26.4" x14ac:dyDescent="0.25">
      <c r="A325" s="5">
        <f ca="1">IFERROR(__xludf.DUMMYFUNCTION("""COMPUTED_VALUE"""),1330)</f>
        <v>1330</v>
      </c>
      <c r="B325" s="5" t="str">
        <f ca="1">IFERROR(__xludf.DUMMYFUNCTION("""COMPUTED_VALUE"""),"Шинкарев")</f>
        <v>Шинкарев</v>
      </c>
      <c r="C325" s="5" t="str">
        <f ca="1">IFERROR(__xludf.DUMMYFUNCTION("""COMPUTED_VALUE"""),"Евгений")</f>
        <v>Евгений</v>
      </c>
      <c r="D325" s="5" t="str">
        <f ca="1">IFERROR(__xludf.DUMMYFUNCTION("""COMPUTED_VALUE"""),"Геннадьевич")</f>
        <v>Геннадьевич</v>
      </c>
      <c r="E325" s="5" t="str">
        <f ca="1">IFERROR(__xludf.DUMMYFUNCTION("""COMPUTED_VALUE"""),"Команда №3720")</f>
        <v>Команда №3720</v>
      </c>
      <c r="F325" s="6" t="str">
        <f ca="1">IFERROR(__xludf.DUMMYFUNCTION("""COMPUTED_VALUE"""),"Ярус. Разработка модуля планирования задач для сотрудников")</f>
        <v>Ярус. Разработка модуля планирования задач для сотрудников</v>
      </c>
      <c r="G325" s="7">
        <f ca="1">IFERROR(__xludf.DUMMYFUNCTION("""COMPUTED_VALUE"""),92)</f>
        <v>92</v>
      </c>
    </row>
    <row r="326" spans="1:7" ht="26.4" x14ac:dyDescent="0.25">
      <c r="A326" s="5">
        <f ca="1">IFERROR(__xludf.DUMMYFUNCTION("""COMPUTED_VALUE"""),412)</f>
        <v>412</v>
      </c>
      <c r="B326" s="5" t="str">
        <f ca="1">IFERROR(__xludf.DUMMYFUNCTION("""COMPUTED_VALUE"""),"Зайцев")</f>
        <v>Зайцев</v>
      </c>
      <c r="C326" s="5" t="str">
        <f ca="1">IFERROR(__xludf.DUMMYFUNCTION("""COMPUTED_VALUE"""),"Никита")</f>
        <v>Никита</v>
      </c>
      <c r="D326" s="5" t="str">
        <f ca="1">IFERROR(__xludf.DUMMYFUNCTION("""COMPUTED_VALUE"""),"Александрович")</f>
        <v>Александрович</v>
      </c>
      <c r="E326" s="5" t="str">
        <f ca="1">IFERROR(__xludf.DUMMYFUNCTION("""COMPUTED_VALUE"""),"Команда №3721")</f>
        <v>Команда №3721</v>
      </c>
      <c r="F326" s="6" t="str">
        <f ca="1">IFERROR(__xludf.DUMMYFUNCTION("""COMPUTED_VALUE"""),"Разработка аутсорс-платформы для осваивающих новую профессию")</f>
        <v>Разработка аутсорс-платформы для осваивающих новую профессию</v>
      </c>
      <c r="G326" s="7">
        <f ca="1">IFERROR(__xludf.DUMMYFUNCTION("""COMPUTED_VALUE"""),95)</f>
        <v>95</v>
      </c>
    </row>
    <row r="327" spans="1:7" ht="26.4" x14ac:dyDescent="0.25">
      <c r="A327" s="5">
        <f ca="1">IFERROR(__xludf.DUMMYFUNCTION("""COMPUTED_VALUE"""),806)</f>
        <v>806</v>
      </c>
      <c r="B327" s="5" t="str">
        <f ca="1">IFERROR(__xludf.DUMMYFUNCTION("""COMPUTED_VALUE"""),"Мухутдинова")</f>
        <v>Мухутдинова</v>
      </c>
      <c r="C327" s="5" t="str">
        <f ca="1">IFERROR(__xludf.DUMMYFUNCTION("""COMPUTED_VALUE"""),"Софья")</f>
        <v>Софья</v>
      </c>
      <c r="D327" s="5" t="str">
        <f ca="1">IFERROR(__xludf.DUMMYFUNCTION("""COMPUTED_VALUE"""),"Андреевна")</f>
        <v>Андреевна</v>
      </c>
      <c r="E327" s="5" t="str">
        <f ca="1">IFERROR(__xludf.DUMMYFUNCTION("""COMPUTED_VALUE"""),"Команда №3721")</f>
        <v>Команда №3721</v>
      </c>
      <c r="F327" s="6" t="str">
        <f ca="1">IFERROR(__xludf.DUMMYFUNCTION("""COMPUTED_VALUE"""),"Разработка аутсорс-платформы для осваивающих новую профессию")</f>
        <v>Разработка аутсорс-платформы для осваивающих новую профессию</v>
      </c>
      <c r="G327" s="7">
        <f ca="1">IFERROR(__xludf.DUMMYFUNCTION("""COMPUTED_VALUE"""),95)</f>
        <v>95</v>
      </c>
    </row>
    <row r="328" spans="1:7" ht="26.4" x14ac:dyDescent="0.25">
      <c r="A328" s="5">
        <f ca="1">IFERROR(__xludf.DUMMYFUNCTION("""COMPUTED_VALUE"""),882)</f>
        <v>882</v>
      </c>
      <c r="B328" s="5" t="str">
        <f ca="1">IFERROR(__xludf.DUMMYFUNCTION("""COMPUTED_VALUE"""),"Омельяненко")</f>
        <v>Омельяненко</v>
      </c>
      <c r="C328" s="5" t="str">
        <f ca="1">IFERROR(__xludf.DUMMYFUNCTION("""COMPUTED_VALUE"""),"Степан")</f>
        <v>Степан</v>
      </c>
      <c r="D328" s="5" t="str">
        <f ca="1">IFERROR(__xludf.DUMMYFUNCTION("""COMPUTED_VALUE"""),"Евгеньевич")</f>
        <v>Евгеньевич</v>
      </c>
      <c r="E328" s="5" t="str">
        <f ca="1">IFERROR(__xludf.DUMMYFUNCTION("""COMPUTED_VALUE"""),"Команда №3721")</f>
        <v>Команда №3721</v>
      </c>
      <c r="F328" s="6" t="str">
        <f ca="1">IFERROR(__xludf.DUMMYFUNCTION("""COMPUTED_VALUE"""),"Разработка аутсорс-платформы для осваивающих новую профессию")</f>
        <v>Разработка аутсорс-платформы для осваивающих новую профессию</v>
      </c>
      <c r="G328" s="7">
        <f ca="1">IFERROR(__xludf.DUMMYFUNCTION("""COMPUTED_VALUE"""),95)</f>
        <v>95</v>
      </c>
    </row>
    <row r="329" spans="1:7" ht="26.4" x14ac:dyDescent="0.25">
      <c r="A329" s="5">
        <f ca="1">IFERROR(__xludf.DUMMYFUNCTION("""COMPUTED_VALUE"""),1146)</f>
        <v>1146</v>
      </c>
      <c r="B329" s="5" t="str">
        <f ca="1">IFERROR(__xludf.DUMMYFUNCTION("""COMPUTED_VALUE"""),"Теплинский")</f>
        <v>Теплинский</v>
      </c>
      <c r="C329" s="5" t="str">
        <f ca="1">IFERROR(__xludf.DUMMYFUNCTION("""COMPUTED_VALUE"""),"Артём")</f>
        <v>Артём</v>
      </c>
      <c r="D329" s="5" t="str">
        <f ca="1">IFERROR(__xludf.DUMMYFUNCTION("""COMPUTED_VALUE"""),"Алексеевич")</f>
        <v>Алексеевич</v>
      </c>
      <c r="E329" s="5" t="str">
        <f ca="1">IFERROR(__xludf.DUMMYFUNCTION("""COMPUTED_VALUE"""),"Команда №3721")</f>
        <v>Команда №3721</v>
      </c>
      <c r="F329" s="6" t="str">
        <f ca="1">IFERROR(__xludf.DUMMYFUNCTION("""COMPUTED_VALUE"""),"Разработка аутсорс-платформы для осваивающих новую профессию")</f>
        <v>Разработка аутсорс-платформы для осваивающих новую профессию</v>
      </c>
      <c r="G329" s="7">
        <f ca="1">IFERROR(__xludf.DUMMYFUNCTION("""COMPUTED_VALUE"""),95)</f>
        <v>95</v>
      </c>
    </row>
    <row r="330" spans="1:7" ht="26.4" x14ac:dyDescent="0.25">
      <c r="A330" s="5">
        <f ca="1">IFERROR(__xludf.DUMMYFUNCTION("""COMPUTED_VALUE"""),1333)</f>
        <v>1333</v>
      </c>
      <c r="B330" s="5" t="str">
        <f ca="1">IFERROR(__xludf.DUMMYFUNCTION("""COMPUTED_VALUE"""),"Ширяева")</f>
        <v>Ширяева</v>
      </c>
      <c r="C330" s="5" t="str">
        <f ca="1">IFERROR(__xludf.DUMMYFUNCTION("""COMPUTED_VALUE"""),"Елена")</f>
        <v>Елена</v>
      </c>
      <c r="D330" s="5" t="str">
        <f ca="1">IFERROR(__xludf.DUMMYFUNCTION("""COMPUTED_VALUE"""),"Викторовна")</f>
        <v>Викторовна</v>
      </c>
      <c r="E330" s="5" t="str">
        <f ca="1">IFERROR(__xludf.DUMMYFUNCTION("""COMPUTED_VALUE"""),"Команда №3721")</f>
        <v>Команда №3721</v>
      </c>
      <c r="F330" s="6" t="str">
        <f ca="1">IFERROR(__xludf.DUMMYFUNCTION("""COMPUTED_VALUE"""),"Разработка аутсорс-платформы для осваивающих новую профессию")</f>
        <v>Разработка аутсорс-платформы для осваивающих новую профессию</v>
      </c>
      <c r="G330" s="7">
        <f ca="1">IFERROR(__xludf.DUMMYFUNCTION("""COMPUTED_VALUE"""),95)</f>
        <v>95</v>
      </c>
    </row>
    <row r="331" spans="1:7" ht="26.4" x14ac:dyDescent="0.25">
      <c r="A331" s="5">
        <f ca="1">IFERROR(__xludf.DUMMYFUNCTION("""COMPUTED_VALUE"""),75)</f>
        <v>75</v>
      </c>
      <c r="B331" s="5" t="str">
        <f ca="1">IFERROR(__xludf.DUMMYFUNCTION("""COMPUTED_VALUE"""),"Бабинцев")</f>
        <v>Бабинцев</v>
      </c>
      <c r="C331" s="5" t="str">
        <f ca="1">IFERROR(__xludf.DUMMYFUNCTION("""COMPUTED_VALUE"""),"Григорий")</f>
        <v>Григорий</v>
      </c>
      <c r="D331" s="5" t="str">
        <f ca="1">IFERROR(__xludf.DUMMYFUNCTION("""COMPUTED_VALUE"""),"Валерьевич")</f>
        <v>Валерьевич</v>
      </c>
      <c r="E331" s="5" t="str">
        <f ca="1">IFERROR(__xludf.DUMMYFUNCTION("""COMPUTED_VALUE"""),"Команда №3723")</f>
        <v>Команда №3723</v>
      </c>
      <c r="F331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331" s="7">
        <f ca="1">IFERROR(__xludf.DUMMYFUNCTION("""COMPUTED_VALUE"""),100)</f>
        <v>100</v>
      </c>
    </row>
    <row r="332" spans="1:7" ht="26.4" x14ac:dyDescent="0.25">
      <c r="A332" s="5">
        <f ca="1">IFERROR(__xludf.DUMMYFUNCTION("""COMPUTED_VALUE"""),271)</f>
        <v>271</v>
      </c>
      <c r="B332" s="5" t="str">
        <f ca="1">IFERROR(__xludf.DUMMYFUNCTION("""COMPUTED_VALUE"""),"Горемыкин")</f>
        <v>Горемыкин</v>
      </c>
      <c r="C332" s="5" t="str">
        <f ca="1">IFERROR(__xludf.DUMMYFUNCTION("""COMPUTED_VALUE"""),"Алексей")</f>
        <v>Алексей</v>
      </c>
      <c r="D332" s="5" t="str">
        <f ca="1">IFERROR(__xludf.DUMMYFUNCTION("""COMPUTED_VALUE"""),"Сергеевич")</f>
        <v>Сергеевич</v>
      </c>
      <c r="E332" s="5" t="str">
        <f ca="1">IFERROR(__xludf.DUMMYFUNCTION("""COMPUTED_VALUE"""),"Команда №3723")</f>
        <v>Команда №3723</v>
      </c>
      <c r="F332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332" s="7">
        <f ca="1">IFERROR(__xludf.DUMMYFUNCTION("""COMPUTED_VALUE"""),100)</f>
        <v>100</v>
      </c>
    </row>
    <row r="333" spans="1:7" ht="26.4" x14ac:dyDescent="0.25">
      <c r="A333" s="5">
        <f ca="1">IFERROR(__xludf.DUMMYFUNCTION("""COMPUTED_VALUE"""),869)</f>
        <v>869</v>
      </c>
      <c r="B333" s="5" t="str">
        <f ca="1">IFERROR(__xludf.DUMMYFUNCTION("""COMPUTED_VALUE"""),"Овечкин")</f>
        <v>Овечкин</v>
      </c>
      <c r="C333" s="5" t="str">
        <f ca="1">IFERROR(__xludf.DUMMYFUNCTION("""COMPUTED_VALUE"""),"Илья")</f>
        <v>Илья</v>
      </c>
      <c r="D333" s="5" t="str">
        <f ca="1">IFERROR(__xludf.DUMMYFUNCTION("""COMPUTED_VALUE"""),"Сергеевич")</f>
        <v>Сергеевич</v>
      </c>
      <c r="E333" s="5" t="str">
        <f ca="1">IFERROR(__xludf.DUMMYFUNCTION("""COMPUTED_VALUE"""),"Команда №3723")</f>
        <v>Команда №3723</v>
      </c>
      <c r="F333" s="6" t="str">
        <f ca="1">IFERROR(__xludf.DUMMYFUNCTION("""COMPUTED_VALUE"""),"Разработка Telegram-бота, интегрированного с Личным кабинетом партнёра УрФУ")</f>
        <v>Разработка Telegram-бота, интегрированного с Личным кабинетом партнёра УрФУ</v>
      </c>
      <c r="G333" s="7">
        <f ca="1">IFERROR(__xludf.DUMMYFUNCTION("""COMPUTED_VALUE"""),100)</f>
        <v>100</v>
      </c>
    </row>
    <row r="334" spans="1:7" ht="13.2" x14ac:dyDescent="0.25">
      <c r="A334" s="5">
        <f ca="1">IFERROR(__xludf.DUMMYFUNCTION("""COMPUTED_VALUE"""),485)</f>
        <v>485</v>
      </c>
      <c r="B334" s="5" t="str">
        <f ca="1">IFERROR(__xludf.DUMMYFUNCTION("""COMPUTED_VALUE"""),"Калентьев")</f>
        <v>Калентьев</v>
      </c>
      <c r="C334" s="5" t="str">
        <f ca="1">IFERROR(__xludf.DUMMYFUNCTION("""COMPUTED_VALUE"""),"Илья")</f>
        <v>Илья</v>
      </c>
      <c r="D334" s="5" t="str">
        <f ca="1">IFERROR(__xludf.DUMMYFUNCTION("""COMPUTED_VALUE"""),"Юрьевич")</f>
        <v>Юрьевич</v>
      </c>
      <c r="E334" s="5" t="str">
        <f ca="1">IFERROR(__xludf.DUMMYFUNCTION("""COMPUTED_VALUE"""),"Команда №3724")</f>
        <v>Команда №3724</v>
      </c>
      <c r="F334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34" s="7">
        <f ca="1">IFERROR(__xludf.DUMMYFUNCTION("""COMPUTED_VALUE"""),84)</f>
        <v>84</v>
      </c>
    </row>
    <row r="335" spans="1:7" ht="13.2" x14ac:dyDescent="0.25">
      <c r="A335" s="5">
        <f ca="1">IFERROR(__xludf.DUMMYFUNCTION("""COMPUTED_VALUE"""),537)</f>
        <v>537</v>
      </c>
      <c r="B335" s="5" t="str">
        <f ca="1">IFERROR(__xludf.DUMMYFUNCTION("""COMPUTED_VALUE"""),"Ковтонюк")</f>
        <v>Ковтонюк</v>
      </c>
      <c r="C335" s="5" t="str">
        <f ca="1">IFERROR(__xludf.DUMMYFUNCTION("""COMPUTED_VALUE"""),"Полина")</f>
        <v>Полина</v>
      </c>
      <c r="D335" s="5" t="str">
        <f ca="1">IFERROR(__xludf.DUMMYFUNCTION("""COMPUTED_VALUE"""),"Ивановна")</f>
        <v>Ивановна</v>
      </c>
      <c r="E335" s="5" t="str">
        <f ca="1">IFERROR(__xludf.DUMMYFUNCTION("""COMPUTED_VALUE"""),"Команда №3724")</f>
        <v>Команда №3724</v>
      </c>
      <c r="F335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35" s="7">
        <f ca="1">IFERROR(__xludf.DUMMYFUNCTION("""COMPUTED_VALUE"""),84)</f>
        <v>84</v>
      </c>
    </row>
    <row r="336" spans="1:7" ht="13.2" x14ac:dyDescent="0.25">
      <c r="A336" s="5">
        <f ca="1">IFERROR(__xludf.DUMMYFUNCTION("""COMPUTED_VALUE"""),964)</f>
        <v>964</v>
      </c>
      <c r="B336" s="5" t="str">
        <f ca="1">IFERROR(__xludf.DUMMYFUNCTION("""COMPUTED_VALUE"""),"Просвирнин")</f>
        <v>Просвирнин</v>
      </c>
      <c r="C336" s="5" t="str">
        <f ca="1">IFERROR(__xludf.DUMMYFUNCTION("""COMPUTED_VALUE"""),"Михаил")</f>
        <v>Михаил</v>
      </c>
      <c r="D336" s="5" t="str">
        <f ca="1">IFERROR(__xludf.DUMMYFUNCTION("""COMPUTED_VALUE"""),"Николаевич")</f>
        <v>Николаевич</v>
      </c>
      <c r="E336" s="5" t="str">
        <f ca="1">IFERROR(__xludf.DUMMYFUNCTION("""COMPUTED_VALUE"""),"Команда №3724")</f>
        <v>Команда №3724</v>
      </c>
      <c r="F336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36" s="7">
        <f ca="1">IFERROR(__xludf.DUMMYFUNCTION("""COMPUTED_VALUE"""),84)</f>
        <v>84</v>
      </c>
    </row>
    <row r="337" spans="1:7" ht="13.2" x14ac:dyDescent="0.25">
      <c r="A337" s="5">
        <f ca="1">IFERROR(__xludf.DUMMYFUNCTION("""COMPUTED_VALUE"""),1120)</f>
        <v>1120</v>
      </c>
      <c r="B337" s="5" t="str">
        <f ca="1">IFERROR(__xludf.DUMMYFUNCTION("""COMPUTED_VALUE"""),"Столбов")</f>
        <v>Столбов</v>
      </c>
      <c r="C337" s="5" t="str">
        <f ca="1">IFERROR(__xludf.DUMMYFUNCTION("""COMPUTED_VALUE"""),"Антон")</f>
        <v>Антон</v>
      </c>
      <c r="D337" s="5" t="str">
        <f ca="1">IFERROR(__xludf.DUMMYFUNCTION("""COMPUTED_VALUE"""),"Александрович")</f>
        <v>Александрович</v>
      </c>
      <c r="E337" s="5" t="str">
        <f ca="1">IFERROR(__xludf.DUMMYFUNCTION("""COMPUTED_VALUE"""),"Команда №3724")</f>
        <v>Команда №3724</v>
      </c>
      <c r="F337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37" s="7">
        <f ca="1">IFERROR(__xludf.DUMMYFUNCTION("""COMPUTED_VALUE"""),84)</f>
        <v>84</v>
      </c>
    </row>
    <row r="338" spans="1:7" ht="13.2" x14ac:dyDescent="0.25">
      <c r="A338" s="5">
        <f ca="1">IFERROR(__xludf.DUMMYFUNCTION("""COMPUTED_VALUE"""),1343)</f>
        <v>1343</v>
      </c>
      <c r="B338" s="5" t="str">
        <f ca="1">IFERROR(__xludf.DUMMYFUNCTION("""COMPUTED_VALUE"""),"Шмаков")</f>
        <v>Шмаков</v>
      </c>
      <c r="C338" s="5" t="str">
        <f ca="1">IFERROR(__xludf.DUMMYFUNCTION("""COMPUTED_VALUE"""),"Данил")</f>
        <v>Данил</v>
      </c>
      <c r="D338" s="5" t="str">
        <f ca="1">IFERROR(__xludf.DUMMYFUNCTION("""COMPUTED_VALUE"""),"Юрьевич")</f>
        <v>Юрьевич</v>
      </c>
      <c r="E338" s="5" t="str">
        <f ca="1">IFERROR(__xludf.DUMMYFUNCTION("""COMPUTED_VALUE"""),"Команда №3724")</f>
        <v>Команда №3724</v>
      </c>
      <c r="F338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38" s="7">
        <f ca="1">IFERROR(__xludf.DUMMYFUNCTION("""COMPUTED_VALUE"""),84)</f>
        <v>84</v>
      </c>
    </row>
    <row r="339" spans="1:7" ht="39.6" x14ac:dyDescent="0.25">
      <c r="A339" s="5">
        <f ca="1">IFERROR(__xludf.DUMMYFUNCTION("""COMPUTED_VALUE"""),30)</f>
        <v>30</v>
      </c>
      <c r="B339" s="5" t="str">
        <f ca="1">IFERROR(__xludf.DUMMYFUNCTION("""COMPUTED_VALUE"""),"Алексеева")</f>
        <v>Алексеева</v>
      </c>
      <c r="C339" s="5" t="str">
        <f ca="1">IFERROR(__xludf.DUMMYFUNCTION("""COMPUTED_VALUE"""),"Марина")</f>
        <v>Марина</v>
      </c>
      <c r="D339" s="5" t="str">
        <f ca="1">IFERROR(__xludf.DUMMYFUNCTION("""COMPUTED_VALUE"""),"Геннадьевна")</f>
        <v>Геннадьевна</v>
      </c>
      <c r="E339" s="5" t="str">
        <f ca="1">IFERROR(__xludf.DUMMYFUNCTION("""COMPUTED_VALUE"""),"Команда №3725")</f>
        <v>Команда №3725</v>
      </c>
      <c r="F339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339" s="7">
        <f ca="1">IFERROR(__xludf.DUMMYFUNCTION("""COMPUTED_VALUE"""),85)</f>
        <v>85</v>
      </c>
    </row>
    <row r="340" spans="1:7" ht="39.6" x14ac:dyDescent="0.25">
      <c r="A340" s="5">
        <f ca="1">IFERROR(__xludf.DUMMYFUNCTION("""COMPUTED_VALUE"""),307)</f>
        <v>307</v>
      </c>
      <c r="B340" s="5" t="str">
        <f ca="1">IFERROR(__xludf.DUMMYFUNCTION("""COMPUTED_VALUE"""),"Дедюхина")</f>
        <v>Дедюхина</v>
      </c>
      <c r="C340" s="5" t="str">
        <f ca="1">IFERROR(__xludf.DUMMYFUNCTION("""COMPUTED_VALUE"""),"Юлия")</f>
        <v>Юлия</v>
      </c>
      <c r="D340" s="5" t="str">
        <f ca="1">IFERROR(__xludf.DUMMYFUNCTION("""COMPUTED_VALUE"""),"Сергеевна")</f>
        <v>Сергеевна</v>
      </c>
      <c r="E340" s="5" t="str">
        <f ca="1">IFERROR(__xludf.DUMMYFUNCTION("""COMPUTED_VALUE"""),"Команда №3725")</f>
        <v>Команда №3725</v>
      </c>
      <c r="F340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340" s="7">
        <f ca="1">IFERROR(__xludf.DUMMYFUNCTION("""COMPUTED_VALUE"""),85)</f>
        <v>85</v>
      </c>
    </row>
    <row r="341" spans="1:7" ht="39.6" x14ac:dyDescent="0.25">
      <c r="A341" s="5">
        <f ca="1">IFERROR(__xludf.DUMMYFUNCTION("""COMPUTED_VALUE"""),792)</f>
        <v>792</v>
      </c>
      <c r="B341" s="5" t="str">
        <f ca="1">IFERROR(__xludf.DUMMYFUNCTION("""COMPUTED_VALUE"""),"Муканов")</f>
        <v>Муканов</v>
      </c>
      <c r="C341" s="5" t="str">
        <f ca="1">IFERROR(__xludf.DUMMYFUNCTION("""COMPUTED_VALUE"""),"Арман")</f>
        <v>Арман</v>
      </c>
      <c r="D341" s="5" t="str">
        <f ca="1">IFERROR(__xludf.DUMMYFUNCTION("""COMPUTED_VALUE"""),"Санзызбаевич")</f>
        <v>Санзызбаевич</v>
      </c>
      <c r="E341" s="5" t="str">
        <f ca="1">IFERROR(__xludf.DUMMYFUNCTION("""COMPUTED_VALUE"""),"Команда №3725")</f>
        <v>Команда №3725</v>
      </c>
      <c r="F341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341" s="7">
        <f ca="1">IFERROR(__xludf.DUMMYFUNCTION("""COMPUTED_VALUE"""),85)</f>
        <v>85</v>
      </c>
    </row>
    <row r="342" spans="1:7" ht="39.6" x14ac:dyDescent="0.25">
      <c r="A342" s="5">
        <f ca="1">IFERROR(__xludf.DUMMYFUNCTION("""COMPUTED_VALUE"""),1043)</f>
        <v>1043</v>
      </c>
      <c r="B342" s="5" t="str">
        <f ca="1">IFERROR(__xludf.DUMMYFUNCTION("""COMPUTED_VALUE"""),"Сахабутдинов")</f>
        <v>Сахабутдинов</v>
      </c>
      <c r="C342" s="5" t="str">
        <f ca="1">IFERROR(__xludf.DUMMYFUNCTION("""COMPUTED_VALUE"""),"Ильфир")</f>
        <v>Ильфир</v>
      </c>
      <c r="D342" s="5" t="str">
        <f ca="1">IFERROR(__xludf.DUMMYFUNCTION("""COMPUTED_VALUE"""),"Филюсович")</f>
        <v>Филюсович</v>
      </c>
      <c r="E342" s="5" t="str">
        <f ca="1">IFERROR(__xludf.DUMMYFUNCTION("""COMPUTED_VALUE"""),"Команда №3725")</f>
        <v>Команда №3725</v>
      </c>
      <c r="F342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342" s="7">
        <f ca="1">IFERROR(__xludf.DUMMYFUNCTION("""COMPUTED_VALUE"""),85)</f>
        <v>85</v>
      </c>
    </row>
    <row r="343" spans="1:7" ht="13.2" x14ac:dyDescent="0.25">
      <c r="A343" s="5">
        <f ca="1">IFERROR(__xludf.DUMMYFUNCTION("""COMPUTED_VALUE"""),797)</f>
        <v>797</v>
      </c>
      <c r="B343" s="5" t="str">
        <f ca="1">IFERROR(__xludf.DUMMYFUNCTION("""COMPUTED_VALUE"""),"Мурзин")</f>
        <v>Мурзин</v>
      </c>
      <c r="C343" s="5" t="str">
        <f ca="1">IFERROR(__xludf.DUMMYFUNCTION("""COMPUTED_VALUE"""),"Антон")</f>
        <v>Антон</v>
      </c>
      <c r="D343" s="5" t="str">
        <f ca="1">IFERROR(__xludf.DUMMYFUNCTION("""COMPUTED_VALUE"""),"Сергеевич")</f>
        <v>Сергеевич</v>
      </c>
      <c r="E343" s="5" t="str">
        <f ca="1">IFERROR(__xludf.DUMMYFUNCTION("""COMPUTED_VALUE"""),"Команда №3726")</f>
        <v>Команда №3726</v>
      </c>
      <c r="F343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43" s="7">
        <f ca="1">IFERROR(__xludf.DUMMYFUNCTION("""COMPUTED_VALUE"""),85)</f>
        <v>85</v>
      </c>
    </row>
    <row r="344" spans="1:7" ht="13.2" x14ac:dyDescent="0.25">
      <c r="A344" s="5">
        <f ca="1">IFERROR(__xludf.DUMMYFUNCTION("""COMPUTED_VALUE"""),876)</f>
        <v>876</v>
      </c>
      <c r="B344" s="5" t="str">
        <f ca="1">IFERROR(__xludf.DUMMYFUNCTION("""COMPUTED_VALUE"""),"Озорнин")</f>
        <v>Озорнин</v>
      </c>
      <c r="C344" s="5" t="str">
        <f ca="1">IFERROR(__xludf.DUMMYFUNCTION("""COMPUTED_VALUE"""),"Владимир")</f>
        <v>Владимир</v>
      </c>
      <c r="D344" s="5" t="str">
        <f ca="1">IFERROR(__xludf.DUMMYFUNCTION("""COMPUTED_VALUE"""),"Алексеевич")</f>
        <v>Алексеевич</v>
      </c>
      <c r="E344" s="5" t="str">
        <f ca="1">IFERROR(__xludf.DUMMYFUNCTION("""COMPUTED_VALUE"""),"Команда №3726")</f>
        <v>Команда №3726</v>
      </c>
      <c r="F344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44" s="7">
        <f ca="1">IFERROR(__xludf.DUMMYFUNCTION("""COMPUTED_VALUE"""),85)</f>
        <v>85</v>
      </c>
    </row>
    <row r="345" spans="1:7" ht="13.2" x14ac:dyDescent="0.25">
      <c r="A345" s="5">
        <f ca="1">IFERROR(__xludf.DUMMYFUNCTION("""COMPUTED_VALUE"""),1394)</f>
        <v>1394</v>
      </c>
      <c r="B345" s="5" t="str">
        <f ca="1">IFERROR(__xludf.DUMMYFUNCTION("""COMPUTED_VALUE"""),"Ященков")</f>
        <v>Ященков</v>
      </c>
      <c r="C345" s="5" t="str">
        <f ca="1">IFERROR(__xludf.DUMMYFUNCTION("""COMPUTED_VALUE"""),"Антон")</f>
        <v>Антон</v>
      </c>
      <c r="D345" s="5" t="str">
        <f ca="1">IFERROR(__xludf.DUMMYFUNCTION("""COMPUTED_VALUE"""),"Эдуардович")</f>
        <v>Эдуардович</v>
      </c>
      <c r="E345" s="5" t="str">
        <f ca="1">IFERROR(__xludf.DUMMYFUNCTION("""COMPUTED_VALUE"""),"Команда №3726")</f>
        <v>Команда №3726</v>
      </c>
      <c r="F345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345" s="7">
        <f ca="1">IFERROR(__xludf.DUMMYFUNCTION("""COMPUTED_VALUE"""),85)</f>
        <v>85</v>
      </c>
    </row>
    <row r="346" spans="1:7" ht="26.4" x14ac:dyDescent="0.25">
      <c r="A346" s="5">
        <f ca="1">IFERROR(__xludf.DUMMYFUNCTION("""COMPUTED_VALUE"""),350)</f>
        <v>350</v>
      </c>
      <c r="B346" s="5" t="str">
        <f ca="1">IFERROR(__xludf.DUMMYFUNCTION("""COMPUTED_VALUE"""),"Дунайчук")</f>
        <v>Дунайчук</v>
      </c>
      <c r="C346" s="5" t="str">
        <f ca="1">IFERROR(__xludf.DUMMYFUNCTION("""COMPUTED_VALUE"""),"Даниил")</f>
        <v>Даниил</v>
      </c>
      <c r="D346" s="5" t="str">
        <f ca="1">IFERROR(__xludf.DUMMYFUNCTION("""COMPUTED_VALUE"""),"Александрович")</f>
        <v>Александрович</v>
      </c>
      <c r="E346" s="5" t="str">
        <f ca="1">IFERROR(__xludf.DUMMYFUNCTION("""COMPUTED_VALUE"""),"Команда №3727")</f>
        <v>Команда №3727</v>
      </c>
      <c r="F346" s="6" t="str">
        <f ca="1">IFERROR(__xludf.DUMMYFUNCTION("""COMPUTED_VALUE"""),"Автосервис. Разработка ландшафта и препятствий для мобильной игры")</f>
        <v>Автосервис. Разработка ландшафта и препятствий для мобильной игры</v>
      </c>
      <c r="G346" s="7">
        <f ca="1">IFERROR(__xludf.DUMMYFUNCTION("""COMPUTED_VALUE"""),97)</f>
        <v>97</v>
      </c>
    </row>
    <row r="347" spans="1:7" ht="26.4" x14ac:dyDescent="0.25">
      <c r="A347" s="5">
        <f ca="1">IFERROR(__xludf.DUMMYFUNCTION("""COMPUTED_VALUE"""),589)</f>
        <v>589</v>
      </c>
      <c r="B347" s="5" t="str">
        <f ca="1">IFERROR(__xludf.DUMMYFUNCTION("""COMPUTED_VALUE"""),"Корякин")</f>
        <v>Корякин</v>
      </c>
      <c r="C347" s="5" t="str">
        <f ca="1">IFERROR(__xludf.DUMMYFUNCTION("""COMPUTED_VALUE"""),"Игорь")</f>
        <v>Игорь</v>
      </c>
      <c r="D347" s="5" t="str">
        <f ca="1">IFERROR(__xludf.DUMMYFUNCTION("""COMPUTED_VALUE"""),"Андреевич")</f>
        <v>Андреевич</v>
      </c>
      <c r="E347" s="5" t="str">
        <f ca="1">IFERROR(__xludf.DUMMYFUNCTION("""COMPUTED_VALUE"""),"Команда №3727")</f>
        <v>Команда №3727</v>
      </c>
      <c r="F347" s="6" t="str">
        <f ca="1">IFERROR(__xludf.DUMMYFUNCTION("""COMPUTED_VALUE"""),"Автосервис. Разработка ландшафта и препятствий для мобильной игры")</f>
        <v>Автосервис. Разработка ландшафта и препятствий для мобильной игры</v>
      </c>
      <c r="G347" s="7">
        <f ca="1">IFERROR(__xludf.DUMMYFUNCTION("""COMPUTED_VALUE"""),97)</f>
        <v>97</v>
      </c>
    </row>
    <row r="348" spans="1:7" ht="26.4" x14ac:dyDescent="0.25">
      <c r="A348" s="5">
        <f ca="1">IFERROR(__xludf.DUMMYFUNCTION("""COMPUTED_VALUE"""),722)</f>
        <v>722</v>
      </c>
      <c r="B348" s="5" t="str">
        <f ca="1">IFERROR(__xludf.DUMMYFUNCTION("""COMPUTED_VALUE"""),"Малютин")</f>
        <v>Малютин</v>
      </c>
      <c r="C348" s="5" t="str">
        <f ca="1">IFERROR(__xludf.DUMMYFUNCTION("""COMPUTED_VALUE"""),"Дмитрий")</f>
        <v>Дмитрий</v>
      </c>
      <c r="D348" s="5" t="str">
        <f ca="1">IFERROR(__xludf.DUMMYFUNCTION("""COMPUTED_VALUE"""),"Александрович")</f>
        <v>Александрович</v>
      </c>
      <c r="E348" s="5" t="str">
        <f ca="1">IFERROR(__xludf.DUMMYFUNCTION("""COMPUTED_VALUE"""),"Команда №3727")</f>
        <v>Команда №3727</v>
      </c>
      <c r="F348" s="6" t="str">
        <f ca="1">IFERROR(__xludf.DUMMYFUNCTION("""COMPUTED_VALUE"""),"Автосервис. Разработка ландшафта и препятствий для мобильной игры")</f>
        <v>Автосервис. Разработка ландшафта и препятствий для мобильной игры</v>
      </c>
      <c r="G348" s="7">
        <f ca="1">IFERROR(__xludf.DUMMYFUNCTION("""COMPUTED_VALUE"""),97)</f>
        <v>97</v>
      </c>
    </row>
    <row r="349" spans="1:7" ht="26.4" x14ac:dyDescent="0.25">
      <c r="A349" s="5">
        <f ca="1">IFERROR(__xludf.DUMMYFUNCTION("""COMPUTED_VALUE"""),826)</f>
        <v>826</v>
      </c>
      <c r="B349" s="5" t="str">
        <f ca="1">IFERROR(__xludf.DUMMYFUNCTION("""COMPUTED_VALUE"""),"Недотко")</f>
        <v>Недотко</v>
      </c>
      <c r="C349" s="5" t="str">
        <f ca="1">IFERROR(__xludf.DUMMYFUNCTION("""COMPUTED_VALUE"""),"Александр")</f>
        <v>Александр</v>
      </c>
      <c r="D349" s="5" t="str">
        <f ca="1">IFERROR(__xludf.DUMMYFUNCTION("""COMPUTED_VALUE"""),"Денисович")</f>
        <v>Денисович</v>
      </c>
      <c r="E349" s="5" t="str">
        <f ca="1">IFERROR(__xludf.DUMMYFUNCTION("""COMPUTED_VALUE"""),"Команда №3727")</f>
        <v>Команда №3727</v>
      </c>
      <c r="F349" s="6" t="str">
        <f ca="1">IFERROR(__xludf.DUMMYFUNCTION("""COMPUTED_VALUE"""),"Автосервис. Разработка ландшафта и препятствий для мобильной игры")</f>
        <v>Автосервис. Разработка ландшафта и препятствий для мобильной игры</v>
      </c>
      <c r="G349" s="7">
        <f ca="1">IFERROR(__xludf.DUMMYFUNCTION("""COMPUTED_VALUE"""),97)</f>
        <v>97</v>
      </c>
    </row>
    <row r="350" spans="1:7" ht="26.4" x14ac:dyDescent="0.25">
      <c r="A350" s="5">
        <f ca="1">IFERROR(__xludf.DUMMYFUNCTION("""COMPUTED_VALUE"""),1325)</f>
        <v>1325</v>
      </c>
      <c r="B350" s="5" t="str">
        <f ca="1">IFERROR(__xludf.DUMMYFUNCTION("""COMPUTED_VALUE"""),"Шеметова")</f>
        <v>Шеметова</v>
      </c>
      <c r="C350" s="5" t="str">
        <f ca="1">IFERROR(__xludf.DUMMYFUNCTION("""COMPUTED_VALUE"""),"Анастасия")</f>
        <v>Анастасия</v>
      </c>
      <c r="D350" s="5" t="str">
        <f ca="1">IFERROR(__xludf.DUMMYFUNCTION("""COMPUTED_VALUE"""),"Сергеевна")</f>
        <v>Сергеевна</v>
      </c>
      <c r="E350" s="5" t="str">
        <f ca="1">IFERROR(__xludf.DUMMYFUNCTION("""COMPUTED_VALUE"""),"Команда №3727")</f>
        <v>Команда №3727</v>
      </c>
      <c r="F350" s="6" t="str">
        <f ca="1">IFERROR(__xludf.DUMMYFUNCTION("""COMPUTED_VALUE"""),"Автосервис. Разработка ландшафта и препятствий для мобильной игры")</f>
        <v>Автосервис. Разработка ландшафта и препятствий для мобильной игры</v>
      </c>
      <c r="G350" s="7">
        <f ca="1">IFERROR(__xludf.DUMMYFUNCTION("""COMPUTED_VALUE"""),97)</f>
        <v>97</v>
      </c>
    </row>
    <row r="351" spans="1:7" ht="26.4" x14ac:dyDescent="0.25">
      <c r="A351" s="5">
        <f ca="1">IFERROR(__xludf.DUMMYFUNCTION("""COMPUTED_VALUE"""),299)</f>
        <v>299</v>
      </c>
      <c r="B351" s="5" t="str">
        <f ca="1">IFERROR(__xludf.DUMMYFUNCTION("""COMPUTED_VALUE"""),"Давыдов")</f>
        <v>Давыдов</v>
      </c>
      <c r="C351" s="5" t="str">
        <f ca="1">IFERROR(__xludf.DUMMYFUNCTION("""COMPUTED_VALUE"""),"Иван")</f>
        <v>Иван</v>
      </c>
      <c r="D351" s="5" t="str">
        <f ca="1">IFERROR(__xludf.DUMMYFUNCTION("""COMPUTED_VALUE"""),"Андреевич")</f>
        <v>Андреевич</v>
      </c>
      <c r="E351" s="5" t="str">
        <f ca="1">IFERROR(__xludf.DUMMYFUNCTION("""COMPUTED_VALUE"""),"Команда №3728")</f>
        <v>Команда №3728</v>
      </c>
      <c r="F351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51" s="7">
        <f ca="1">IFERROR(__xludf.DUMMYFUNCTION("""COMPUTED_VALUE"""),100)</f>
        <v>100</v>
      </c>
    </row>
    <row r="352" spans="1:7" ht="26.4" x14ac:dyDescent="0.25">
      <c r="A352" s="5">
        <f ca="1">IFERROR(__xludf.DUMMYFUNCTION("""COMPUTED_VALUE"""),368)</f>
        <v>368</v>
      </c>
      <c r="B352" s="5" t="str">
        <f ca="1">IFERROR(__xludf.DUMMYFUNCTION("""COMPUTED_VALUE"""),"Еншов")</f>
        <v>Еншов</v>
      </c>
      <c r="C352" s="5" t="str">
        <f ca="1">IFERROR(__xludf.DUMMYFUNCTION("""COMPUTED_VALUE"""),"Владимир")</f>
        <v>Владимир</v>
      </c>
      <c r="D352" s="5" t="str">
        <f ca="1">IFERROR(__xludf.DUMMYFUNCTION("""COMPUTED_VALUE"""),"Вячеславович")</f>
        <v>Вячеславович</v>
      </c>
      <c r="E352" s="5" t="str">
        <f ca="1">IFERROR(__xludf.DUMMYFUNCTION("""COMPUTED_VALUE"""),"Команда №3728")</f>
        <v>Команда №3728</v>
      </c>
      <c r="F352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52" s="7">
        <f ca="1">IFERROR(__xludf.DUMMYFUNCTION("""COMPUTED_VALUE"""),100)</f>
        <v>100</v>
      </c>
    </row>
    <row r="353" spans="1:7" ht="26.4" x14ac:dyDescent="0.25">
      <c r="A353" s="5">
        <f ca="1">IFERROR(__xludf.DUMMYFUNCTION("""COMPUTED_VALUE"""),476)</f>
        <v>476</v>
      </c>
      <c r="B353" s="5" t="str">
        <f ca="1">IFERROR(__xludf.DUMMYFUNCTION("""COMPUTED_VALUE"""),"Исрафилов")</f>
        <v>Исрафилов</v>
      </c>
      <c r="C353" s="5" t="str">
        <f ca="1">IFERROR(__xludf.DUMMYFUNCTION("""COMPUTED_VALUE"""),"Денис")</f>
        <v>Денис</v>
      </c>
      <c r="D353" s="5" t="str">
        <f ca="1">IFERROR(__xludf.DUMMYFUNCTION("""COMPUTED_VALUE"""),"Русланович")</f>
        <v>Русланович</v>
      </c>
      <c r="E353" s="5" t="str">
        <f ca="1">IFERROR(__xludf.DUMMYFUNCTION("""COMPUTED_VALUE"""),"Команда №3728")</f>
        <v>Команда №3728</v>
      </c>
      <c r="F353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53" s="7">
        <f ca="1">IFERROR(__xludf.DUMMYFUNCTION("""COMPUTED_VALUE"""),100)</f>
        <v>100</v>
      </c>
    </row>
    <row r="354" spans="1:7" ht="26.4" x14ac:dyDescent="0.25">
      <c r="A354" s="5">
        <f ca="1">IFERROR(__xludf.DUMMYFUNCTION("""COMPUTED_VALUE"""),1006)</f>
        <v>1006</v>
      </c>
      <c r="B354" s="5" t="str">
        <f ca="1">IFERROR(__xludf.DUMMYFUNCTION("""COMPUTED_VALUE"""),"Рыбакова")</f>
        <v>Рыбакова</v>
      </c>
      <c r="C354" s="5" t="str">
        <f ca="1">IFERROR(__xludf.DUMMYFUNCTION("""COMPUTED_VALUE"""),"Мария")</f>
        <v>Мария</v>
      </c>
      <c r="D354" s="5" t="str">
        <f ca="1">IFERROR(__xludf.DUMMYFUNCTION("""COMPUTED_VALUE"""),"Евгеньевна")</f>
        <v>Евгеньевна</v>
      </c>
      <c r="E354" s="5" t="str">
        <f ca="1">IFERROR(__xludf.DUMMYFUNCTION("""COMPUTED_VALUE"""),"Команда №3728")</f>
        <v>Команда №3728</v>
      </c>
      <c r="F354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54" s="7">
        <f ca="1">IFERROR(__xludf.DUMMYFUNCTION("""COMPUTED_VALUE"""),100)</f>
        <v>100</v>
      </c>
    </row>
    <row r="355" spans="1:7" ht="26.4" x14ac:dyDescent="0.25">
      <c r="A355" s="5">
        <f ca="1">IFERROR(__xludf.DUMMYFUNCTION("""COMPUTED_VALUE"""),1183)</f>
        <v>1183</v>
      </c>
      <c r="B355" s="5" t="str">
        <f ca="1">IFERROR(__xludf.DUMMYFUNCTION("""COMPUTED_VALUE"""),"Тытенко")</f>
        <v>Тытенко</v>
      </c>
      <c r="C355" s="5" t="str">
        <f ca="1">IFERROR(__xludf.DUMMYFUNCTION("""COMPUTED_VALUE"""),"Иван")</f>
        <v>Иван</v>
      </c>
      <c r="D355" s="5" t="str">
        <f ca="1">IFERROR(__xludf.DUMMYFUNCTION("""COMPUTED_VALUE"""),"Дмитриевич")</f>
        <v>Дмитриевич</v>
      </c>
      <c r="E355" s="5" t="str">
        <f ca="1">IFERROR(__xludf.DUMMYFUNCTION("""COMPUTED_VALUE"""),"Команда №3728")</f>
        <v>Команда №3728</v>
      </c>
      <c r="F355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55" s="7">
        <f ca="1">IFERROR(__xludf.DUMMYFUNCTION("""COMPUTED_VALUE"""),100)</f>
        <v>100</v>
      </c>
    </row>
    <row r="356" spans="1:7" ht="13.2" x14ac:dyDescent="0.25">
      <c r="A356" s="5">
        <f ca="1">IFERROR(__xludf.DUMMYFUNCTION("""COMPUTED_VALUE"""),498)</f>
        <v>498</v>
      </c>
      <c r="B356" s="5" t="str">
        <f ca="1">IFERROR(__xludf.DUMMYFUNCTION("""COMPUTED_VALUE"""),"Карпов")</f>
        <v>Карпов</v>
      </c>
      <c r="C356" s="5" t="str">
        <f ca="1">IFERROR(__xludf.DUMMYFUNCTION("""COMPUTED_VALUE"""),"Арсений")</f>
        <v>Арсений</v>
      </c>
      <c r="D356" s="5" t="str">
        <f ca="1">IFERROR(__xludf.DUMMYFUNCTION("""COMPUTED_VALUE"""),"Павлович")</f>
        <v>Павлович</v>
      </c>
      <c r="E356" s="5" t="str">
        <f ca="1">IFERROR(__xludf.DUMMYFUNCTION("""COMPUTED_VALUE"""),"Команда №3729")</f>
        <v>Команда №3729</v>
      </c>
      <c r="F356" s="6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G356" s="7">
        <f ca="1">IFERROR(__xludf.DUMMYFUNCTION("""COMPUTED_VALUE"""),85)</f>
        <v>85</v>
      </c>
    </row>
    <row r="357" spans="1:7" ht="13.2" x14ac:dyDescent="0.25">
      <c r="A357" s="5">
        <f ca="1">IFERROR(__xludf.DUMMYFUNCTION("""COMPUTED_VALUE"""),543)</f>
        <v>543</v>
      </c>
      <c r="B357" s="5" t="str">
        <f ca="1">IFERROR(__xludf.DUMMYFUNCTION("""COMPUTED_VALUE"""),"Козлов")</f>
        <v>Козлов</v>
      </c>
      <c r="C357" s="5" t="str">
        <f ca="1">IFERROR(__xludf.DUMMYFUNCTION("""COMPUTED_VALUE"""),"Данила")</f>
        <v>Данила</v>
      </c>
      <c r="D357" s="5" t="str">
        <f ca="1">IFERROR(__xludf.DUMMYFUNCTION("""COMPUTED_VALUE"""),"Дмитриевич")</f>
        <v>Дмитриевич</v>
      </c>
      <c r="E357" s="5" t="str">
        <f ca="1">IFERROR(__xludf.DUMMYFUNCTION("""COMPUTED_VALUE"""),"Команда №3729")</f>
        <v>Команда №3729</v>
      </c>
      <c r="F357" s="6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G357" s="7">
        <f ca="1">IFERROR(__xludf.DUMMYFUNCTION("""COMPUTED_VALUE"""),85)</f>
        <v>85</v>
      </c>
    </row>
    <row r="358" spans="1:7" ht="13.2" x14ac:dyDescent="0.25">
      <c r="A358" s="5">
        <f ca="1">IFERROR(__xludf.DUMMYFUNCTION("""COMPUTED_VALUE"""),570)</f>
        <v>570</v>
      </c>
      <c r="B358" s="5" t="str">
        <f ca="1">IFERROR(__xludf.DUMMYFUNCTION("""COMPUTED_VALUE"""),"Коновальчик")</f>
        <v>Коновальчик</v>
      </c>
      <c r="C358" s="5" t="str">
        <f ca="1">IFERROR(__xludf.DUMMYFUNCTION("""COMPUTED_VALUE"""),"Егор")</f>
        <v>Егор</v>
      </c>
      <c r="D358" s="5" t="str">
        <f ca="1">IFERROR(__xludf.DUMMYFUNCTION("""COMPUTED_VALUE"""),"Сергеевич")</f>
        <v>Сергеевич</v>
      </c>
      <c r="E358" s="5" t="str">
        <f ca="1">IFERROR(__xludf.DUMMYFUNCTION("""COMPUTED_VALUE"""),"Команда №3729")</f>
        <v>Команда №3729</v>
      </c>
      <c r="F358" s="6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G358" s="7">
        <f ca="1">IFERROR(__xludf.DUMMYFUNCTION("""COMPUTED_VALUE"""),85)</f>
        <v>85</v>
      </c>
    </row>
    <row r="359" spans="1:7" ht="13.2" x14ac:dyDescent="0.25">
      <c r="A359" s="5">
        <f ca="1">IFERROR(__xludf.DUMMYFUNCTION("""COMPUTED_VALUE"""),748)</f>
        <v>748</v>
      </c>
      <c r="B359" s="5" t="str">
        <f ca="1">IFERROR(__xludf.DUMMYFUNCTION("""COMPUTED_VALUE"""),"Меланин")</f>
        <v>Меланин</v>
      </c>
      <c r="C359" s="5" t="str">
        <f ca="1">IFERROR(__xludf.DUMMYFUNCTION("""COMPUTED_VALUE"""),"Никита")</f>
        <v>Никита</v>
      </c>
      <c r="D359" s="5" t="str">
        <f ca="1">IFERROR(__xludf.DUMMYFUNCTION("""COMPUTED_VALUE"""),"Игоревич")</f>
        <v>Игоревич</v>
      </c>
      <c r="E359" s="5" t="str">
        <f ca="1">IFERROR(__xludf.DUMMYFUNCTION("""COMPUTED_VALUE"""),"Команда №3729")</f>
        <v>Команда №3729</v>
      </c>
      <c r="F359" s="6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G359" s="7">
        <f ca="1">IFERROR(__xludf.DUMMYFUNCTION("""COMPUTED_VALUE"""),85)</f>
        <v>85</v>
      </c>
    </row>
    <row r="360" spans="1:7" ht="13.2" x14ac:dyDescent="0.25">
      <c r="A360" s="5">
        <f ca="1">IFERROR(__xludf.DUMMYFUNCTION("""COMPUTED_VALUE"""),815)</f>
        <v>815</v>
      </c>
      <c r="B360" s="5" t="str">
        <f ca="1">IFERROR(__xludf.DUMMYFUNCTION("""COMPUTED_VALUE"""),"Назарова")</f>
        <v>Назарова</v>
      </c>
      <c r="C360" s="5" t="str">
        <f ca="1">IFERROR(__xludf.DUMMYFUNCTION("""COMPUTED_VALUE"""),"Анна")</f>
        <v>Анна</v>
      </c>
      <c r="D360" s="5" t="str">
        <f ca="1">IFERROR(__xludf.DUMMYFUNCTION("""COMPUTED_VALUE"""),"Михайловна")</f>
        <v>Михайловна</v>
      </c>
      <c r="E360" s="5" t="str">
        <f ca="1">IFERROR(__xludf.DUMMYFUNCTION("""COMPUTED_VALUE"""),"Команда №3729")</f>
        <v>Команда №3729</v>
      </c>
      <c r="F360" s="6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G360" s="7">
        <f ca="1">IFERROR(__xludf.DUMMYFUNCTION("""COMPUTED_VALUE"""),85)</f>
        <v>85</v>
      </c>
    </row>
    <row r="361" spans="1:7" ht="13.2" x14ac:dyDescent="0.25">
      <c r="A361" s="5">
        <f ca="1">IFERROR(__xludf.DUMMYFUNCTION("""COMPUTED_VALUE"""),1329)</f>
        <v>1329</v>
      </c>
      <c r="B361" s="5" t="str">
        <f ca="1">IFERROR(__xludf.DUMMYFUNCTION("""COMPUTED_VALUE"""),"Шешукова")</f>
        <v>Шешукова</v>
      </c>
      <c r="C361" s="5" t="str">
        <f ca="1">IFERROR(__xludf.DUMMYFUNCTION("""COMPUTED_VALUE"""),"Арина")</f>
        <v>Арина</v>
      </c>
      <c r="D361" s="5" t="str">
        <f ca="1">IFERROR(__xludf.DUMMYFUNCTION("""COMPUTED_VALUE"""),"Андреевна")</f>
        <v>Андреевна</v>
      </c>
      <c r="E361" s="5" t="str">
        <f ca="1">IFERROR(__xludf.DUMMYFUNCTION("""COMPUTED_VALUE"""),"Команда №3729")</f>
        <v>Команда №3729</v>
      </c>
      <c r="F361" s="6" t="str">
        <f ca="1">IFERROR(__xludf.DUMMYFUNCTION("""COMPUTED_VALUE"""),"Разработка системы автоматического интервью")</f>
        <v>Разработка системы автоматического интервью</v>
      </c>
      <c r="G361" s="7">
        <f ca="1">IFERROR(__xludf.DUMMYFUNCTION("""COMPUTED_VALUE"""),85)</f>
        <v>85</v>
      </c>
    </row>
    <row r="362" spans="1:7" ht="26.4" x14ac:dyDescent="0.25">
      <c r="A362" s="5">
        <f ca="1">IFERROR(__xludf.DUMMYFUNCTION("""COMPUTED_VALUE"""),181)</f>
        <v>181</v>
      </c>
      <c r="B362" s="5" t="str">
        <f ca="1">IFERROR(__xludf.DUMMYFUNCTION("""COMPUTED_VALUE"""),"Васильков")</f>
        <v>Васильков</v>
      </c>
      <c r="C362" s="5" t="str">
        <f ca="1">IFERROR(__xludf.DUMMYFUNCTION("""COMPUTED_VALUE"""),"Андрей")</f>
        <v>Андрей</v>
      </c>
      <c r="D362" s="5" t="str">
        <f ca="1">IFERROR(__xludf.DUMMYFUNCTION("""COMPUTED_VALUE"""),"Александрович")</f>
        <v>Александрович</v>
      </c>
      <c r="E362" s="5" t="str">
        <f ca="1">IFERROR(__xludf.DUMMYFUNCTION("""COMPUTED_VALUE"""),"Команда №3730")</f>
        <v>Команда №3730</v>
      </c>
      <c r="F362" s="6" t="str">
        <f ca="1">IFERROR(__xludf.DUMMYFUNCTION("""COMPUTED_VALUE"""),"Разработка системы сбора обратной связи от сотрудников")</f>
        <v>Разработка системы сбора обратной связи от сотрудников</v>
      </c>
      <c r="G362" s="7">
        <f ca="1">IFERROR(__xludf.DUMMYFUNCTION("""COMPUTED_VALUE"""),95)</f>
        <v>95</v>
      </c>
    </row>
    <row r="363" spans="1:7" ht="26.4" x14ac:dyDescent="0.25">
      <c r="A363" s="5">
        <f ca="1">IFERROR(__xludf.DUMMYFUNCTION("""COMPUTED_VALUE"""),246)</f>
        <v>246</v>
      </c>
      <c r="B363" s="5" t="str">
        <f ca="1">IFERROR(__xludf.DUMMYFUNCTION("""COMPUTED_VALUE"""),"Гафаров")</f>
        <v>Гафаров</v>
      </c>
      <c r="C363" s="5" t="str">
        <f ca="1">IFERROR(__xludf.DUMMYFUNCTION("""COMPUTED_VALUE"""),"Владислав")</f>
        <v>Владислав</v>
      </c>
      <c r="D363" s="5" t="str">
        <f ca="1">IFERROR(__xludf.DUMMYFUNCTION("""COMPUTED_VALUE"""),"Ришатович")</f>
        <v>Ришатович</v>
      </c>
      <c r="E363" s="5" t="str">
        <f ca="1">IFERROR(__xludf.DUMMYFUNCTION("""COMPUTED_VALUE"""),"Команда №3730")</f>
        <v>Команда №3730</v>
      </c>
      <c r="F363" s="6" t="str">
        <f ca="1">IFERROR(__xludf.DUMMYFUNCTION("""COMPUTED_VALUE"""),"Разработка системы сбора обратной связи от сотрудников")</f>
        <v>Разработка системы сбора обратной связи от сотрудников</v>
      </c>
      <c r="G363" s="7">
        <f ca="1">IFERROR(__xludf.DUMMYFUNCTION("""COMPUTED_VALUE"""),95)</f>
        <v>95</v>
      </c>
    </row>
    <row r="364" spans="1:7" ht="26.4" x14ac:dyDescent="0.25">
      <c r="A364" s="5">
        <f ca="1">IFERROR(__xludf.DUMMYFUNCTION("""COMPUTED_VALUE"""),287)</f>
        <v>287</v>
      </c>
      <c r="B364" s="5" t="str">
        <f ca="1">IFERROR(__xludf.DUMMYFUNCTION("""COMPUTED_VALUE"""),"Громова")</f>
        <v>Громова</v>
      </c>
      <c r="C364" s="5" t="str">
        <f ca="1">IFERROR(__xludf.DUMMYFUNCTION("""COMPUTED_VALUE"""),"Софья")</f>
        <v>Софья</v>
      </c>
      <c r="D364" s="5" t="str">
        <f ca="1">IFERROR(__xludf.DUMMYFUNCTION("""COMPUTED_VALUE"""),"Михайловна")</f>
        <v>Михайловна</v>
      </c>
      <c r="E364" s="5" t="str">
        <f ca="1">IFERROR(__xludf.DUMMYFUNCTION("""COMPUTED_VALUE"""),"Команда №3730")</f>
        <v>Команда №3730</v>
      </c>
      <c r="F364" s="6" t="str">
        <f ca="1">IFERROR(__xludf.DUMMYFUNCTION("""COMPUTED_VALUE"""),"Разработка системы сбора обратной связи от сотрудников")</f>
        <v>Разработка системы сбора обратной связи от сотрудников</v>
      </c>
      <c r="G364" s="7">
        <f ca="1">IFERROR(__xludf.DUMMYFUNCTION("""COMPUTED_VALUE"""),95)</f>
        <v>95</v>
      </c>
    </row>
    <row r="365" spans="1:7" ht="26.4" x14ac:dyDescent="0.25">
      <c r="A365" s="5">
        <f ca="1">IFERROR(__xludf.DUMMYFUNCTION("""COMPUTED_VALUE"""),825)</f>
        <v>825</v>
      </c>
      <c r="B365" s="5" t="str">
        <f ca="1">IFERROR(__xludf.DUMMYFUNCTION("""COMPUTED_VALUE"""),"Недосекина")</f>
        <v>Недосекина</v>
      </c>
      <c r="C365" s="5" t="str">
        <f ca="1">IFERROR(__xludf.DUMMYFUNCTION("""COMPUTED_VALUE"""),"Александра")</f>
        <v>Александра</v>
      </c>
      <c r="D365" s="5" t="str">
        <f ca="1">IFERROR(__xludf.DUMMYFUNCTION("""COMPUTED_VALUE"""),"Олеговна")</f>
        <v>Олеговна</v>
      </c>
      <c r="E365" s="5" t="str">
        <f ca="1">IFERROR(__xludf.DUMMYFUNCTION("""COMPUTED_VALUE"""),"Команда №3730")</f>
        <v>Команда №3730</v>
      </c>
      <c r="F365" s="6" t="str">
        <f ca="1">IFERROR(__xludf.DUMMYFUNCTION("""COMPUTED_VALUE"""),"Разработка системы сбора обратной связи от сотрудников")</f>
        <v>Разработка системы сбора обратной связи от сотрудников</v>
      </c>
      <c r="G365" s="7">
        <f ca="1">IFERROR(__xludf.DUMMYFUNCTION("""COMPUTED_VALUE"""),95)</f>
        <v>95</v>
      </c>
    </row>
    <row r="366" spans="1:7" ht="26.4" x14ac:dyDescent="0.25">
      <c r="A366" s="5">
        <f ca="1">IFERROR(__xludf.DUMMYFUNCTION("""COMPUTED_VALUE"""),1187)</f>
        <v>1187</v>
      </c>
      <c r="B366" s="5" t="str">
        <f ca="1">IFERROR(__xludf.DUMMYFUNCTION("""COMPUTED_VALUE"""),"Тягунов")</f>
        <v>Тягунов</v>
      </c>
      <c r="C366" s="5" t="str">
        <f ca="1">IFERROR(__xludf.DUMMYFUNCTION("""COMPUTED_VALUE"""),"Иван")</f>
        <v>Иван</v>
      </c>
      <c r="D366" s="5" t="str">
        <f ca="1">IFERROR(__xludf.DUMMYFUNCTION("""COMPUTED_VALUE"""),"Денисович")</f>
        <v>Денисович</v>
      </c>
      <c r="E366" s="5" t="str">
        <f ca="1">IFERROR(__xludf.DUMMYFUNCTION("""COMPUTED_VALUE"""),"Команда №3730")</f>
        <v>Команда №3730</v>
      </c>
      <c r="F366" s="6" t="str">
        <f ca="1">IFERROR(__xludf.DUMMYFUNCTION("""COMPUTED_VALUE"""),"Разработка системы сбора обратной связи от сотрудников")</f>
        <v>Разработка системы сбора обратной связи от сотрудников</v>
      </c>
      <c r="G366" s="7">
        <f ca="1">IFERROR(__xludf.DUMMYFUNCTION("""COMPUTED_VALUE"""),95)</f>
        <v>95</v>
      </c>
    </row>
    <row r="367" spans="1:7" ht="26.4" x14ac:dyDescent="0.25">
      <c r="A367" s="5">
        <f ca="1">IFERROR(__xludf.DUMMYFUNCTION("""COMPUTED_VALUE"""),456)</f>
        <v>456</v>
      </c>
      <c r="B367" s="5" t="str">
        <f ca="1">IFERROR(__xludf.DUMMYFUNCTION("""COMPUTED_VALUE"""),"Иванов")</f>
        <v>Иванов</v>
      </c>
      <c r="C367" s="5" t="str">
        <f ca="1">IFERROR(__xludf.DUMMYFUNCTION("""COMPUTED_VALUE"""),"Никита")</f>
        <v>Никита</v>
      </c>
      <c r="D367" s="5" t="str">
        <f ca="1">IFERROR(__xludf.DUMMYFUNCTION("""COMPUTED_VALUE"""),"Дмитриевич")</f>
        <v>Дмитриевич</v>
      </c>
      <c r="E367" s="5" t="str">
        <f ca="1">IFERROR(__xludf.DUMMYFUNCTION("""COMPUTED_VALUE"""),"Команда №3731")</f>
        <v>Команда №3731</v>
      </c>
      <c r="F367" s="6" t="str">
        <f ca="1">IFERROR(__xludf.DUMMYFUNCTION("""COMPUTED_VALUE"""),"Создание сайта управления летней практикой и стажировкой")</f>
        <v>Создание сайта управления летней практикой и стажировкой</v>
      </c>
      <c r="G367" s="7">
        <f ca="1">IFERROR(__xludf.DUMMYFUNCTION("""COMPUTED_VALUE"""),85)</f>
        <v>85</v>
      </c>
    </row>
    <row r="368" spans="1:7" ht="26.4" x14ac:dyDescent="0.25">
      <c r="A368" s="5">
        <f ca="1">IFERROR(__xludf.DUMMYFUNCTION("""COMPUTED_VALUE"""),662)</f>
        <v>662</v>
      </c>
      <c r="B368" s="5" t="str">
        <f ca="1">IFERROR(__xludf.DUMMYFUNCTION("""COMPUTED_VALUE"""),"Лариков")</f>
        <v>Лариков</v>
      </c>
      <c r="C368" s="5" t="str">
        <f ca="1">IFERROR(__xludf.DUMMYFUNCTION("""COMPUTED_VALUE"""),"Денис")</f>
        <v>Денис</v>
      </c>
      <c r="D368" s="5" t="str">
        <f ca="1">IFERROR(__xludf.DUMMYFUNCTION("""COMPUTED_VALUE"""),"Сергеевич")</f>
        <v>Сергеевич</v>
      </c>
      <c r="E368" s="5" t="str">
        <f ca="1">IFERROR(__xludf.DUMMYFUNCTION("""COMPUTED_VALUE"""),"Команда №3731")</f>
        <v>Команда №3731</v>
      </c>
      <c r="F368" s="6" t="str">
        <f ca="1">IFERROR(__xludf.DUMMYFUNCTION("""COMPUTED_VALUE"""),"Создание сайта управления летней практикой и стажировкой")</f>
        <v>Создание сайта управления летней практикой и стажировкой</v>
      </c>
      <c r="G368" s="7">
        <f ca="1">IFERROR(__xludf.DUMMYFUNCTION("""COMPUTED_VALUE"""),85)</f>
        <v>85</v>
      </c>
    </row>
    <row r="369" spans="1:7" ht="26.4" x14ac:dyDescent="0.25">
      <c r="A369" s="5">
        <f ca="1">IFERROR(__xludf.DUMMYFUNCTION("""COMPUTED_VALUE"""),1324)</f>
        <v>1324</v>
      </c>
      <c r="B369" s="5" t="str">
        <f ca="1">IFERROR(__xludf.DUMMYFUNCTION("""COMPUTED_VALUE"""),"Шеланов")</f>
        <v>Шеланов</v>
      </c>
      <c r="C369" s="5" t="str">
        <f ca="1">IFERROR(__xludf.DUMMYFUNCTION("""COMPUTED_VALUE"""),"Борислав")</f>
        <v>Борислав</v>
      </c>
      <c r="D369" s="5" t="str">
        <f ca="1">IFERROR(__xludf.DUMMYFUNCTION("""COMPUTED_VALUE"""),"Андреевич")</f>
        <v>Андреевич</v>
      </c>
      <c r="E369" s="5" t="str">
        <f ca="1">IFERROR(__xludf.DUMMYFUNCTION("""COMPUTED_VALUE"""),"Команда №3731")</f>
        <v>Команда №3731</v>
      </c>
      <c r="F369" s="6" t="str">
        <f ca="1">IFERROR(__xludf.DUMMYFUNCTION("""COMPUTED_VALUE"""),"Создание сайта управления летней практикой и стажировкой")</f>
        <v>Создание сайта управления летней практикой и стажировкой</v>
      </c>
      <c r="G369" s="7">
        <f ca="1">IFERROR(__xludf.DUMMYFUNCTION("""COMPUTED_VALUE"""),85)</f>
        <v>85</v>
      </c>
    </row>
    <row r="370" spans="1:7" ht="26.4" x14ac:dyDescent="0.25">
      <c r="A370" s="5">
        <f ca="1">IFERROR(__xludf.DUMMYFUNCTION("""COMPUTED_VALUE"""),168)</f>
        <v>168</v>
      </c>
      <c r="B370" s="5" t="str">
        <f ca="1">IFERROR(__xludf.DUMMYFUNCTION("""COMPUTED_VALUE"""),"Бычков")</f>
        <v>Бычков</v>
      </c>
      <c r="C370" s="5" t="str">
        <f ca="1">IFERROR(__xludf.DUMMYFUNCTION("""COMPUTED_VALUE"""),"Данил")</f>
        <v>Данил</v>
      </c>
      <c r="D370" s="5" t="str">
        <f ca="1">IFERROR(__xludf.DUMMYFUNCTION("""COMPUTED_VALUE"""),"Игоревич")</f>
        <v>Игоревич</v>
      </c>
      <c r="E370" s="5" t="str">
        <f ca="1">IFERROR(__xludf.DUMMYFUNCTION("""COMPUTED_VALUE"""),"Команда №3733")</f>
        <v>Команда №3733</v>
      </c>
      <c r="F370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70" s="7">
        <f ca="1">IFERROR(__xludf.DUMMYFUNCTION("""COMPUTED_VALUE"""),100)</f>
        <v>100</v>
      </c>
    </row>
    <row r="371" spans="1:7" ht="26.4" x14ac:dyDescent="0.25">
      <c r="A371" s="5">
        <f ca="1">IFERROR(__xludf.DUMMYFUNCTION("""COMPUTED_VALUE"""),951)</f>
        <v>951</v>
      </c>
      <c r="B371" s="5" t="str">
        <f ca="1">IFERROR(__xludf.DUMMYFUNCTION("""COMPUTED_VALUE"""),"Попова")</f>
        <v>Попова</v>
      </c>
      <c r="C371" s="5" t="str">
        <f ca="1">IFERROR(__xludf.DUMMYFUNCTION("""COMPUTED_VALUE"""),"Ксения")</f>
        <v>Ксения</v>
      </c>
      <c r="D371" s="5" t="str">
        <f ca="1">IFERROR(__xludf.DUMMYFUNCTION("""COMPUTED_VALUE"""),"Андреевна")</f>
        <v>Андреевна</v>
      </c>
      <c r="E371" s="5" t="str">
        <f ca="1">IFERROR(__xludf.DUMMYFUNCTION("""COMPUTED_VALUE"""),"Команда №3733")</f>
        <v>Команда №3733</v>
      </c>
      <c r="F371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71" s="7">
        <f ca="1">IFERROR(__xludf.DUMMYFUNCTION("""COMPUTED_VALUE"""),100)</f>
        <v>100</v>
      </c>
    </row>
    <row r="372" spans="1:7" ht="26.4" x14ac:dyDescent="0.25">
      <c r="A372" s="5">
        <f ca="1">IFERROR(__xludf.DUMMYFUNCTION("""COMPUTED_VALUE"""),990)</f>
        <v>990</v>
      </c>
      <c r="B372" s="5" t="str">
        <f ca="1">IFERROR(__xludf.DUMMYFUNCTION("""COMPUTED_VALUE"""),"Рзаева")</f>
        <v>Рзаева</v>
      </c>
      <c r="C372" s="5" t="str">
        <f ca="1">IFERROR(__xludf.DUMMYFUNCTION("""COMPUTED_VALUE"""),"Арзу")</f>
        <v>Арзу</v>
      </c>
      <c r="D372" s="5" t="str">
        <f ca="1">IFERROR(__xludf.DUMMYFUNCTION("""COMPUTED_VALUE"""),"Масуд")</f>
        <v>Масуд</v>
      </c>
      <c r="E372" s="5" t="str">
        <f ca="1">IFERROR(__xludf.DUMMYFUNCTION("""COMPUTED_VALUE"""),"Команда №3733")</f>
        <v>Команда №3733</v>
      </c>
      <c r="F372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72" s="7">
        <f ca="1">IFERROR(__xludf.DUMMYFUNCTION("""COMPUTED_VALUE"""),100)</f>
        <v>100</v>
      </c>
    </row>
    <row r="373" spans="1:7" ht="26.4" x14ac:dyDescent="0.25">
      <c r="A373" s="5">
        <f ca="1">IFERROR(__xludf.DUMMYFUNCTION("""COMPUTED_VALUE"""),1091)</f>
        <v>1091</v>
      </c>
      <c r="B373" s="5" t="str">
        <f ca="1">IFERROR(__xludf.DUMMYFUNCTION("""COMPUTED_VALUE"""),"Соболев")</f>
        <v>Соболев</v>
      </c>
      <c r="C373" s="5" t="str">
        <f ca="1">IFERROR(__xludf.DUMMYFUNCTION("""COMPUTED_VALUE"""),"Александр")</f>
        <v>Александр</v>
      </c>
      <c r="D373" s="5" t="str">
        <f ca="1">IFERROR(__xludf.DUMMYFUNCTION("""COMPUTED_VALUE"""),"Андреевич")</f>
        <v>Андреевич</v>
      </c>
      <c r="E373" s="5" t="str">
        <f ca="1">IFERROR(__xludf.DUMMYFUNCTION("""COMPUTED_VALUE"""),"Команда №3733")</f>
        <v>Команда №3733</v>
      </c>
      <c r="F373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73" s="7">
        <f ca="1">IFERROR(__xludf.DUMMYFUNCTION("""COMPUTED_VALUE"""),100)</f>
        <v>100</v>
      </c>
    </row>
    <row r="374" spans="1:7" ht="26.4" x14ac:dyDescent="0.25">
      <c r="A374" s="5">
        <f ca="1">IFERROR(__xludf.DUMMYFUNCTION("""COMPUTED_VALUE"""),1114)</f>
        <v>1114</v>
      </c>
      <c r="B374" s="5" t="str">
        <f ca="1">IFERROR(__xludf.DUMMYFUNCTION("""COMPUTED_VALUE"""),"Старикова")</f>
        <v>Старикова</v>
      </c>
      <c r="C374" s="5" t="str">
        <f ca="1">IFERROR(__xludf.DUMMYFUNCTION("""COMPUTED_VALUE"""),"София")</f>
        <v>София</v>
      </c>
      <c r="D374" s="5" t="str">
        <f ca="1">IFERROR(__xludf.DUMMYFUNCTION("""COMPUTED_VALUE"""),"Андреевна")</f>
        <v>Андреевна</v>
      </c>
      <c r="E374" s="5" t="str">
        <f ca="1">IFERROR(__xludf.DUMMYFUNCTION("""COMPUTED_VALUE"""),"Команда №3733")</f>
        <v>Команда №3733</v>
      </c>
      <c r="F374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74" s="7">
        <f ca="1">IFERROR(__xludf.DUMMYFUNCTION("""COMPUTED_VALUE"""),100)</f>
        <v>100</v>
      </c>
    </row>
    <row r="375" spans="1:7" ht="26.4" x14ac:dyDescent="0.25">
      <c r="A375" s="5">
        <f ca="1">IFERROR(__xludf.DUMMYFUNCTION("""COMPUTED_VALUE"""),250)</f>
        <v>250</v>
      </c>
      <c r="B375" s="5" t="str">
        <f ca="1">IFERROR(__xludf.DUMMYFUNCTION("""COMPUTED_VALUE"""),"Гиззатуллин")</f>
        <v>Гиззатуллин</v>
      </c>
      <c r="C375" s="5" t="str">
        <f ca="1">IFERROR(__xludf.DUMMYFUNCTION("""COMPUTED_VALUE"""),"Урал")</f>
        <v>Урал</v>
      </c>
      <c r="D375" s="5" t="str">
        <f ca="1">IFERROR(__xludf.DUMMYFUNCTION("""COMPUTED_VALUE"""),"Ренартович")</f>
        <v>Ренартович</v>
      </c>
      <c r="E375" s="5" t="str">
        <f ca="1">IFERROR(__xludf.DUMMYFUNCTION("""COMPUTED_VALUE"""),"Команда №3734")</f>
        <v>Команда №3734</v>
      </c>
      <c r="F375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375" s="7">
        <f ca="1">IFERROR(__xludf.DUMMYFUNCTION("""COMPUTED_VALUE"""),85)</f>
        <v>85</v>
      </c>
    </row>
    <row r="376" spans="1:7" ht="26.4" x14ac:dyDescent="0.25">
      <c r="A376" s="5">
        <f ca="1">IFERROR(__xludf.DUMMYFUNCTION("""COMPUTED_VALUE"""),523)</f>
        <v>523</v>
      </c>
      <c r="B376" s="5" t="str">
        <f ca="1">IFERROR(__xludf.DUMMYFUNCTION("""COMPUTED_VALUE"""),"Клусов")</f>
        <v>Клусов</v>
      </c>
      <c r="C376" s="5" t="str">
        <f ca="1">IFERROR(__xludf.DUMMYFUNCTION("""COMPUTED_VALUE"""),"Данил")</f>
        <v>Данил</v>
      </c>
      <c r="D376" s="5" t="str">
        <f ca="1">IFERROR(__xludf.DUMMYFUNCTION("""COMPUTED_VALUE"""),"Дамирович")</f>
        <v>Дамирович</v>
      </c>
      <c r="E376" s="5" t="str">
        <f ca="1">IFERROR(__xludf.DUMMYFUNCTION("""COMPUTED_VALUE"""),"Команда №3734")</f>
        <v>Команда №3734</v>
      </c>
      <c r="F376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376" s="7">
        <f ca="1">IFERROR(__xludf.DUMMYFUNCTION("""COMPUTED_VALUE"""),85)</f>
        <v>85</v>
      </c>
    </row>
    <row r="377" spans="1:7" ht="26.4" x14ac:dyDescent="0.25">
      <c r="A377" s="5">
        <f ca="1">IFERROR(__xludf.DUMMYFUNCTION("""COMPUTED_VALUE"""),599)</f>
        <v>599</v>
      </c>
      <c r="B377" s="5" t="str">
        <f ca="1">IFERROR(__xludf.DUMMYFUNCTION("""COMPUTED_VALUE"""),"Кох")</f>
        <v>Кох</v>
      </c>
      <c r="C377" s="5" t="str">
        <f ca="1">IFERROR(__xludf.DUMMYFUNCTION("""COMPUTED_VALUE"""),"Олеся")</f>
        <v>Олеся</v>
      </c>
      <c r="D377" s="5" t="str">
        <f ca="1">IFERROR(__xludf.DUMMYFUNCTION("""COMPUTED_VALUE"""),"Сергеевна")</f>
        <v>Сергеевна</v>
      </c>
      <c r="E377" s="5" t="str">
        <f ca="1">IFERROR(__xludf.DUMMYFUNCTION("""COMPUTED_VALUE"""),"Команда №3734")</f>
        <v>Команда №3734</v>
      </c>
      <c r="F377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377" s="7">
        <f ca="1">IFERROR(__xludf.DUMMYFUNCTION("""COMPUTED_VALUE"""),85)</f>
        <v>85</v>
      </c>
    </row>
    <row r="378" spans="1:7" ht="26.4" x14ac:dyDescent="0.25">
      <c r="A378" s="5">
        <f ca="1">IFERROR(__xludf.DUMMYFUNCTION("""COMPUTED_VALUE"""),867)</f>
        <v>867</v>
      </c>
      <c r="B378" s="5" t="str">
        <f ca="1">IFERROR(__xludf.DUMMYFUNCTION("""COMPUTED_VALUE"""),"Няшина")</f>
        <v>Няшина</v>
      </c>
      <c r="C378" s="5" t="str">
        <f ca="1">IFERROR(__xludf.DUMMYFUNCTION("""COMPUTED_VALUE"""),"Кристина")</f>
        <v>Кристина</v>
      </c>
      <c r="D378" s="5" t="str">
        <f ca="1">IFERROR(__xludf.DUMMYFUNCTION("""COMPUTED_VALUE"""),"Юрьевна")</f>
        <v>Юрьевна</v>
      </c>
      <c r="E378" s="5" t="str">
        <f ca="1">IFERROR(__xludf.DUMMYFUNCTION("""COMPUTED_VALUE"""),"Команда №3734")</f>
        <v>Команда №3734</v>
      </c>
      <c r="F378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378" s="7">
        <f ca="1">IFERROR(__xludf.DUMMYFUNCTION("""COMPUTED_VALUE"""),85)</f>
        <v>85</v>
      </c>
    </row>
    <row r="379" spans="1:7" ht="26.4" x14ac:dyDescent="0.25">
      <c r="A379" s="5">
        <f ca="1">IFERROR(__xludf.DUMMYFUNCTION("""COMPUTED_VALUE"""),14)</f>
        <v>14</v>
      </c>
      <c r="B379" s="5" t="str">
        <f ca="1">IFERROR(__xludf.DUMMYFUNCTION("""COMPUTED_VALUE"""),"Абрамов")</f>
        <v>Абрамов</v>
      </c>
      <c r="C379" s="5" t="str">
        <f ca="1">IFERROR(__xludf.DUMMYFUNCTION("""COMPUTED_VALUE"""),"Артём")</f>
        <v>Артём</v>
      </c>
      <c r="D379" s="5" t="str">
        <f ca="1">IFERROR(__xludf.DUMMYFUNCTION("""COMPUTED_VALUE"""),"Алексеевич")</f>
        <v>Алексеевич</v>
      </c>
      <c r="E379" s="5" t="str">
        <f ca="1">IFERROR(__xludf.DUMMYFUNCTION("""COMPUTED_VALUE"""),"Команда №3736")</f>
        <v>Команда №3736</v>
      </c>
      <c r="F379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379" s="7">
        <f ca="1">IFERROR(__xludf.DUMMYFUNCTION("""COMPUTED_VALUE"""),85)</f>
        <v>85</v>
      </c>
    </row>
    <row r="380" spans="1:7" ht="26.4" x14ac:dyDescent="0.25">
      <c r="A380" s="5">
        <f ca="1">IFERROR(__xludf.DUMMYFUNCTION("""COMPUTED_VALUE"""),1052)</f>
        <v>1052</v>
      </c>
      <c r="B380" s="5" t="str">
        <f ca="1">IFERROR(__xludf.DUMMYFUNCTION("""COMPUTED_VALUE"""),"Семенова")</f>
        <v>Семенова</v>
      </c>
      <c r="C380" s="5" t="str">
        <f ca="1">IFERROR(__xludf.DUMMYFUNCTION("""COMPUTED_VALUE"""),"Софья")</f>
        <v>Софья</v>
      </c>
      <c r="D380" s="5" t="str">
        <f ca="1">IFERROR(__xludf.DUMMYFUNCTION("""COMPUTED_VALUE"""),"Павловна")</f>
        <v>Павловна</v>
      </c>
      <c r="E380" s="5" t="str">
        <f ca="1">IFERROR(__xludf.DUMMYFUNCTION("""COMPUTED_VALUE"""),"Команда №3736")</f>
        <v>Команда №3736</v>
      </c>
      <c r="F380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380" s="7">
        <f ca="1">IFERROR(__xludf.DUMMYFUNCTION("""COMPUTED_VALUE"""),85)</f>
        <v>85</v>
      </c>
    </row>
    <row r="381" spans="1:7" ht="26.4" x14ac:dyDescent="0.25">
      <c r="A381" s="5">
        <f ca="1">IFERROR(__xludf.DUMMYFUNCTION("""COMPUTED_VALUE"""),1069)</f>
        <v>1069</v>
      </c>
      <c r="B381" s="5" t="str">
        <f ca="1">IFERROR(__xludf.DUMMYFUNCTION("""COMPUTED_VALUE"""),"Синилов")</f>
        <v>Синилов</v>
      </c>
      <c r="C381" s="5" t="str">
        <f ca="1">IFERROR(__xludf.DUMMYFUNCTION("""COMPUTED_VALUE"""),"Георгий")</f>
        <v>Георгий</v>
      </c>
      <c r="D381" s="5" t="str">
        <f ca="1">IFERROR(__xludf.DUMMYFUNCTION("""COMPUTED_VALUE"""),"Александрович")</f>
        <v>Александрович</v>
      </c>
      <c r="E381" s="5" t="str">
        <f ca="1">IFERROR(__xludf.DUMMYFUNCTION("""COMPUTED_VALUE"""),"Команда №3736")</f>
        <v>Команда №3736</v>
      </c>
      <c r="F381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381" s="7">
        <f ca="1">IFERROR(__xludf.DUMMYFUNCTION("""COMPUTED_VALUE"""),85)</f>
        <v>85</v>
      </c>
    </row>
    <row r="382" spans="1:7" ht="26.4" x14ac:dyDescent="0.25">
      <c r="A382" s="5">
        <f ca="1">IFERROR(__xludf.DUMMYFUNCTION("""COMPUTED_VALUE"""),1123)</f>
        <v>1123</v>
      </c>
      <c r="B382" s="5" t="str">
        <f ca="1">IFERROR(__xludf.DUMMYFUNCTION("""COMPUTED_VALUE"""),"Стрельцов")</f>
        <v>Стрельцов</v>
      </c>
      <c r="C382" s="5" t="str">
        <f ca="1">IFERROR(__xludf.DUMMYFUNCTION("""COMPUTED_VALUE"""),"Вадим")</f>
        <v>Вадим</v>
      </c>
      <c r="D382" s="5" t="str">
        <f ca="1">IFERROR(__xludf.DUMMYFUNCTION("""COMPUTED_VALUE"""),"Вадимович")</f>
        <v>Вадимович</v>
      </c>
      <c r="E382" s="5" t="str">
        <f ca="1">IFERROR(__xludf.DUMMYFUNCTION("""COMPUTED_VALUE"""),"Команда №3736")</f>
        <v>Команда №3736</v>
      </c>
      <c r="F382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382" s="7">
        <f ca="1">IFERROR(__xludf.DUMMYFUNCTION("""COMPUTED_VALUE"""),85)</f>
        <v>85</v>
      </c>
    </row>
    <row r="383" spans="1:7" ht="26.4" x14ac:dyDescent="0.25">
      <c r="A383" s="5">
        <f ca="1">IFERROR(__xludf.DUMMYFUNCTION("""COMPUTED_VALUE"""),49)</f>
        <v>49</v>
      </c>
      <c r="B383" s="5" t="str">
        <f ca="1">IFERROR(__xludf.DUMMYFUNCTION("""COMPUTED_VALUE"""),"Аншуков")</f>
        <v>Аншуков</v>
      </c>
      <c r="C383" s="5" t="str">
        <f ca="1">IFERROR(__xludf.DUMMYFUNCTION("""COMPUTED_VALUE"""),"Владислав")</f>
        <v>Владислав</v>
      </c>
      <c r="D383" s="5" t="str">
        <f ca="1">IFERROR(__xludf.DUMMYFUNCTION("""COMPUTED_VALUE"""),"Дмитриевич")</f>
        <v>Дмитриевич</v>
      </c>
      <c r="E383" s="5" t="str">
        <f ca="1">IFERROR(__xludf.DUMMYFUNCTION("""COMPUTED_VALUE"""),"Команда №3737")</f>
        <v>Команда №3737</v>
      </c>
      <c r="F383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83" s="7">
        <f ca="1">IFERROR(__xludf.DUMMYFUNCTION("""COMPUTED_VALUE"""),95)</f>
        <v>95</v>
      </c>
    </row>
    <row r="384" spans="1:7" ht="26.4" x14ac:dyDescent="0.25">
      <c r="A384" s="5">
        <f ca="1">IFERROR(__xludf.DUMMYFUNCTION("""COMPUTED_VALUE"""),248)</f>
        <v>248</v>
      </c>
      <c r="B384" s="5" t="str">
        <f ca="1">IFERROR(__xludf.DUMMYFUNCTION("""COMPUTED_VALUE"""),"Гизатуллина")</f>
        <v>Гизатуллина</v>
      </c>
      <c r="C384" s="5" t="str">
        <f ca="1">IFERROR(__xludf.DUMMYFUNCTION("""COMPUTED_VALUE"""),"Анна")</f>
        <v>Анна</v>
      </c>
      <c r="D384" s="5" t="str">
        <f ca="1">IFERROR(__xludf.DUMMYFUNCTION("""COMPUTED_VALUE"""),"Руслановна")</f>
        <v>Руслановна</v>
      </c>
      <c r="E384" s="5" t="str">
        <f ca="1">IFERROR(__xludf.DUMMYFUNCTION("""COMPUTED_VALUE"""),"Команда №3737")</f>
        <v>Команда №3737</v>
      </c>
      <c r="F384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84" s="7">
        <f ca="1">IFERROR(__xludf.DUMMYFUNCTION("""COMPUTED_VALUE"""),95)</f>
        <v>95</v>
      </c>
    </row>
    <row r="385" spans="1:7" ht="26.4" x14ac:dyDescent="0.25">
      <c r="A385" s="5">
        <f ca="1">IFERROR(__xludf.DUMMYFUNCTION("""COMPUTED_VALUE"""),510)</f>
        <v>510</v>
      </c>
      <c r="B385" s="5" t="str">
        <f ca="1">IFERROR(__xludf.DUMMYFUNCTION("""COMPUTED_VALUE"""),"Киприн")</f>
        <v>Киприн</v>
      </c>
      <c r="C385" s="5" t="str">
        <f ca="1">IFERROR(__xludf.DUMMYFUNCTION("""COMPUTED_VALUE"""),"Сергей")</f>
        <v>Сергей</v>
      </c>
      <c r="D385" s="5" t="str">
        <f ca="1">IFERROR(__xludf.DUMMYFUNCTION("""COMPUTED_VALUE"""),"Андреевич")</f>
        <v>Андреевич</v>
      </c>
      <c r="E385" s="5" t="str">
        <f ca="1">IFERROR(__xludf.DUMMYFUNCTION("""COMPUTED_VALUE"""),"Команда №3737")</f>
        <v>Команда №3737</v>
      </c>
      <c r="F385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85" s="7">
        <f ca="1">IFERROR(__xludf.DUMMYFUNCTION("""COMPUTED_VALUE"""),95)</f>
        <v>95</v>
      </c>
    </row>
    <row r="386" spans="1:7" ht="26.4" x14ac:dyDescent="0.25">
      <c r="A386" s="5">
        <f ca="1">IFERROR(__xludf.DUMMYFUNCTION("""COMPUTED_VALUE"""),916)</f>
        <v>916</v>
      </c>
      <c r="B386" s="5" t="str">
        <f ca="1">IFERROR(__xludf.DUMMYFUNCTION("""COMPUTED_VALUE"""),"Перминова")</f>
        <v>Перминова</v>
      </c>
      <c r="C386" s="5" t="str">
        <f ca="1">IFERROR(__xludf.DUMMYFUNCTION("""COMPUTED_VALUE"""),"Кристина")</f>
        <v>Кристина</v>
      </c>
      <c r="D386" s="5" t="str">
        <f ca="1">IFERROR(__xludf.DUMMYFUNCTION("""COMPUTED_VALUE"""),"Андреевна")</f>
        <v>Андреевна</v>
      </c>
      <c r="E386" s="5" t="str">
        <f ca="1">IFERROR(__xludf.DUMMYFUNCTION("""COMPUTED_VALUE"""),"Команда №3737")</f>
        <v>Команда №3737</v>
      </c>
      <c r="F386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386" s="7">
        <f ca="1">IFERROR(__xludf.DUMMYFUNCTION("""COMPUTED_VALUE"""),95)</f>
        <v>95</v>
      </c>
    </row>
    <row r="387" spans="1:7" ht="13.2" x14ac:dyDescent="0.25">
      <c r="A387" s="5">
        <f ca="1">IFERROR(__xludf.DUMMYFUNCTION("""COMPUTED_VALUE"""),320)</f>
        <v>320</v>
      </c>
      <c r="B387" s="5" t="str">
        <f ca="1">IFERROR(__xludf.DUMMYFUNCTION("""COMPUTED_VALUE"""),"Доброгорская")</f>
        <v>Доброгорская</v>
      </c>
      <c r="C387" s="5" t="str">
        <f ca="1">IFERROR(__xludf.DUMMYFUNCTION("""COMPUTED_VALUE"""),"Валерия")</f>
        <v>Валерия</v>
      </c>
      <c r="D387" s="5" t="str">
        <f ca="1">IFERROR(__xludf.DUMMYFUNCTION("""COMPUTED_VALUE"""),"Константиновна")</f>
        <v>Константиновна</v>
      </c>
      <c r="E387" s="5" t="str">
        <f ca="1">IFERROR(__xludf.DUMMYFUNCTION("""COMPUTED_VALUE"""),"Команда №3738")</f>
        <v>Команда №3738</v>
      </c>
      <c r="F387" s="6" t="str">
        <f ca="1">IFERROR(__xludf.DUMMYFUNCTION("""COMPUTED_VALUE"""),"Создание сервисов UDV-Store, U-Store, U-Travel.")</f>
        <v>Создание сервисов UDV-Store, U-Store, U-Travel.</v>
      </c>
      <c r="G387" s="7">
        <f ca="1">IFERROR(__xludf.DUMMYFUNCTION("""COMPUTED_VALUE"""),92)</f>
        <v>92</v>
      </c>
    </row>
    <row r="388" spans="1:7" ht="13.2" x14ac:dyDescent="0.25">
      <c r="A388" s="5">
        <f ca="1">IFERROR(__xludf.DUMMYFUNCTION("""COMPUTED_VALUE"""),445)</f>
        <v>445</v>
      </c>
      <c r="B388" s="5" t="str">
        <f ca="1">IFERROR(__xludf.DUMMYFUNCTION("""COMPUTED_VALUE"""),"Зырянова")</f>
        <v>Зырянова</v>
      </c>
      <c r="C388" s="5" t="str">
        <f ca="1">IFERROR(__xludf.DUMMYFUNCTION("""COMPUTED_VALUE"""),"Наталья")</f>
        <v>Наталья</v>
      </c>
      <c r="D388" s="5" t="str">
        <f ca="1">IFERROR(__xludf.DUMMYFUNCTION("""COMPUTED_VALUE"""),"Александровна")</f>
        <v>Александровна</v>
      </c>
      <c r="E388" s="5" t="str">
        <f ca="1">IFERROR(__xludf.DUMMYFUNCTION("""COMPUTED_VALUE"""),"Команда №3738")</f>
        <v>Команда №3738</v>
      </c>
      <c r="F388" s="6" t="str">
        <f ca="1">IFERROR(__xludf.DUMMYFUNCTION("""COMPUTED_VALUE"""),"Создание сервисов UDV-Store, U-Store, U-Travel.")</f>
        <v>Создание сервисов UDV-Store, U-Store, U-Travel.</v>
      </c>
      <c r="G388" s="7">
        <f ca="1">IFERROR(__xludf.DUMMYFUNCTION("""COMPUTED_VALUE"""),92)</f>
        <v>92</v>
      </c>
    </row>
    <row r="389" spans="1:7" ht="13.2" x14ac:dyDescent="0.25">
      <c r="A389" s="5">
        <f ca="1">IFERROR(__xludf.DUMMYFUNCTION("""COMPUTED_VALUE"""),704)</f>
        <v>704</v>
      </c>
      <c r="B389" s="5" t="str">
        <f ca="1">IFERROR(__xludf.DUMMYFUNCTION("""COMPUTED_VALUE"""),"Мавриц")</f>
        <v>Мавриц</v>
      </c>
      <c r="C389" s="5" t="str">
        <f ca="1">IFERROR(__xludf.DUMMYFUNCTION("""COMPUTED_VALUE"""),"Артём")</f>
        <v>Артём</v>
      </c>
      <c r="D389" s="5" t="str">
        <f ca="1">IFERROR(__xludf.DUMMYFUNCTION("""COMPUTED_VALUE"""),"Юрьевич")</f>
        <v>Юрьевич</v>
      </c>
      <c r="E389" s="5" t="str">
        <f ca="1">IFERROR(__xludf.DUMMYFUNCTION("""COMPUTED_VALUE"""),"Команда №3738")</f>
        <v>Команда №3738</v>
      </c>
      <c r="F389" s="6" t="str">
        <f ca="1">IFERROR(__xludf.DUMMYFUNCTION("""COMPUTED_VALUE"""),"Создание сервисов UDV-Store, U-Store, U-Travel.")</f>
        <v>Создание сервисов UDV-Store, U-Store, U-Travel.</v>
      </c>
      <c r="G389" s="7">
        <f ca="1">IFERROR(__xludf.DUMMYFUNCTION("""COMPUTED_VALUE"""),92)</f>
        <v>92</v>
      </c>
    </row>
    <row r="390" spans="1:7" ht="13.2" x14ac:dyDescent="0.25">
      <c r="A390" s="5">
        <f ca="1">IFERROR(__xludf.DUMMYFUNCTION("""COMPUTED_VALUE"""),1125)</f>
        <v>1125</v>
      </c>
      <c r="B390" s="5" t="str">
        <f ca="1">IFERROR(__xludf.DUMMYFUNCTION("""COMPUTED_VALUE"""),"Строшков")</f>
        <v>Строшков</v>
      </c>
      <c r="C390" s="5" t="str">
        <f ca="1">IFERROR(__xludf.DUMMYFUNCTION("""COMPUTED_VALUE"""),"Артем")</f>
        <v>Артем</v>
      </c>
      <c r="D390" s="5" t="str">
        <f ca="1">IFERROR(__xludf.DUMMYFUNCTION("""COMPUTED_VALUE"""),"Валерьевич")</f>
        <v>Валерьевич</v>
      </c>
      <c r="E390" s="5" t="str">
        <f ca="1">IFERROR(__xludf.DUMMYFUNCTION("""COMPUTED_VALUE"""),"Команда №3738")</f>
        <v>Команда №3738</v>
      </c>
      <c r="F390" s="6" t="str">
        <f ca="1">IFERROR(__xludf.DUMMYFUNCTION("""COMPUTED_VALUE"""),"Создание сервисов UDV-Store, U-Store, U-Travel.")</f>
        <v>Создание сервисов UDV-Store, U-Store, U-Travel.</v>
      </c>
      <c r="G390" s="7">
        <f ca="1">IFERROR(__xludf.DUMMYFUNCTION("""COMPUTED_VALUE"""),92)</f>
        <v>92</v>
      </c>
    </row>
    <row r="391" spans="1:7" ht="13.2" x14ac:dyDescent="0.25">
      <c r="A391" s="5">
        <f ca="1">IFERROR(__xludf.DUMMYFUNCTION("""COMPUTED_VALUE"""),1387)</f>
        <v>1387</v>
      </c>
      <c r="B391" s="5" t="str">
        <f ca="1">IFERROR(__xludf.DUMMYFUNCTION("""COMPUTED_VALUE"""),"Япрынцев")</f>
        <v>Япрынцев</v>
      </c>
      <c r="C391" s="5" t="str">
        <f ca="1">IFERROR(__xludf.DUMMYFUNCTION("""COMPUTED_VALUE"""),"Артём")</f>
        <v>Артём</v>
      </c>
      <c r="D391" s="5" t="str">
        <f ca="1">IFERROR(__xludf.DUMMYFUNCTION("""COMPUTED_VALUE"""),"Максимович")</f>
        <v>Максимович</v>
      </c>
      <c r="E391" s="5" t="str">
        <f ca="1">IFERROR(__xludf.DUMMYFUNCTION("""COMPUTED_VALUE"""),"Команда №3738")</f>
        <v>Команда №3738</v>
      </c>
      <c r="F391" s="6" t="str">
        <f ca="1">IFERROR(__xludf.DUMMYFUNCTION("""COMPUTED_VALUE"""),"Создание сервисов UDV-Store, U-Store, U-Travel.")</f>
        <v>Создание сервисов UDV-Store, U-Store, U-Travel.</v>
      </c>
      <c r="G391" s="7">
        <f ca="1">IFERROR(__xludf.DUMMYFUNCTION("""COMPUTED_VALUE"""),92)</f>
        <v>92</v>
      </c>
    </row>
    <row r="392" spans="1:7" ht="26.4" x14ac:dyDescent="0.25">
      <c r="A392" s="5">
        <f ca="1">IFERROR(__xludf.DUMMYFUNCTION("""COMPUTED_VALUE"""),109)</f>
        <v>109</v>
      </c>
      <c r="B392" s="5" t="str">
        <f ca="1">IFERROR(__xludf.DUMMYFUNCTION("""COMPUTED_VALUE"""),"Беленцов")</f>
        <v>Беленцов</v>
      </c>
      <c r="C392" s="5" t="str">
        <f ca="1">IFERROR(__xludf.DUMMYFUNCTION("""COMPUTED_VALUE"""),"Александр")</f>
        <v>Александр</v>
      </c>
      <c r="D392" s="5" t="str">
        <f ca="1">IFERROR(__xludf.DUMMYFUNCTION("""COMPUTED_VALUE"""),"Артемович")</f>
        <v>Артемович</v>
      </c>
      <c r="E392" s="5" t="str">
        <f ca="1">IFERROR(__xludf.DUMMYFUNCTION("""COMPUTED_VALUE"""),"Команда №3739")</f>
        <v>Команда №3739</v>
      </c>
      <c r="F392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392" s="7">
        <f ca="1">IFERROR(__xludf.DUMMYFUNCTION("""COMPUTED_VALUE"""),87)</f>
        <v>87</v>
      </c>
    </row>
    <row r="393" spans="1:7" ht="26.4" x14ac:dyDescent="0.25">
      <c r="A393" s="5">
        <f ca="1">IFERROR(__xludf.DUMMYFUNCTION("""COMPUTED_VALUE"""),879)</f>
        <v>879</v>
      </c>
      <c r="B393" s="5" t="str">
        <f ca="1">IFERROR(__xludf.DUMMYFUNCTION("""COMPUTED_VALUE"""),"Олексюк")</f>
        <v>Олексюк</v>
      </c>
      <c r="C393" s="5" t="str">
        <f ca="1">IFERROR(__xludf.DUMMYFUNCTION("""COMPUTED_VALUE"""),"Екатерина")</f>
        <v>Екатерина</v>
      </c>
      <c r="D393" s="5" t="str">
        <f ca="1">IFERROR(__xludf.DUMMYFUNCTION("""COMPUTED_VALUE"""),"Андреевна")</f>
        <v>Андреевна</v>
      </c>
      <c r="E393" s="5" t="str">
        <f ca="1">IFERROR(__xludf.DUMMYFUNCTION("""COMPUTED_VALUE"""),"Команда №3739")</f>
        <v>Команда №3739</v>
      </c>
      <c r="F393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393" s="7">
        <f ca="1">IFERROR(__xludf.DUMMYFUNCTION("""COMPUTED_VALUE"""),87)</f>
        <v>87</v>
      </c>
    </row>
    <row r="394" spans="1:7" ht="26.4" x14ac:dyDescent="0.25">
      <c r="A394" s="5">
        <f ca="1">IFERROR(__xludf.DUMMYFUNCTION("""COMPUTED_VALUE"""),930)</f>
        <v>930</v>
      </c>
      <c r="B394" s="5" t="str">
        <f ca="1">IFERROR(__xludf.DUMMYFUNCTION("""COMPUTED_VALUE"""),"Пикулин")</f>
        <v>Пикулин</v>
      </c>
      <c r="C394" s="5" t="str">
        <f ca="1">IFERROR(__xludf.DUMMYFUNCTION("""COMPUTED_VALUE"""),"Марк")</f>
        <v>Марк</v>
      </c>
      <c r="D394" s="5" t="str">
        <f ca="1">IFERROR(__xludf.DUMMYFUNCTION("""COMPUTED_VALUE"""),"Андреевич")</f>
        <v>Андреевич</v>
      </c>
      <c r="E394" s="5" t="str">
        <f ca="1">IFERROR(__xludf.DUMMYFUNCTION("""COMPUTED_VALUE"""),"Команда №3739")</f>
        <v>Команда №3739</v>
      </c>
      <c r="F394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394" s="7">
        <f ca="1">IFERROR(__xludf.DUMMYFUNCTION("""COMPUTED_VALUE"""),87)</f>
        <v>87</v>
      </c>
    </row>
    <row r="395" spans="1:7" ht="26.4" x14ac:dyDescent="0.25">
      <c r="A395" s="5">
        <f ca="1">IFERROR(__xludf.DUMMYFUNCTION("""COMPUTED_VALUE"""),1190)</f>
        <v>1190</v>
      </c>
      <c r="B395" s="5" t="str">
        <f ca="1">IFERROR(__xludf.DUMMYFUNCTION("""COMPUTED_VALUE"""),"Угренева")</f>
        <v>Угренева</v>
      </c>
      <c r="C395" s="5" t="str">
        <f ca="1">IFERROR(__xludf.DUMMYFUNCTION("""COMPUTED_VALUE"""),"Снежана")</f>
        <v>Снежана</v>
      </c>
      <c r="D395" s="5" t="str">
        <f ca="1">IFERROR(__xludf.DUMMYFUNCTION("""COMPUTED_VALUE"""),"Ильинична")</f>
        <v>Ильинична</v>
      </c>
      <c r="E395" s="5" t="str">
        <f ca="1">IFERROR(__xludf.DUMMYFUNCTION("""COMPUTED_VALUE"""),"Команда №3739")</f>
        <v>Команда №3739</v>
      </c>
      <c r="F395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395" s="7">
        <f ca="1">IFERROR(__xludf.DUMMYFUNCTION("""COMPUTED_VALUE"""),87)</f>
        <v>87</v>
      </c>
    </row>
    <row r="396" spans="1:7" ht="26.4" x14ac:dyDescent="0.25">
      <c r="A396" s="5">
        <f ca="1">IFERROR(__xludf.DUMMYFUNCTION("""COMPUTED_VALUE"""),229)</f>
        <v>229</v>
      </c>
      <c r="B396" s="5" t="str">
        <f ca="1">IFERROR(__xludf.DUMMYFUNCTION("""COMPUTED_VALUE"""),"Вяткин")</f>
        <v>Вяткин</v>
      </c>
      <c r="C396" s="5" t="str">
        <f ca="1">IFERROR(__xludf.DUMMYFUNCTION("""COMPUTED_VALUE"""),"Сергей")</f>
        <v>Сергей</v>
      </c>
      <c r="D396" s="5" t="str">
        <f ca="1">IFERROR(__xludf.DUMMYFUNCTION("""COMPUTED_VALUE"""),"Юрьевич")</f>
        <v>Юрьевич</v>
      </c>
      <c r="E396" s="5" t="str">
        <f ca="1">IFERROR(__xludf.DUMMYFUNCTION("""COMPUTED_VALUE"""),"Команда №3740")</f>
        <v>Команда №3740</v>
      </c>
      <c r="F396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96" s="7">
        <f ca="1">IFERROR(__xludf.DUMMYFUNCTION("""COMPUTED_VALUE"""),85)</f>
        <v>85</v>
      </c>
    </row>
    <row r="397" spans="1:7" ht="26.4" x14ac:dyDescent="0.25">
      <c r="A397" s="5">
        <f ca="1">IFERROR(__xludf.DUMMYFUNCTION("""COMPUTED_VALUE"""),467)</f>
        <v>467</v>
      </c>
      <c r="B397" s="5" t="str">
        <f ca="1">IFERROR(__xludf.DUMMYFUNCTION("""COMPUTED_VALUE"""),"Инокова")</f>
        <v>Инокова</v>
      </c>
      <c r="C397" s="5" t="str">
        <f ca="1">IFERROR(__xludf.DUMMYFUNCTION("""COMPUTED_VALUE"""),"Эвита")</f>
        <v>Эвита</v>
      </c>
      <c r="D397" s="5" t="str">
        <f ca="1">IFERROR(__xludf.DUMMYFUNCTION("""COMPUTED_VALUE"""),"Юрьевна")</f>
        <v>Юрьевна</v>
      </c>
      <c r="E397" s="5" t="str">
        <f ca="1">IFERROR(__xludf.DUMMYFUNCTION("""COMPUTED_VALUE"""),"Команда №3740")</f>
        <v>Команда №3740</v>
      </c>
      <c r="F397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97" s="7">
        <f ca="1">IFERROR(__xludf.DUMMYFUNCTION("""COMPUTED_VALUE"""),85)</f>
        <v>85</v>
      </c>
    </row>
    <row r="398" spans="1:7" ht="26.4" x14ac:dyDescent="0.25">
      <c r="A398" s="5">
        <f ca="1">IFERROR(__xludf.DUMMYFUNCTION("""COMPUTED_VALUE"""),844)</f>
        <v>844</v>
      </c>
      <c r="B398" s="5" t="str">
        <f ca="1">IFERROR(__xludf.DUMMYFUNCTION("""COMPUTED_VALUE"""),"Никитина")</f>
        <v>Никитина</v>
      </c>
      <c r="C398" s="5" t="str">
        <f ca="1">IFERROR(__xludf.DUMMYFUNCTION("""COMPUTED_VALUE"""),"Кристина")</f>
        <v>Кристина</v>
      </c>
      <c r="D398" s="5" t="str">
        <f ca="1">IFERROR(__xludf.DUMMYFUNCTION("""COMPUTED_VALUE"""),"Владимировна")</f>
        <v>Владимировна</v>
      </c>
      <c r="E398" s="5" t="str">
        <f ca="1">IFERROR(__xludf.DUMMYFUNCTION("""COMPUTED_VALUE"""),"Команда №3740")</f>
        <v>Команда №3740</v>
      </c>
      <c r="F398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98" s="7">
        <f ca="1">IFERROR(__xludf.DUMMYFUNCTION("""COMPUTED_VALUE"""),85)</f>
        <v>85</v>
      </c>
    </row>
    <row r="399" spans="1:7" ht="26.4" x14ac:dyDescent="0.25">
      <c r="A399" s="5">
        <f ca="1">IFERROR(__xludf.DUMMYFUNCTION("""COMPUTED_VALUE"""),866)</f>
        <v>866</v>
      </c>
      <c r="B399" s="5" t="str">
        <f ca="1">IFERROR(__xludf.DUMMYFUNCTION("""COMPUTED_VALUE"""),"Нюкина")</f>
        <v>Нюкина</v>
      </c>
      <c r="C399" s="5" t="str">
        <f ca="1">IFERROR(__xludf.DUMMYFUNCTION("""COMPUTED_VALUE"""),"Надежда")</f>
        <v>Надежда</v>
      </c>
      <c r="D399" s="5" t="str">
        <f ca="1">IFERROR(__xludf.DUMMYFUNCTION("""COMPUTED_VALUE"""),"Андреевна")</f>
        <v>Андреевна</v>
      </c>
      <c r="E399" s="5" t="str">
        <f ca="1">IFERROR(__xludf.DUMMYFUNCTION("""COMPUTED_VALUE"""),"Команда №3740")</f>
        <v>Команда №3740</v>
      </c>
      <c r="F399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399" s="7">
        <f ca="1">IFERROR(__xludf.DUMMYFUNCTION("""COMPUTED_VALUE"""),85)</f>
        <v>85</v>
      </c>
    </row>
    <row r="400" spans="1:7" ht="26.4" x14ac:dyDescent="0.25">
      <c r="A400" s="5">
        <f ca="1">IFERROR(__xludf.DUMMYFUNCTION("""COMPUTED_VALUE"""),1101)</f>
        <v>1101</v>
      </c>
      <c r="B400" s="5" t="str">
        <f ca="1">IFERROR(__xludf.DUMMYFUNCTION("""COMPUTED_VALUE"""),"Соловьев")</f>
        <v>Соловьев</v>
      </c>
      <c r="C400" s="5" t="str">
        <f ca="1">IFERROR(__xludf.DUMMYFUNCTION("""COMPUTED_VALUE"""),"Артем")</f>
        <v>Артем</v>
      </c>
      <c r="D400" s="5" t="str">
        <f ca="1">IFERROR(__xludf.DUMMYFUNCTION("""COMPUTED_VALUE"""),"Антонович")</f>
        <v>Антонович</v>
      </c>
      <c r="E400" s="5" t="str">
        <f ca="1">IFERROR(__xludf.DUMMYFUNCTION("""COMPUTED_VALUE"""),"Команда №3740")</f>
        <v>Команда №3740</v>
      </c>
      <c r="F400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400" s="7">
        <f ca="1">IFERROR(__xludf.DUMMYFUNCTION("""COMPUTED_VALUE"""),85)</f>
        <v>85</v>
      </c>
    </row>
    <row r="401" spans="1:7" ht="26.4" x14ac:dyDescent="0.25">
      <c r="A401" s="5">
        <f ca="1">IFERROR(__xludf.DUMMYFUNCTION("""COMPUTED_VALUE"""),170)</f>
        <v>170</v>
      </c>
      <c r="B401" s="5" t="str">
        <f ca="1">IFERROR(__xludf.DUMMYFUNCTION("""COMPUTED_VALUE"""),"Ваганова")</f>
        <v>Ваганова</v>
      </c>
      <c r="C401" s="5" t="str">
        <f ca="1">IFERROR(__xludf.DUMMYFUNCTION("""COMPUTED_VALUE"""),"Ангелина")</f>
        <v>Ангелина</v>
      </c>
      <c r="D401" s="5" t="str">
        <f ca="1">IFERROR(__xludf.DUMMYFUNCTION("""COMPUTED_VALUE"""),"Владимировна")</f>
        <v>Владимировна</v>
      </c>
      <c r="E401" s="5" t="str">
        <f ca="1">IFERROR(__xludf.DUMMYFUNCTION("""COMPUTED_VALUE"""),"Команда №3741")</f>
        <v>Команда №3741</v>
      </c>
      <c r="F401" s="6" t="str">
        <f ca="1">IFERROR(__xludf.DUMMYFUNCTION("""COMPUTED_VALUE"""),"Создание личного кабинета студента-стажёра (развитие функционала).")</f>
        <v>Создание личного кабинета студента-стажёра (развитие функционала).</v>
      </c>
      <c r="G401" s="7">
        <f ca="1">IFERROR(__xludf.DUMMYFUNCTION("""COMPUTED_VALUE"""),89)</f>
        <v>89</v>
      </c>
    </row>
    <row r="402" spans="1:7" ht="26.4" x14ac:dyDescent="0.25">
      <c r="A402" s="5">
        <f ca="1">IFERROR(__xludf.DUMMYFUNCTION("""COMPUTED_VALUE"""),314)</f>
        <v>314</v>
      </c>
      <c r="B402" s="5" t="str">
        <f ca="1">IFERROR(__xludf.DUMMYFUNCTION("""COMPUTED_VALUE"""),"Деньщик")</f>
        <v>Деньщик</v>
      </c>
      <c r="C402" s="5" t="str">
        <f ca="1">IFERROR(__xludf.DUMMYFUNCTION("""COMPUTED_VALUE"""),"Дарья")</f>
        <v>Дарья</v>
      </c>
      <c r="D402" s="5" t="str">
        <f ca="1">IFERROR(__xludf.DUMMYFUNCTION("""COMPUTED_VALUE"""),"Дмитриевна")</f>
        <v>Дмитриевна</v>
      </c>
      <c r="E402" s="5" t="str">
        <f ca="1">IFERROR(__xludf.DUMMYFUNCTION("""COMPUTED_VALUE"""),"Команда №3741")</f>
        <v>Команда №3741</v>
      </c>
      <c r="F402" s="6" t="str">
        <f ca="1">IFERROR(__xludf.DUMMYFUNCTION("""COMPUTED_VALUE"""),"Создание личного кабинета студента-стажёра (развитие функционала).")</f>
        <v>Создание личного кабинета студента-стажёра (развитие функционала).</v>
      </c>
      <c r="G402" s="7">
        <f ca="1">IFERROR(__xludf.DUMMYFUNCTION("""COMPUTED_VALUE"""),89)</f>
        <v>89</v>
      </c>
    </row>
    <row r="403" spans="1:7" ht="26.4" x14ac:dyDescent="0.25">
      <c r="A403" s="5">
        <f ca="1">IFERROR(__xludf.DUMMYFUNCTION("""COMPUTED_VALUE"""),420)</f>
        <v>420</v>
      </c>
      <c r="B403" s="5" t="str">
        <f ca="1">IFERROR(__xludf.DUMMYFUNCTION("""COMPUTED_VALUE"""),"Засыпкина")</f>
        <v>Засыпкина</v>
      </c>
      <c r="C403" s="5" t="str">
        <f ca="1">IFERROR(__xludf.DUMMYFUNCTION("""COMPUTED_VALUE"""),"Елена")</f>
        <v>Елена</v>
      </c>
      <c r="D403" s="5" t="str">
        <f ca="1">IFERROR(__xludf.DUMMYFUNCTION("""COMPUTED_VALUE"""),"Юрьевна")</f>
        <v>Юрьевна</v>
      </c>
      <c r="E403" s="5" t="str">
        <f ca="1">IFERROR(__xludf.DUMMYFUNCTION("""COMPUTED_VALUE"""),"Команда №3741")</f>
        <v>Команда №3741</v>
      </c>
      <c r="F403" s="6" t="str">
        <f ca="1">IFERROR(__xludf.DUMMYFUNCTION("""COMPUTED_VALUE"""),"Создание личного кабинета студента-стажёра (развитие функционала).")</f>
        <v>Создание личного кабинета студента-стажёра (развитие функционала).</v>
      </c>
      <c r="G403" s="7">
        <f ca="1">IFERROR(__xludf.DUMMYFUNCTION("""COMPUTED_VALUE"""),89)</f>
        <v>89</v>
      </c>
    </row>
    <row r="404" spans="1:7" ht="26.4" x14ac:dyDescent="0.25">
      <c r="A404" s="5">
        <f ca="1">IFERROR(__xludf.DUMMYFUNCTION("""COMPUTED_VALUE"""),1017)</f>
        <v>1017</v>
      </c>
      <c r="B404" s="5" t="str">
        <f ca="1">IFERROR(__xludf.DUMMYFUNCTION("""COMPUTED_VALUE"""),"Сабреков")</f>
        <v>Сабреков</v>
      </c>
      <c r="C404" s="5" t="str">
        <f ca="1">IFERROR(__xludf.DUMMYFUNCTION("""COMPUTED_VALUE"""),"Максим")</f>
        <v>Максим</v>
      </c>
      <c r="D404" s="5" t="str">
        <f ca="1">IFERROR(__xludf.DUMMYFUNCTION("""COMPUTED_VALUE"""),"Вячеславович")</f>
        <v>Вячеславович</v>
      </c>
      <c r="E404" s="5" t="str">
        <f ca="1">IFERROR(__xludf.DUMMYFUNCTION("""COMPUTED_VALUE"""),"Команда №3741")</f>
        <v>Команда №3741</v>
      </c>
      <c r="F404" s="6" t="str">
        <f ca="1">IFERROR(__xludf.DUMMYFUNCTION("""COMPUTED_VALUE"""),"Создание личного кабинета студента-стажёра (развитие функционала).")</f>
        <v>Создание личного кабинета студента-стажёра (развитие функционала).</v>
      </c>
      <c r="G404" s="7">
        <f ca="1">IFERROR(__xludf.DUMMYFUNCTION("""COMPUTED_VALUE"""),89)</f>
        <v>89</v>
      </c>
    </row>
    <row r="405" spans="1:7" ht="26.4" x14ac:dyDescent="0.25">
      <c r="A405" s="5">
        <f ca="1">IFERROR(__xludf.DUMMYFUNCTION("""COMPUTED_VALUE"""),1254)</f>
        <v>1254</v>
      </c>
      <c r="B405" s="5" t="str">
        <f ca="1">IFERROR(__xludf.DUMMYFUNCTION("""COMPUTED_VALUE"""),"Хмелёва")</f>
        <v>Хмелёва</v>
      </c>
      <c r="C405" s="5" t="str">
        <f ca="1">IFERROR(__xludf.DUMMYFUNCTION("""COMPUTED_VALUE"""),"Виктория")</f>
        <v>Виктория</v>
      </c>
      <c r="D405" s="5" t="str">
        <f ca="1">IFERROR(__xludf.DUMMYFUNCTION("""COMPUTED_VALUE"""),"Сергеевна")</f>
        <v>Сергеевна</v>
      </c>
      <c r="E405" s="5" t="str">
        <f ca="1">IFERROR(__xludf.DUMMYFUNCTION("""COMPUTED_VALUE"""),"Команда №3741")</f>
        <v>Команда №3741</v>
      </c>
      <c r="F405" s="6" t="str">
        <f ca="1">IFERROR(__xludf.DUMMYFUNCTION("""COMPUTED_VALUE"""),"Создание личного кабинета студента-стажёра (развитие функционала).")</f>
        <v>Создание личного кабинета студента-стажёра (развитие функционала).</v>
      </c>
      <c r="G405" s="7">
        <f ca="1">IFERROR(__xludf.DUMMYFUNCTION("""COMPUTED_VALUE"""),89)</f>
        <v>89</v>
      </c>
    </row>
    <row r="406" spans="1:7" ht="13.2" x14ac:dyDescent="0.25">
      <c r="A406" s="5">
        <f ca="1">IFERROR(__xludf.DUMMYFUNCTION("""COMPUTED_VALUE"""),202)</f>
        <v>202</v>
      </c>
      <c r="B406" s="5" t="str">
        <f ca="1">IFERROR(__xludf.DUMMYFUNCTION("""COMPUTED_VALUE"""),"Винокурский")</f>
        <v>Винокурский</v>
      </c>
      <c r="C406" s="5" t="str">
        <f ca="1">IFERROR(__xludf.DUMMYFUNCTION("""COMPUTED_VALUE"""),"Григорий")</f>
        <v>Григорий</v>
      </c>
      <c r="D406" s="5" t="str">
        <f ca="1">IFERROR(__xludf.DUMMYFUNCTION("""COMPUTED_VALUE"""),"Львович")</f>
        <v>Львович</v>
      </c>
      <c r="E406" s="5" t="str">
        <f ca="1">IFERROR(__xludf.DUMMYFUNCTION("""COMPUTED_VALUE"""),"Команда №3742")</f>
        <v>Команда №3742</v>
      </c>
      <c r="F406" s="6" t="str">
        <f ca="1">IFERROR(__xludf.DUMMYFUNCTION("""COMPUTED_VALUE"""),"Интеллектуальный анализ структуры документа")</f>
        <v>Интеллектуальный анализ структуры документа</v>
      </c>
      <c r="G406" s="7">
        <f ca="1">IFERROR(__xludf.DUMMYFUNCTION("""COMPUTED_VALUE"""),86)</f>
        <v>86</v>
      </c>
    </row>
    <row r="407" spans="1:7" ht="13.2" x14ac:dyDescent="0.25">
      <c r="A407" s="5">
        <f ca="1">IFERROR(__xludf.DUMMYFUNCTION("""COMPUTED_VALUE"""),636)</f>
        <v>636</v>
      </c>
      <c r="B407" s="5" t="str">
        <f ca="1">IFERROR(__xludf.DUMMYFUNCTION("""COMPUTED_VALUE"""),"Куланчеев")</f>
        <v>Куланчеев</v>
      </c>
      <c r="C407" s="5" t="str">
        <f ca="1">IFERROR(__xludf.DUMMYFUNCTION("""COMPUTED_VALUE"""),"Евгений")</f>
        <v>Евгений</v>
      </c>
      <c r="D407" s="5" t="str">
        <f ca="1">IFERROR(__xludf.DUMMYFUNCTION("""COMPUTED_VALUE"""),"Анатольевич")</f>
        <v>Анатольевич</v>
      </c>
      <c r="E407" s="5" t="str">
        <f ca="1">IFERROR(__xludf.DUMMYFUNCTION("""COMPUTED_VALUE"""),"Команда №3742")</f>
        <v>Команда №3742</v>
      </c>
      <c r="F407" s="6" t="str">
        <f ca="1">IFERROR(__xludf.DUMMYFUNCTION("""COMPUTED_VALUE"""),"Интеллектуальный анализ структуры документа")</f>
        <v>Интеллектуальный анализ структуры документа</v>
      </c>
      <c r="G407" s="7">
        <f ca="1">IFERROR(__xludf.DUMMYFUNCTION("""COMPUTED_VALUE"""),86)</f>
        <v>86</v>
      </c>
    </row>
    <row r="408" spans="1:7" ht="13.2" x14ac:dyDescent="0.25">
      <c r="A408" s="5">
        <f ca="1">IFERROR(__xludf.DUMMYFUNCTION("""COMPUTED_VALUE"""),1243)</f>
        <v>1243</v>
      </c>
      <c r="B408" s="5" t="str">
        <f ca="1">IFERROR(__xludf.DUMMYFUNCTION("""COMPUTED_VALUE"""),"Харитонов")</f>
        <v>Харитонов</v>
      </c>
      <c r="C408" s="5" t="str">
        <f ca="1">IFERROR(__xludf.DUMMYFUNCTION("""COMPUTED_VALUE"""),"Дмитрий")</f>
        <v>Дмитрий</v>
      </c>
      <c r="D408" s="5" t="str">
        <f ca="1">IFERROR(__xludf.DUMMYFUNCTION("""COMPUTED_VALUE"""),"Сергеевич")</f>
        <v>Сергеевич</v>
      </c>
      <c r="E408" s="5" t="str">
        <f ca="1">IFERROR(__xludf.DUMMYFUNCTION("""COMPUTED_VALUE"""),"Команда №3742")</f>
        <v>Команда №3742</v>
      </c>
      <c r="F408" s="6" t="str">
        <f ca="1">IFERROR(__xludf.DUMMYFUNCTION("""COMPUTED_VALUE"""),"Интеллектуальный анализ структуры документа")</f>
        <v>Интеллектуальный анализ структуры документа</v>
      </c>
      <c r="G408" s="7">
        <f ca="1">IFERROR(__xludf.DUMMYFUNCTION("""COMPUTED_VALUE"""),86)</f>
        <v>86</v>
      </c>
    </row>
    <row r="409" spans="1:7" ht="13.2" x14ac:dyDescent="0.25">
      <c r="A409" s="5">
        <f ca="1">IFERROR(__xludf.DUMMYFUNCTION("""COMPUTED_VALUE"""),1335)</f>
        <v>1335</v>
      </c>
      <c r="B409" s="5" t="str">
        <f ca="1">IFERROR(__xludf.DUMMYFUNCTION("""COMPUTED_VALUE"""),"Шишаев")</f>
        <v>Шишаев</v>
      </c>
      <c r="C409" s="5" t="str">
        <f ca="1">IFERROR(__xludf.DUMMYFUNCTION("""COMPUTED_VALUE"""),"Вячеслав")</f>
        <v>Вячеслав</v>
      </c>
      <c r="D409" s="5" t="str">
        <f ca="1">IFERROR(__xludf.DUMMYFUNCTION("""COMPUTED_VALUE"""),"Алексеевич")</f>
        <v>Алексеевич</v>
      </c>
      <c r="E409" s="5" t="str">
        <f ca="1">IFERROR(__xludf.DUMMYFUNCTION("""COMPUTED_VALUE"""),"Команда №3742")</f>
        <v>Команда №3742</v>
      </c>
      <c r="F409" s="6" t="str">
        <f ca="1">IFERROR(__xludf.DUMMYFUNCTION("""COMPUTED_VALUE"""),"Интеллектуальный анализ структуры документа")</f>
        <v>Интеллектуальный анализ структуры документа</v>
      </c>
      <c r="G409" s="7">
        <f ca="1">IFERROR(__xludf.DUMMYFUNCTION("""COMPUTED_VALUE"""),86)</f>
        <v>86</v>
      </c>
    </row>
    <row r="410" spans="1:7" ht="26.4" x14ac:dyDescent="0.25">
      <c r="A410" s="5">
        <f ca="1">IFERROR(__xludf.DUMMYFUNCTION("""COMPUTED_VALUE"""),46)</f>
        <v>46</v>
      </c>
      <c r="B410" s="5" t="str">
        <f ca="1">IFERROR(__xludf.DUMMYFUNCTION("""COMPUTED_VALUE"""),"Антропова")</f>
        <v>Антропова</v>
      </c>
      <c r="C410" s="5" t="str">
        <f ca="1">IFERROR(__xludf.DUMMYFUNCTION("""COMPUTED_VALUE"""),"Екатерина")</f>
        <v>Екатерина</v>
      </c>
      <c r="D410" s="5" t="str">
        <f ca="1">IFERROR(__xludf.DUMMYFUNCTION("""COMPUTED_VALUE"""),"Сергеевна")</f>
        <v>Сергеевна</v>
      </c>
      <c r="E410" s="5" t="str">
        <f ca="1">IFERROR(__xludf.DUMMYFUNCTION("""COMPUTED_VALUE"""),"Команда №3746")</f>
        <v>Команда №3746</v>
      </c>
      <c r="F410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410" s="7">
        <f ca="1">IFERROR(__xludf.DUMMYFUNCTION("""COMPUTED_VALUE"""),82)</f>
        <v>82</v>
      </c>
    </row>
    <row r="411" spans="1:7" ht="26.4" x14ac:dyDescent="0.25">
      <c r="A411" s="5">
        <f ca="1">IFERROR(__xludf.DUMMYFUNCTION("""COMPUTED_VALUE"""),155)</f>
        <v>155</v>
      </c>
      <c r="B411" s="5" t="str">
        <f ca="1">IFERROR(__xludf.DUMMYFUNCTION("""COMPUTED_VALUE"""),"Булычев")</f>
        <v>Булычев</v>
      </c>
      <c r="C411" s="5" t="str">
        <f ca="1">IFERROR(__xludf.DUMMYFUNCTION("""COMPUTED_VALUE"""),"Станислав")</f>
        <v>Станислав</v>
      </c>
      <c r="D411" s="5" t="str">
        <f ca="1">IFERROR(__xludf.DUMMYFUNCTION("""COMPUTED_VALUE"""),"Дмитриевич")</f>
        <v>Дмитриевич</v>
      </c>
      <c r="E411" s="5" t="str">
        <f ca="1">IFERROR(__xludf.DUMMYFUNCTION("""COMPUTED_VALUE"""),"Команда №3746")</f>
        <v>Команда №3746</v>
      </c>
      <c r="F411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411" s="7">
        <f ca="1">IFERROR(__xludf.DUMMYFUNCTION("""COMPUTED_VALUE"""),82)</f>
        <v>82</v>
      </c>
    </row>
    <row r="412" spans="1:7" ht="26.4" x14ac:dyDescent="0.25">
      <c r="A412" s="5">
        <f ca="1">IFERROR(__xludf.DUMMYFUNCTION("""COMPUTED_VALUE"""),258)</f>
        <v>258</v>
      </c>
      <c r="B412" s="5" t="str">
        <f ca="1">IFERROR(__xludf.DUMMYFUNCTION("""COMPUTED_VALUE"""),"Голланд")</f>
        <v>Голланд</v>
      </c>
      <c r="C412" s="5" t="str">
        <f ca="1">IFERROR(__xludf.DUMMYFUNCTION("""COMPUTED_VALUE"""),"Григорий")</f>
        <v>Григорий</v>
      </c>
      <c r="D412" s="5" t="str">
        <f ca="1">IFERROR(__xludf.DUMMYFUNCTION("""COMPUTED_VALUE"""),"Николаевич")</f>
        <v>Николаевич</v>
      </c>
      <c r="E412" s="5" t="str">
        <f ca="1">IFERROR(__xludf.DUMMYFUNCTION("""COMPUTED_VALUE"""),"Команда №3746")</f>
        <v>Команда №3746</v>
      </c>
      <c r="F412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412" s="7">
        <f ca="1">IFERROR(__xludf.DUMMYFUNCTION("""COMPUTED_VALUE"""),82)</f>
        <v>82</v>
      </c>
    </row>
    <row r="413" spans="1:7" ht="26.4" x14ac:dyDescent="0.25">
      <c r="A413" s="5">
        <f ca="1">IFERROR(__xludf.DUMMYFUNCTION("""COMPUTED_VALUE"""),971)</f>
        <v>971</v>
      </c>
      <c r="B413" s="5" t="str">
        <f ca="1">IFERROR(__xludf.DUMMYFUNCTION("""COMPUTED_VALUE"""),"Путинцев")</f>
        <v>Путинцев</v>
      </c>
      <c r="C413" s="5" t="str">
        <f ca="1">IFERROR(__xludf.DUMMYFUNCTION("""COMPUTED_VALUE"""),"Лев")</f>
        <v>Лев</v>
      </c>
      <c r="D413" s="5" t="str">
        <f ca="1">IFERROR(__xludf.DUMMYFUNCTION("""COMPUTED_VALUE"""),"Константинович")</f>
        <v>Константинович</v>
      </c>
      <c r="E413" s="5" t="str">
        <f ca="1">IFERROR(__xludf.DUMMYFUNCTION("""COMPUTED_VALUE"""),"Команда №3746")</f>
        <v>Команда №3746</v>
      </c>
      <c r="F413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413" s="7">
        <f ca="1">IFERROR(__xludf.DUMMYFUNCTION("""COMPUTED_VALUE"""),82)</f>
        <v>82</v>
      </c>
    </row>
    <row r="414" spans="1:7" ht="26.4" x14ac:dyDescent="0.25">
      <c r="A414" s="5">
        <f ca="1">IFERROR(__xludf.DUMMYFUNCTION("""COMPUTED_VALUE"""),1360)</f>
        <v>1360</v>
      </c>
      <c r="B414" s="5" t="str">
        <f ca="1">IFERROR(__xludf.DUMMYFUNCTION("""COMPUTED_VALUE"""),"Югай")</f>
        <v>Югай</v>
      </c>
      <c r="C414" s="5" t="str">
        <f ca="1">IFERROR(__xludf.DUMMYFUNCTION("""COMPUTED_VALUE"""),"Никита")</f>
        <v>Никита</v>
      </c>
      <c r="D414" s="5" t="str">
        <f ca="1">IFERROR(__xludf.DUMMYFUNCTION("""COMPUTED_VALUE"""),"Николаевич")</f>
        <v>Николаевич</v>
      </c>
      <c r="E414" s="5" t="str">
        <f ca="1">IFERROR(__xludf.DUMMYFUNCTION("""COMPUTED_VALUE"""),"Команда №3746")</f>
        <v>Команда №3746</v>
      </c>
      <c r="F414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414" s="7">
        <f ca="1">IFERROR(__xludf.DUMMYFUNCTION("""COMPUTED_VALUE"""),82)</f>
        <v>82</v>
      </c>
    </row>
    <row r="415" spans="1:7" ht="26.4" x14ac:dyDescent="0.25">
      <c r="A415" s="5">
        <f ca="1">IFERROR(__xludf.DUMMYFUNCTION("""COMPUTED_VALUE"""),268)</f>
        <v>268</v>
      </c>
      <c r="B415" s="5" t="str">
        <f ca="1">IFERROR(__xludf.DUMMYFUNCTION("""COMPUTED_VALUE"""),"Гордеев")</f>
        <v>Гордеев</v>
      </c>
      <c r="C415" s="5" t="str">
        <f ca="1">IFERROR(__xludf.DUMMYFUNCTION("""COMPUTED_VALUE"""),"Денис")</f>
        <v>Денис</v>
      </c>
      <c r="D415" s="5" t="str">
        <f ca="1">IFERROR(__xludf.DUMMYFUNCTION("""COMPUTED_VALUE"""),"Сергеевич")</f>
        <v>Сергеевич</v>
      </c>
      <c r="E415" s="5" t="str">
        <f ca="1">IFERROR(__xludf.DUMMYFUNCTION("""COMPUTED_VALUE"""),"Команда №3747")</f>
        <v>Команда №3747</v>
      </c>
      <c r="F415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415" s="7">
        <f ca="1">IFERROR(__xludf.DUMMYFUNCTION("""COMPUTED_VALUE"""),88)</f>
        <v>88</v>
      </c>
    </row>
    <row r="416" spans="1:7" ht="26.4" x14ac:dyDescent="0.25">
      <c r="A416" s="5">
        <f ca="1">IFERROR(__xludf.DUMMYFUNCTION("""COMPUTED_VALUE"""),1189)</f>
        <v>1189</v>
      </c>
      <c r="B416" s="5" t="str">
        <f ca="1">IFERROR(__xludf.DUMMYFUNCTION("""COMPUTED_VALUE"""),"Углинских")</f>
        <v>Углинских</v>
      </c>
      <c r="C416" s="5" t="str">
        <f ca="1">IFERROR(__xludf.DUMMYFUNCTION("""COMPUTED_VALUE"""),"Никита")</f>
        <v>Никита</v>
      </c>
      <c r="D416" s="5" t="str">
        <f ca="1">IFERROR(__xludf.DUMMYFUNCTION("""COMPUTED_VALUE"""),"Сергеевич")</f>
        <v>Сергеевич</v>
      </c>
      <c r="E416" s="5" t="str">
        <f ca="1">IFERROR(__xludf.DUMMYFUNCTION("""COMPUTED_VALUE"""),"Команда №3747")</f>
        <v>Команда №3747</v>
      </c>
      <c r="F416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416" s="7">
        <f ca="1">IFERROR(__xludf.DUMMYFUNCTION("""COMPUTED_VALUE"""),88)</f>
        <v>88</v>
      </c>
    </row>
    <row r="417" spans="1:7" ht="26.4" x14ac:dyDescent="0.25">
      <c r="A417" s="5">
        <f ca="1">IFERROR(__xludf.DUMMYFUNCTION("""COMPUTED_VALUE"""),1275)</f>
        <v>1275</v>
      </c>
      <c r="B417" s="5" t="str">
        <f ca="1">IFERROR(__xludf.DUMMYFUNCTION("""COMPUTED_VALUE"""),"Черемисин")</f>
        <v>Черемисин</v>
      </c>
      <c r="C417" s="5" t="str">
        <f ca="1">IFERROR(__xludf.DUMMYFUNCTION("""COMPUTED_VALUE"""),"Михаил")</f>
        <v>Михаил</v>
      </c>
      <c r="D417" s="5" t="str">
        <f ca="1">IFERROR(__xludf.DUMMYFUNCTION("""COMPUTED_VALUE"""),"Александрович")</f>
        <v>Александрович</v>
      </c>
      <c r="E417" s="5" t="str">
        <f ca="1">IFERROR(__xludf.DUMMYFUNCTION("""COMPUTED_VALUE"""),"Команда №3747")</f>
        <v>Команда №3747</v>
      </c>
      <c r="F417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417" s="7">
        <f ca="1">IFERROR(__xludf.DUMMYFUNCTION("""COMPUTED_VALUE"""),88)</f>
        <v>88</v>
      </c>
    </row>
    <row r="418" spans="1:7" ht="26.4" x14ac:dyDescent="0.25">
      <c r="A418" s="5">
        <f ca="1">IFERROR(__xludf.DUMMYFUNCTION("""COMPUTED_VALUE"""),243)</f>
        <v>243</v>
      </c>
      <c r="B418" s="5" t="str">
        <f ca="1">IFERROR(__xludf.DUMMYFUNCTION("""COMPUTED_VALUE"""),"Гарипов")</f>
        <v>Гарипов</v>
      </c>
      <c r="C418" s="5" t="str">
        <f ca="1">IFERROR(__xludf.DUMMYFUNCTION("""COMPUTED_VALUE"""),"Руслан")</f>
        <v>Руслан</v>
      </c>
      <c r="D418" s="5" t="str">
        <f ca="1">IFERROR(__xludf.DUMMYFUNCTION("""COMPUTED_VALUE"""),"Илдарович")</f>
        <v>Илдарович</v>
      </c>
      <c r="E418" s="5" t="str">
        <f ca="1">IFERROR(__xludf.DUMMYFUNCTION("""COMPUTED_VALUE"""),"Команда №3750")</f>
        <v>Команда №3750</v>
      </c>
      <c r="F418" s="6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G418" s="7">
        <f ca="1">IFERROR(__xludf.DUMMYFUNCTION("""COMPUTED_VALUE"""),70)</f>
        <v>70</v>
      </c>
    </row>
    <row r="419" spans="1:7" ht="26.4" x14ac:dyDescent="0.25">
      <c r="A419" s="5">
        <f ca="1">IFERROR(__xludf.DUMMYFUNCTION("""COMPUTED_VALUE"""),399)</f>
        <v>399</v>
      </c>
      <c r="B419" s="5" t="str">
        <f ca="1">IFERROR(__xludf.DUMMYFUNCTION("""COMPUTED_VALUE"""),"Заворохин")</f>
        <v>Заворохин</v>
      </c>
      <c r="C419" s="5" t="str">
        <f ca="1">IFERROR(__xludf.DUMMYFUNCTION("""COMPUTED_VALUE"""),"Михаил")</f>
        <v>Михаил</v>
      </c>
      <c r="D419" s="5" t="str">
        <f ca="1">IFERROR(__xludf.DUMMYFUNCTION("""COMPUTED_VALUE"""),"Александрович")</f>
        <v>Александрович</v>
      </c>
      <c r="E419" s="5" t="str">
        <f ca="1">IFERROR(__xludf.DUMMYFUNCTION("""COMPUTED_VALUE"""),"Команда №3750")</f>
        <v>Команда №3750</v>
      </c>
      <c r="F419" s="6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G419" s="7">
        <f ca="1">IFERROR(__xludf.DUMMYFUNCTION("""COMPUTED_VALUE"""),70)</f>
        <v>70</v>
      </c>
    </row>
    <row r="420" spans="1:7" ht="26.4" x14ac:dyDescent="0.25">
      <c r="A420" s="5">
        <f ca="1">IFERROR(__xludf.DUMMYFUNCTION("""COMPUTED_VALUE"""),506)</f>
        <v>506</v>
      </c>
      <c r="B420" s="5" t="str">
        <f ca="1">IFERROR(__xludf.DUMMYFUNCTION("""COMPUTED_VALUE"""),"Керимов")</f>
        <v>Керимов</v>
      </c>
      <c r="C420" s="5" t="str">
        <f ca="1">IFERROR(__xludf.DUMMYFUNCTION("""COMPUTED_VALUE"""),"Камран")</f>
        <v>Камран</v>
      </c>
      <c r="D420" s="5" t="str">
        <f ca="1">IFERROR(__xludf.DUMMYFUNCTION("""COMPUTED_VALUE"""),"Имранович")</f>
        <v>Имранович</v>
      </c>
      <c r="E420" s="5" t="str">
        <f ca="1">IFERROR(__xludf.DUMMYFUNCTION("""COMPUTED_VALUE"""),"Команда №3750")</f>
        <v>Команда №3750</v>
      </c>
      <c r="F420" s="6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G420" s="7">
        <f ca="1">IFERROR(__xludf.DUMMYFUNCTION("""COMPUTED_VALUE"""),70)</f>
        <v>70</v>
      </c>
    </row>
    <row r="421" spans="1:7" ht="26.4" x14ac:dyDescent="0.25">
      <c r="A421" s="5">
        <f ca="1">IFERROR(__xludf.DUMMYFUNCTION("""COMPUTED_VALUE"""),638)</f>
        <v>638</v>
      </c>
      <c r="B421" s="5" t="str">
        <f ca="1">IFERROR(__xludf.DUMMYFUNCTION("""COMPUTED_VALUE"""),"Кулемина")</f>
        <v>Кулемина</v>
      </c>
      <c r="C421" s="5" t="str">
        <f ca="1">IFERROR(__xludf.DUMMYFUNCTION("""COMPUTED_VALUE"""),"Елена")</f>
        <v>Елена</v>
      </c>
      <c r="D421" s="5" t="str">
        <f ca="1">IFERROR(__xludf.DUMMYFUNCTION("""COMPUTED_VALUE"""),"Александровна")</f>
        <v>Александровна</v>
      </c>
      <c r="E421" s="5" t="str">
        <f ca="1">IFERROR(__xludf.DUMMYFUNCTION("""COMPUTED_VALUE"""),"Команда №3750")</f>
        <v>Команда №3750</v>
      </c>
      <c r="F421" s="6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G421" s="7">
        <f ca="1">IFERROR(__xludf.DUMMYFUNCTION("""COMPUTED_VALUE"""),70)</f>
        <v>70</v>
      </c>
    </row>
    <row r="422" spans="1:7" ht="26.4" x14ac:dyDescent="0.25">
      <c r="A422" s="5">
        <f ca="1">IFERROR(__xludf.DUMMYFUNCTION("""COMPUTED_VALUE"""),982)</f>
        <v>982</v>
      </c>
      <c r="B422" s="5" t="str">
        <f ca="1">IFERROR(__xludf.DUMMYFUNCTION("""COMPUTED_VALUE"""),"Рамазанов")</f>
        <v>Рамазанов</v>
      </c>
      <c r="C422" s="5" t="str">
        <f ca="1">IFERROR(__xludf.DUMMYFUNCTION("""COMPUTED_VALUE"""),"Роман")</f>
        <v>Роман</v>
      </c>
      <c r="D422" s="5" t="str">
        <f ca="1">IFERROR(__xludf.DUMMYFUNCTION("""COMPUTED_VALUE"""),"Вадимович")</f>
        <v>Вадимович</v>
      </c>
      <c r="E422" s="5" t="str">
        <f ca="1">IFERROR(__xludf.DUMMYFUNCTION("""COMPUTED_VALUE"""),"Команда №3750")</f>
        <v>Команда №3750</v>
      </c>
      <c r="F422" s="6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G422" s="7">
        <f ca="1">IFERROR(__xludf.DUMMYFUNCTION("""COMPUTED_VALUE"""),70)</f>
        <v>70</v>
      </c>
    </row>
    <row r="423" spans="1:7" ht="26.4" x14ac:dyDescent="0.25">
      <c r="A423" s="5">
        <f ca="1">IFERROR(__xludf.DUMMYFUNCTION("""COMPUTED_VALUE"""),1362)</f>
        <v>1362</v>
      </c>
      <c r="B423" s="5" t="str">
        <f ca="1">IFERROR(__xludf.DUMMYFUNCTION("""COMPUTED_VALUE"""),"Юдицкий")</f>
        <v>Юдицкий</v>
      </c>
      <c r="C423" s="5" t="str">
        <f ca="1">IFERROR(__xludf.DUMMYFUNCTION("""COMPUTED_VALUE"""),"Семен")</f>
        <v>Семен</v>
      </c>
      <c r="D423" s="5" t="str">
        <f ca="1">IFERROR(__xludf.DUMMYFUNCTION("""COMPUTED_VALUE"""),"Денисович")</f>
        <v>Денисович</v>
      </c>
      <c r="E423" s="5" t="str">
        <f ca="1">IFERROR(__xludf.DUMMYFUNCTION("""COMPUTED_VALUE"""),"Команда №3750")</f>
        <v>Команда №3750</v>
      </c>
      <c r="F423" s="6" t="str">
        <f ca="1">IFERROR(__xludf.DUMMYFUNCTION("""COMPUTED_VALUE"""),"Разработка приложения ""Таблица умножения для детей""")</f>
        <v>Разработка приложения "Таблица умножения для детей"</v>
      </c>
      <c r="G423" s="7">
        <f ca="1">IFERROR(__xludf.DUMMYFUNCTION("""COMPUTED_VALUE"""),70)</f>
        <v>70</v>
      </c>
    </row>
    <row r="424" spans="1:7" ht="39.6" x14ac:dyDescent="0.25">
      <c r="A424" s="5">
        <f ca="1">IFERROR(__xludf.DUMMYFUNCTION("""COMPUTED_VALUE"""),32)</f>
        <v>32</v>
      </c>
      <c r="B424" s="5" t="str">
        <f ca="1">IFERROR(__xludf.DUMMYFUNCTION("""COMPUTED_VALUE"""),"Алматов")</f>
        <v>Алматов</v>
      </c>
      <c r="C424" s="5" t="str">
        <f ca="1">IFERROR(__xludf.DUMMYFUNCTION("""COMPUTED_VALUE"""),"Руслан")</f>
        <v>Руслан</v>
      </c>
      <c r="D424" s="5" t="str">
        <f ca="1">IFERROR(__xludf.DUMMYFUNCTION("""COMPUTED_VALUE"""),"Бобокалоноглы")</f>
        <v>Бобокалоноглы</v>
      </c>
      <c r="E424" s="5" t="str">
        <f ca="1">IFERROR(__xludf.DUMMYFUNCTION("""COMPUTED_VALUE"""),"Команда №3751")</f>
        <v>Команда №3751</v>
      </c>
      <c r="F424" s="6" t="str">
        <f ca="1">IFERROR(__xludf.DUMMYFUNCTION("""COMPUTED_VALUE"""),"Разработка системы постановки задач, направленная на достижение жизненного баланса с детальной аналитикой")</f>
        <v>Разработка системы постановки задач, направленная на достижение жизненного баланса с детальной аналитикой</v>
      </c>
      <c r="G424" s="7">
        <f ca="1">IFERROR(__xludf.DUMMYFUNCTION("""COMPUTED_VALUE"""),85)</f>
        <v>85</v>
      </c>
    </row>
    <row r="425" spans="1:7" ht="39.6" x14ac:dyDescent="0.25">
      <c r="A425" s="5">
        <f ca="1">IFERROR(__xludf.DUMMYFUNCTION("""COMPUTED_VALUE"""),177)</f>
        <v>177</v>
      </c>
      <c r="B425" s="5" t="str">
        <f ca="1">IFERROR(__xludf.DUMMYFUNCTION("""COMPUTED_VALUE"""),"Васикова")</f>
        <v>Васикова</v>
      </c>
      <c r="C425" s="5" t="str">
        <f ca="1">IFERROR(__xludf.DUMMYFUNCTION("""COMPUTED_VALUE"""),"Вилера")</f>
        <v>Вилера</v>
      </c>
      <c r="D425" s="5" t="str">
        <f ca="1">IFERROR(__xludf.DUMMYFUNCTION("""COMPUTED_VALUE"""),"Ильмировна")</f>
        <v>Ильмировна</v>
      </c>
      <c r="E425" s="5" t="str">
        <f ca="1">IFERROR(__xludf.DUMMYFUNCTION("""COMPUTED_VALUE"""),"Команда №3751")</f>
        <v>Команда №3751</v>
      </c>
      <c r="F425" s="6" t="str">
        <f ca="1">IFERROR(__xludf.DUMMYFUNCTION("""COMPUTED_VALUE"""),"Разработка системы постановки задач, направленная на достижение жизненного баланса с детальной аналитикой")</f>
        <v>Разработка системы постановки задач, направленная на достижение жизненного баланса с детальной аналитикой</v>
      </c>
      <c r="G425" s="7">
        <f ca="1">IFERROR(__xludf.DUMMYFUNCTION("""COMPUTED_VALUE"""),85)</f>
        <v>85</v>
      </c>
    </row>
    <row r="426" spans="1:7" ht="39.6" x14ac:dyDescent="0.25">
      <c r="A426" s="5">
        <f ca="1">IFERROR(__xludf.DUMMYFUNCTION("""COMPUTED_VALUE"""),259)</f>
        <v>259</v>
      </c>
      <c r="B426" s="5" t="str">
        <f ca="1">IFERROR(__xludf.DUMMYFUNCTION("""COMPUTED_VALUE"""),"Головина")</f>
        <v>Головина</v>
      </c>
      <c r="C426" s="5" t="str">
        <f ca="1">IFERROR(__xludf.DUMMYFUNCTION("""COMPUTED_VALUE"""),"Ольга")</f>
        <v>Ольга</v>
      </c>
      <c r="D426" s="5" t="str">
        <f ca="1">IFERROR(__xludf.DUMMYFUNCTION("""COMPUTED_VALUE"""),"Ивановна")</f>
        <v>Ивановна</v>
      </c>
      <c r="E426" s="5" t="str">
        <f ca="1">IFERROR(__xludf.DUMMYFUNCTION("""COMPUTED_VALUE"""),"Команда №3751")</f>
        <v>Команда №3751</v>
      </c>
      <c r="F426" s="6" t="str">
        <f ca="1">IFERROR(__xludf.DUMMYFUNCTION("""COMPUTED_VALUE"""),"Разработка системы постановки задач, направленная на достижение жизненного баланса с детальной аналитикой")</f>
        <v>Разработка системы постановки задач, направленная на достижение жизненного баланса с детальной аналитикой</v>
      </c>
      <c r="G426" s="7">
        <f ca="1">IFERROR(__xludf.DUMMYFUNCTION("""COMPUTED_VALUE"""),85)</f>
        <v>85</v>
      </c>
    </row>
    <row r="427" spans="1:7" ht="39.6" x14ac:dyDescent="0.25">
      <c r="A427" s="5">
        <f ca="1">IFERROR(__xludf.DUMMYFUNCTION("""COMPUTED_VALUE"""),404)</f>
        <v>404</v>
      </c>
      <c r="B427" s="5" t="str">
        <f ca="1">IFERROR(__xludf.DUMMYFUNCTION("""COMPUTED_VALUE"""),"Загирова")</f>
        <v>Загирова</v>
      </c>
      <c r="C427" s="5" t="str">
        <f ca="1">IFERROR(__xludf.DUMMYFUNCTION("""COMPUTED_VALUE"""),"Ольга")</f>
        <v>Ольга</v>
      </c>
      <c r="D427" s="5" t="str">
        <f ca="1">IFERROR(__xludf.DUMMYFUNCTION("""COMPUTED_VALUE"""),"Сергеевна")</f>
        <v>Сергеевна</v>
      </c>
      <c r="E427" s="5" t="str">
        <f ca="1">IFERROR(__xludf.DUMMYFUNCTION("""COMPUTED_VALUE"""),"Команда №3751")</f>
        <v>Команда №3751</v>
      </c>
      <c r="F427" s="6" t="str">
        <f ca="1">IFERROR(__xludf.DUMMYFUNCTION("""COMPUTED_VALUE"""),"Разработка системы постановки задач, направленная на достижение жизненного баланса с детальной аналитикой")</f>
        <v>Разработка системы постановки задач, направленная на достижение жизненного баланса с детальной аналитикой</v>
      </c>
      <c r="G427" s="7">
        <f ca="1">IFERROR(__xludf.DUMMYFUNCTION("""COMPUTED_VALUE"""),85)</f>
        <v>85</v>
      </c>
    </row>
    <row r="428" spans="1:7" ht="39.6" x14ac:dyDescent="0.25">
      <c r="A428" s="5">
        <f ca="1">IFERROR(__xludf.DUMMYFUNCTION("""COMPUTED_VALUE"""),441)</f>
        <v>441</v>
      </c>
      <c r="B428" s="5" t="str">
        <f ca="1">IFERROR(__xludf.DUMMYFUNCTION("""COMPUTED_VALUE"""),"Зубарев")</f>
        <v>Зубарев</v>
      </c>
      <c r="C428" s="5" t="str">
        <f ca="1">IFERROR(__xludf.DUMMYFUNCTION("""COMPUTED_VALUE"""),"Филипп")</f>
        <v>Филипп</v>
      </c>
      <c r="D428" s="5" t="str">
        <f ca="1">IFERROR(__xludf.DUMMYFUNCTION("""COMPUTED_VALUE"""),"Олегович")</f>
        <v>Олегович</v>
      </c>
      <c r="E428" s="5" t="str">
        <f ca="1">IFERROR(__xludf.DUMMYFUNCTION("""COMPUTED_VALUE"""),"Команда №3751")</f>
        <v>Команда №3751</v>
      </c>
      <c r="F428" s="6" t="str">
        <f ca="1">IFERROR(__xludf.DUMMYFUNCTION("""COMPUTED_VALUE"""),"Разработка системы постановки задач, направленная на достижение жизненного баланса с детальной аналитикой")</f>
        <v>Разработка системы постановки задач, направленная на достижение жизненного баланса с детальной аналитикой</v>
      </c>
      <c r="G428" s="7">
        <f ca="1">IFERROR(__xludf.DUMMYFUNCTION("""COMPUTED_VALUE"""),85)</f>
        <v>85</v>
      </c>
    </row>
    <row r="429" spans="1:7" ht="13.2" x14ac:dyDescent="0.25">
      <c r="A429" s="5">
        <f ca="1">IFERROR(__xludf.DUMMYFUNCTION("""COMPUTED_VALUE"""),161)</f>
        <v>161</v>
      </c>
      <c r="B429" s="5" t="str">
        <f ca="1">IFERROR(__xludf.DUMMYFUNCTION("""COMPUTED_VALUE"""),"Бутаков")</f>
        <v>Бутаков</v>
      </c>
      <c r="C429" s="5" t="str">
        <f ca="1">IFERROR(__xludf.DUMMYFUNCTION("""COMPUTED_VALUE"""),"Максим")</f>
        <v>Максим</v>
      </c>
      <c r="D429" s="5" t="str">
        <f ca="1">IFERROR(__xludf.DUMMYFUNCTION("""COMPUTED_VALUE"""),"Павлович")</f>
        <v>Павлович</v>
      </c>
      <c r="E429" s="5" t="str">
        <f ca="1">IFERROR(__xludf.DUMMYFUNCTION("""COMPUTED_VALUE"""),"Команда №3753")</f>
        <v>Команда №3753</v>
      </c>
      <c r="F429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429" s="7">
        <f ca="1">IFERROR(__xludf.DUMMYFUNCTION("""COMPUTED_VALUE"""),84)</f>
        <v>84</v>
      </c>
    </row>
    <row r="430" spans="1:7" ht="13.2" x14ac:dyDescent="0.25">
      <c r="A430" s="5">
        <f ca="1">IFERROR(__xludf.DUMMYFUNCTION("""COMPUTED_VALUE"""),764)</f>
        <v>764</v>
      </c>
      <c r="B430" s="5" t="str">
        <f ca="1">IFERROR(__xludf.DUMMYFUNCTION("""COMPUTED_VALUE"""),"Минин")</f>
        <v>Минин</v>
      </c>
      <c r="C430" s="5" t="str">
        <f ca="1">IFERROR(__xludf.DUMMYFUNCTION("""COMPUTED_VALUE"""),"Святослав")</f>
        <v>Святослав</v>
      </c>
      <c r="D430" s="5" t="str">
        <f ca="1">IFERROR(__xludf.DUMMYFUNCTION("""COMPUTED_VALUE"""),"Николаевич")</f>
        <v>Николаевич</v>
      </c>
      <c r="E430" s="5" t="str">
        <f ca="1">IFERROR(__xludf.DUMMYFUNCTION("""COMPUTED_VALUE"""),"Команда №3753")</f>
        <v>Команда №3753</v>
      </c>
      <c r="F430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430" s="7">
        <f ca="1">IFERROR(__xludf.DUMMYFUNCTION("""COMPUTED_VALUE"""),84)</f>
        <v>84</v>
      </c>
    </row>
    <row r="431" spans="1:7" ht="13.2" x14ac:dyDescent="0.25">
      <c r="A431" s="5">
        <f ca="1">IFERROR(__xludf.DUMMYFUNCTION("""COMPUTED_VALUE"""),773)</f>
        <v>773</v>
      </c>
      <c r="B431" s="5" t="str">
        <f ca="1">IFERROR(__xludf.DUMMYFUNCTION("""COMPUTED_VALUE"""),"Михеев")</f>
        <v>Михеев</v>
      </c>
      <c r="C431" s="5" t="str">
        <f ca="1">IFERROR(__xludf.DUMMYFUNCTION("""COMPUTED_VALUE"""),"Данил")</f>
        <v>Данил</v>
      </c>
      <c r="D431" s="5" t="str">
        <f ca="1">IFERROR(__xludf.DUMMYFUNCTION("""COMPUTED_VALUE"""),"Евгеньевич")</f>
        <v>Евгеньевич</v>
      </c>
      <c r="E431" s="5" t="str">
        <f ca="1">IFERROR(__xludf.DUMMYFUNCTION("""COMPUTED_VALUE"""),"Команда №3753")</f>
        <v>Команда №3753</v>
      </c>
      <c r="F431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431" s="7">
        <f ca="1">IFERROR(__xludf.DUMMYFUNCTION("""COMPUTED_VALUE"""),84)</f>
        <v>84</v>
      </c>
    </row>
    <row r="432" spans="1:7" ht="13.2" x14ac:dyDescent="0.25">
      <c r="A432" s="5">
        <f ca="1">IFERROR(__xludf.DUMMYFUNCTION("""COMPUTED_VALUE"""),859)</f>
        <v>859</v>
      </c>
      <c r="B432" s="5" t="str">
        <f ca="1">IFERROR(__xludf.DUMMYFUNCTION("""COMPUTED_VALUE"""),"Носик")</f>
        <v>Носик</v>
      </c>
      <c r="C432" s="5" t="str">
        <f ca="1">IFERROR(__xludf.DUMMYFUNCTION("""COMPUTED_VALUE"""),"Роман")</f>
        <v>Роман</v>
      </c>
      <c r="D432" s="5" t="str">
        <f ca="1">IFERROR(__xludf.DUMMYFUNCTION("""COMPUTED_VALUE"""),"Сергеевич")</f>
        <v>Сергеевич</v>
      </c>
      <c r="E432" s="5" t="str">
        <f ca="1">IFERROR(__xludf.DUMMYFUNCTION("""COMPUTED_VALUE"""),"Команда №3753")</f>
        <v>Команда №3753</v>
      </c>
      <c r="F432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432" s="7">
        <f ca="1">IFERROR(__xludf.DUMMYFUNCTION("""COMPUTED_VALUE"""),84)</f>
        <v>84</v>
      </c>
    </row>
    <row r="433" spans="1:7" ht="13.2" x14ac:dyDescent="0.25">
      <c r="A433" s="5">
        <f ca="1">IFERROR(__xludf.DUMMYFUNCTION("""COMPUTED_VALUE"""),1191)</f>
        <v>1191</v>
      </c>
      <c r="B433" s="5" t="str">
        <f ca="1">IFERROR(__xludf.DUMMYFUNCTION("""COMPUTED_VALUE"""),"Удалых")</f>
        <v>Удалых</v>
      </c>
      <c r="C433" s="5" t="str">
        <f ca="1">IFERROR(__xludf.DUMMYFUNCTION("""COMPUTED_VALUE"""),"Максим")</f>
        <v>Максим</v>
      </c>
      <c r="D433" s="5" t="str">
        <f ca="1">IFERROR(__xludf.DUMMYFUNCTION("""COMPUTED_VALUE"""),"Сергеевич")</f>
        <v>Сергеевич</v>
      </c>
      <c r="E433" s="5" t="str">
        <f ca="1">IFERROR(__xludf.DUMMYFUNCTION("""COMPUTED_VALUE"""),"Команда №3753")</f>
        <v>Команда №3753</v>
      </c>
      <c r="F433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433" s="7">
        <f ca="1">IFERROR(__xludf.DUMMYFUNCTION("""COMPUTED_VALUE"""),84)</f>
        <v>84</v>
      </c>
    </row>
    <row r="434" spans="1:7" ht="26.4" x14ac:dyDescent="0.25">
      <c r="A434" s="5">
        <f ca="1">IFERROR(__xludf.DUMMYFUNCTION("""COMPUTED_VALUE"""),119)</f>
        <v>119</v>
      </c>
      <c r="B434" s="5" t="str">
        <f ca="1">IFERROR(__xludf.DUMMYFUNCTION("""COMPUTED_VALUE"""),"Бердышева")</f>
        <v>Бердышева</v>
      </c>
      <c r="C434" s="5" t="str">
        <f ca="1">IFERROR(__xludf.DUMMYFUNCTION("""COMPUTED_VALUE"""),"Мария")</f>
        <v>Мария</v>
      </c>
      <c r="D434" s="5" t="str">
        <f ca="1">IFERROR(__xludf.DUMMYFUNCTION("""COMPUTED_VALUE"""),"Артемовна")</f>
        <v>Артемовна</v>
      </c>
      <c r="E434" s="5" t="str">
        <f ca="1">IFERROR(__xludf.DUMMYFUNCTION("""COMPUTED_VALUE"""),"Команда №3755")</f>
        <v>Команда №3755</v>
      </c>
      <c r="F434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34" s="7">
        <f ca="1">IFERROR(__xludf.DUMMYFUNCTION("""COMPUTED_VALUE"""),80)</f>
        <v>80</v>
      </c>
    </row>
    <row r="435" spans="1:7" ht="26.4" x14ac:dyDescent="0.25">
      <c r="A435" s="5">
        <f ca="1">IFERROR(__xludf.DUMMYFUNCTION("""COMPUTED_VALUE"""),260)</f>
        <v>260</v>
      </c>
      <c r="B435" s="5" t="str">
        <f ca="1">IFERROR(__xludf.DUMMYFUNCTION("""COMPUTED_VALUE"""),"Голосов")</f>
        <v>Голосов</v>
      </c>
      <c r="C435" s="5" t="str">
        <f ca="1">IFERROR(__xludf.DUMMYFUNCTION("""COMPUTED_VALUE"""),"Дмитрий")</f>
        <v>Дмитрий</v>
      </c>
      <c r="D435" s="5" t="str">
        <f ca="1">IFERROR(__xludf.DUMMYFUNCTION("""COMPUTED_VALUE"""),"Сергеевич")</f>
        <v>Сергеевич</v>
      </c>
      <c r="E435" s="5" t="str">
        <f ca="1">IFERROR(__xludf.DUMMYFUNCTION("""COMPUTED_VALUE"""),"Команда №3755")</f>
        <v>Команда №3755</v>
      </c>
      <c r="F435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35" s="7">
        <f ca="1">IFERROR(__xludf.DUMMYFUNCTION("""COMPUTED_VALUE"""),80)</f>
        <v>80</v>
      </c>
    </row>
    <row r="436" spans="1:7" ht="26.4" x14ac:dyDescent="0.25">
      <c r="A436" s="5">
        <f ca="1">IFERROR(__xludf.DUMMYFUNCTION("""COMPUTED_VALUE"""),262)</f>
        <v>262</v>
      </c>
      <c r="B436" s="5" t="str">
        <f ca="1">IFERROR(__xludf.DUMMYFUNCTION("""COMPUTED_VALUE"""),"Голубева")</f>
        <v>Голубева</v>
      </c>
      <c r="C436" s="5" t="str">
        <f ca="1">IFERROR(__xludf.DUMMYFUNCTION("""COMPUTED_VALUE"""),"Кристина")</f>
        <v>Кристина</v>
      </c>
      <c r="D436" s="5" t="str">
        <f ca="1">IFERROR(__xludf.DUMMYFUNCTION("""COMPUTED_VALUE"""),"Владимировна")</f>
        <v>Владимировна</v>
      </c>
      <c r="E436" s="5" t="str">
        <f ca="1">IFERROR(__xludf.DUMMYFUNCTION("""COMPUTED_VALUE"""),"Команда №3755")</f>
        <v>Команда №3755</v>
      </c>
      <c r="F436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36" s="7">
        <f ca="1">IFERROR(__xludf.DUMMYFUNCTION("""COMPUTED_VALUE"""),80)</f>
        <v>80</v>
      </c>
    </row>
    <row r="437" spans="1:7" ht="26.4" x14ac:dyDescent="0.25">
      <c r="A437" s="5">
        <f ca="1">IFERROR(__xludf.DUMMYFUNCTION("""COMPUTED_VALUE"""),333)</f>
        <v>333</v>
      </c>
      <c r="B437" s="5" t="str">
        <f ca="1">IFERROR(__xludf.DUMMYFUNCTION("""COMPUTED_VALUE"""),"Доровских")</f>
        <v>Доровских</v>
      </c>
      <c r="C437" s="5" t="str">
        <f ca="1">IFERROR(__xludf.DUMMYFUNCTION("""COMPUTED_VALUE"""),"Софья")</f>
        <v>Софья</v>
      </c>
      <c r="D437" s="5" t="str">
        <f ca="1">IFERROR(__xludf.DUMMYFUNCTION("""COMPUTED_VALUE"""),"Дмитриевна")</f>
        <v>Дмитриевна</v>
      </c>
      <c r="E437" s="5" t="str">
        <f ca="1">IFERROR(__xludf.DUMMYFUNCTION("""COMPUTED_VALUE"""),"Команда №3755")</f>
        <v>Команда №3755</v>
      </c>
      <c r="F437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37" s="7">
        <f ca="1">IFERROR(__xludf.DUMMYFUNCTION("""COMPUTED_VALUE"""),80)</f>
        <v>80</v>
      </c>
    </row>
    <row r="438" spans="1:7" ht="26.4" x14ac:dyDescent="0.25">
      <c r="A438" s="5">
        <f ca="1">IFERROR(__xludf.DUMMYFUNCTION("""COMPUTED_VALUE"""),201)</f>
        <v>201</v>
      </c>
      <c r="B438" s="5" t="str">
        <f ca="1">IFERROR(__xludf.DUMMYFUNCTION("""COMPUTED_VALUE"""),"Виноградов")</f>
        <v>Виноградов</v>
      </c>
      <c r="C438" s="5" t="str">
        <f ca="1">IFERROR(__xludf.DUMMYFUNCTION("""COMPUTED_VALUE"""),"Артём")</f>
        <v>Артём</v>
      </c>
      <c r="D438" s="5" t="str">
        <f ca="1">IFERROR(__xludf.DUMMYFUNCTION("""COMPUTED_VALUE"""),"Олегович")</f>
        <v>Олегович</v>
      </c>
      <c r="E438" s="5" t="str">
        <f ca="1">IFERROR(__xludf.DUMMYFUNCTION("""COMPUTED_VALUE"""),"Команда №3756")</f>
        <v>Команда №3756</v>
      </c>
      <c r="F438" s="6" t="str">
        <f ca="1">IFERROR(__xludf.DUMMYFUNCTION("""COMPUTED_VALUE"""),"Разработка сервисов по распознаванию рукописных текстов")</f>
        <v>Разработка сервисов по распознаванию рукописных текстов</v>
      </c>
      <c r="G438" s="7">
        <f ca="1">IFERROR(__xludf.DUMMYFUNCTION("""COMPUTED_VALUE"""),98)</f>
        <v>98</v>
      </c>
    </row>
    <row r="439" spans="1:7" ht="26.4" x14ac:dyDescent="0.25">
      <c r="A439" s="5">
        <f ca="1">IFERROR(__xludf.DUMMYFUNCTION("""COMPUTED_VALUE"""),759)</f>
        <v>759</v>
      </c>
      <c r="B439" s="5" t="str">
        <f ca="1">IFERROR(__xludf.DUMMYFUNCTION("""COMPUTED_VALUE"""),"Меркурьев")</f>
        <v>Меркурьев</v>
      </c>
      <c r="C439" s="5" t="str">
        <f ca="1">IFERROR(__xludf.DUMMYFUNCTION("""COMPUTED_VALUE"""),"Максим")</f>
        <v>Максим</v>
      </c>
      <c r="D439" s="5" t="str">
        <f ca="1">IFERROR(__xludf.DUMMYFUNCTION("""COMPUTED_VALUE"""),"Николаевич")</f>
        <v>Николаевич</v>
      </c>
      <c r="E439" s="5" t="str">
        <f ca="1">IFERROR(__xludf.DUMMYFUNCTION("""COMPUTED_VALUE"""),"Команда №3756")</f>
        <v>Команда №3756</v>
      </c>
      <c r="F439" s="6" t="str">
        <f ca="1">IFERROR(__xludf.DUMMYFUNCTION("""COMPUTED_VALUE"""),"Разработка сервисов по распознаванию рукописных текстов")</f>
        <v>Разработка сервисов по распознаванию рукописных текстов</v>
      </c>
      <c r="G439" s="7">
        <f ca="1">IFERROR(__xludf.DUMMYFUNCTION("""COMPUTED_VALUE"""),98)</f>
        <v>98</v>
      </c>
    </row>
    <row r="440" spans="1:7" ht="26.4" x14ac:dyDescent="0.25">
      <c r="A440" s="5">
        <f ca="1">IFERROR(__xludf.DUMMYFUNCTION("""COMPUTED_VALUE"""),979)</f>
        <v>979</v>
      </c>
      <c r="B440" s="5" t="str">
        <f ca="1">IFERROR(__xludf.DUMMYFUNCTION("""COMPUTED_VALUE"""),"Равшанова")</f>
        <v>Равшанова</v>
      </c>
      <c r="C440" s="5" t="str">
        <f ca="1">IFERROR(__xludf.DUMMYFUNCTION("""COMPUTED_VALUE"""),"Шахноза")</f>
        <v>Шахноза</v>
      </c>
      <c r="D440" s="5" t="str">
        <f ca="1">IFERROR(__xludf.DUMMYFUNCTION("""COMPUTED_VALUE"""),"Нодирбековна")</f>
        <v>Нодирбековна</v>
      </c>
      <c r="E440" s="5" t="str">
        <f ca="1">IFERROR(__xludf.DUMMYFUNCTION("""COMPUTED_VALUE"""),"Команда №3756")</f>
        <v>Команда №3756</v>
      </c>
      <c r="F440" s="6" t="str">
        <f ca="1">IFERROR(__xludf.DUMMYFUNCTION("""COMPUTED_VALUE"""),"Разработка сервисов по распознаванию рукописных текстов")</f>
        <v>Разработка сервисов по распознаванию рукописных текстов</v>
      </c>
      <c r="G440" s="7">
        <f ca="1">IFERROR(__xludf.DUMMYFUNCTION("""COMPUTED_VALUE"""),98)</f>
        <v>98</v>
      </c>
    </row>
    <row r="441" spans="1:7" ht="39.6" x14ac:dyDescent="0.25">
      <c r="A441" s="5">
        <f ca="1">IFERROR(__xludf.DUMMYFUNCTION("""COMPUTED_VALUE"""),718)</f>
        <v>718</v>
      </c>
      <c r="B441" s="5" t="str">
        <f ca="1">IFERROR(__xludf.DUMMYFUNCTION("""COMPUTED_VALUE"""),"Малеванный")</f>
        <v>Малеванный</v>
      </c>
      <c r="C441" s="5" t="str">
        <f ca="1">IFERROR(__xludf.DUMMYFUNCTION("""COMPUTED_VALUE"""),"Артём")</f>
        <v>Артём</v>
      </c>
      <c r="D441" s="5" t="str">
        <f ca="1">IFERROR(__xludf.DUMMYFUNCTION("""COMPUTED_VALUE"""),"Кириллович")</f>
        <v>Кириллович</v>
      </c>
      <c r="E441" s="5" t="str">
        <f ca="1">IFERROR(__xludf.DUMMYFUNCTION("""COMPUTED_VALUE"""),"Команда №3757")</f>
        <v>Команда №3757</v>
      </c>
      <c r="F441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441" s="7">
        <f ca="1">IFERROR(__xludf.DUMMYFUNCTION("""COMPUTED_VALUE"""),85)</f>
        <v>85</v>
      </c>
    </row>
    <row r="442" spans="1:7" ht="39.6" x14ac:dyDescent="0.25">
      <c r="A442" s="5">
        <f ca="1">IFERROR(__xludf.DUMMYFUNCTION("""COMPUTED_VALUE"""),894)</f>
        <v>894</v>
      </c>
      <c r="B442" s="5" t="str">
        <f ca="1">IFERROR(__xludf.DUMMYFUNCTION("""COMPUTED_VALUE"""),"Ощепков")</f>
        <v>Ощепков</v>
      </c>
      <c r="C442" s="5" t="str">
        <f ca="1">IFERROR(__xludf.DUMMYFUNCTION("""COMPUTED_VALUE"""),"Кирилл")</f>
        <v>Кирилл</v>
      </c>
      <c r="D442" s="5" t="str">
        <f ca="1">IFERROR(__xludf.DUMMYFUNCTION("""COMPUTED_VALUE"""),"Игоревич")</f>
        <v>Игоревич</v>
      </c>
      <c r="E442" s="5" t="str">
        <f ca="1">IFERROR(__xludf.DUMMYFUNCTION("""COMPUTED_VALUE"""),"Команда №3757")</f>
        <v>Команда №3757</v>
      </c>
      <c r="F442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442" s="7">
        <f ca="1">IFERROR(__xludf.DUMMYFUNCTION("""COMPUTED_VALUE"""),85)</f>
        <v>85</v>
      </c>
    </row>
    <row r="443" spans="1:7" ht="39.6" x14ac:dyDescent="0.25">
      <c r="A443" s="5">
        <f ca="1">IFERROR(__xludf.DUMMYFUNCTION("""COMPUTED_VALUE"""),1089)</f>
        <v>1089</v>
      </c>
      <c r="B443" s="5" t="str">
        <f ca="1">IFERROR(__xludf.DUMMYFUNCTION("""COMPUTED_VALUE"""),"Смоляков")</f>
        <v>Смоляков</v>
      </c>
      <c r="C443" s="5" t="str">
        <f ca="1">IFERROR(__xludf.DUMMYFUNCTION("""COMPUTED_VALUE"""),"Дмитрий")</f>
        <v>Дмитрий</v>
      </c>
      <c r="D443" s="5" t="str">
        <f ca="1">IFERROR(__xludf.DUMMYFUNCTION("""COMPUTED_VALUE"""),"Станиславович")</f>
        <v>Станиславович</v>
      </c>
      <c r="E443" s="5" t="str">
        <f ca="1">IFERROR(__xludf.DUMMYFUNCTION("""COMPUTED_VALUE"""),"Команда №3757")</f>
        <v>Команда №3757</v>
      </c>
      <c r="F443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443" s="7">
        <f ca="1">IFERROR(__xludf.DUMMYFUNCTION("""COMPUTED_VALUE"""),85)</f>
        <v>85</v>
      </c>
    </row>
    <row r="444" spans="1:7" ht="39.6" x14ac:dyDescent="0.25">
      <c r="A444" s="5">
        <f ca="1">IFERROR(__xludf.DUMMYFUNCTION("""COMPUTED_VALUE"""),1148)</f>
        <v>1148</v>
      </c>
      <c r="B444" s="5" t="str">
        <f ca="1">IFERROR(__xludf.DUMMYFUNCTION("""COMPUTED_VALUE"""),"Терешин")</f>
        <v>Терешин</v>
      </c>
      <c r="C444" s="5" t="str">
        <f ca="1">IFERROR(__xludf.DUMMYFUNCTION("""COMPUTED_VALUE"""),"Владимир")</f>
        <v>Владимир</v>
      </c>
      <c r="D444" s="5" t="str">
        <f ca="1">IFERROR(__xludf.DUMMYFUNCTION("""COMPUTED_VALUE"""),"Сергеевич")</f>
        <v>Сергеевич</v>
      </c>
      <c r="E444" s="5" t="str">
        <f ca="1">IFERROR(__xludf.DUMMYFUNCTION("""COMPUTED_VALUE"""),"Команда №3757")</f>
        <v>Команда №3757</v>
      </c>
      <c r="F444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444" s="7">
        <f ca="1">IFERROR(__xludf.DUMMYFUNCTION("""COMPUTED_VALUE"""),85)</f>
        <v>85</v>
      </c>
    </row>
    <row r="445" spans="1:7" ht="39.6" x14ac:dyDescent="0.25">
      <c r="A445" s="5">
        <f ca="1">IFERROR(__xludf.DUMMYFUNCTION("""COMPUTED_VALUE"""),1196)</f>
        <v>1196</v>
      </c>
      <c r="B445" s="5" t="str">
        <f ca="1">IFERROR(__xludf.DUMMYFUNCTION("""COMPUTED_VALUE"""),"Упаев")</f>
        <v>Упаев</v>
      </c>
      <c r="C445" s="5" t="str">
        <f ca="1">IFERROR(__xludf.DUMMYFUNCTION("""COMPUTED_VALUE"""),"Кирилл")</f>
        <v>Кирилл</v>
      </c>
      <c r="D445" s="5" t="str">
        <f ca="1">IFERROR(__xludf.DUMMYFUNCTION("""COMPUTED_VALUE"""),"Анатольевич")</f>
        <v>Анатольевич</v>
      </c>
      <c r="E445" s="5" t="str">
        <f ca="1">IFERROR(__xludf.DUMMYFUNCTION("""COMPUTED_VALUE"""),"Команда №3757")</f>
        <v>Команда №3757</v>
      </c>
      <c r="F445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445" s="7">
        <f ca="1">IFERROR(__xludf.DUMMYFUNCTION("""COMPUTED_VALUE"""),85)</f>
        <v>85</v>
      </c>
    </row>
    <row r="446" spans="1:7" ht="26.4" x14ac:dyDescent="0.25">
      <c r="A446" s="5">
        <f ca="1">IFERROR(__xludf.DUMMYFUNCTION("""COMPUTED_VALUE"""),158)</f>
        <v>158</v>
      </c>
      <c r="B446" s="5" t="str">
        <f ca="1">IFERROR(__xludf.DUMMYFUNCTION("""COMPUTED_VALUE"""),"Бурдин")</f>
        <v>Бурдин</v>
      </c>
      <c r="C446" s="5" t="str">
        <f ca="1">IFERROR(__xludf.DUMMYFUNCTION("""COMPUTED_VALUE"""),"Дмитрий")</f>
        <v>Дмитрий</v>
      </c>
      <c r="D446" s="5" t="str">
        <f ca="1">IFERROR(__xludf.DUMMYFUNCTION("""COMPUTED_VALUE"""),"Евгеньевич")</f>
        <v>Евгеньевич</v>
      </c>
      <c r="E446" s="5" t="str">
        <f ca="1">IFERROR(__xludf.DUMMYFUNCTION("""COMPUTED_VALUE"""),"Команда №3765")</f>
        <v>Команда №3765</v>
      </c>
      <c r="F446" s="6" t="str">
        <f ca="1">IFERROR(__xludf.DUMMYFUNCTION("""COMPUTED_VALUE"""),"Создание закрытой онлайн платформы для обучения IT-дисциплинам.")</f>
        <v>Создание закрытой онлайн платформы для обучения IT-дисциплинам.</v>
      </c>
      <c r="G446" s="7">
        <f ca="1">IFERROR(__xludf.DUMMYFUNCTION("""COMPUTED_VALUE"""),89)</f>
        <v>89</v>
      </c>
    </row>
    <row r="447" spans="1:7" ht="26.4" x14ac:dyDescent="0.25">
      <c r="A447" s="5">
        <f ca="1">IFERROR(__xludf.DUMMYFUNCTION("""COMPUTED_VALUE"""),239)</f>
        <v>239</v>
      </c>
      <c r="B447" s="5" t="str">
        <f ca="1">IFERROR(__xludf.DUMMYFUNCTION("""COMPUTED_VALUE"""),"Галимулин")</f>
        <v>Галимулин</v>
      </c>
      <c r="C447" s="5" t="str">
        <f ca="1">IFERROR(__xludf.DUMMYFUNCTION("""COMPUTED_VALUE"""),"Виталий")</f>
        <v>Виталий</v>
      </c>
      <c r="D447" s="5" t="str">
        <f ca="1">IFERROR(__xludf.DUMMYFUNCTION("""COMPUTED_VALUE"""),"Маратович")</f>
        <v>Маратович</v>
      </c>
      <c r="E447" s="5" t="str">
        <f ca="1">IFERROR(__xludf.DUMMYFUNCTION("""COMPUTED_VALUE"""),"Команда №3765")</f>
        <v>Команда №3765</v>
      </c>
      <c r="F447" s="6" t="str">
        <f ca="1">IFERROR(__xludf.DUMMYFUNCTION("""COMPUTED_VALUE"""),"Создание закрытой онлайн платформы для обучения IT-дисциплинам.")</f>
        <v>Создание закрытой онлайн платформы для обучения IT-дисциплинам.</v>
      </c>
      <c r="G447" s="7">
        <f ca="1">IFERROR(__xludf.DUMMYFUNCTION("""COMPUTED_VALUE"""),89)</f>
        <v>89</v>
      </c>
    </row>
    <row r="448" spans="1:7" ht="26.4" x14ac:dyDescent="0.25">
      <c r="A448" s="5">
        <f ca="1">IFERROR(__xludf.DUMMYFUNCTION("""COMPUTED_VALUE"""),517)</f>
        <v>517</v>
      </c>
      <c r="B448" s="5" t="str">
        <f ca="1">IFERROR(__xludf.DUMMYFUNCTION("""COMPUTED_VALUE"""),"Кислов")</f>
        <v>Кислов</v>
      </c>
      <c r="C448" s="5" t="str">
        <f ca="1">IFERROR(__xludf.DUMMYFUNCTION("""COMPUTED_VALUE"""),"Артём")</f>
        <v>Артём</v>
      </c>
      <c r="D448" s="5" t="str">
        <f ca="1">IFERROR(__xludf.DUMMYFUNCTION("""COMPUTED_VALUE"""),"Викторович")</f>
        <v>Викторович</v>
      </c>
      <c r="E448" s="5" t="str">
        <f ca="1">IFERROR(__xludf.DUMMYFUNCTION("""COMPUTED_VALUE"""),"Команда №3765")</f>
        <v>Команда №3765</v>
      </c>
      <c r="F448" s="6" t="str">
        <f ca="1">IFERROR(__xludf.DUMMYFUNCTION("""COMPUTED_VALUE"""),"Создание закрытой онлайн платформы для обучения IT-дисциплинам.")</f>
        <v>Создание закрытой онлайн платформы для обучения IT-дисциплинам.</v>
      </c>
      <c r="G448" s="7">
        <f ca="1">IFERROR(__xludf.DUMMYFUNCTION("""COMPUTED_VALUE"""),89)</f>
        <v>89</v>
      </c>
    </row>
    <row r="449" spans="1:7" ht="26.4" x14ac:dyDescent="0.25">
      <c r="A449" s="5">
        <f ca="1">IFERROR(__xludf.DUMMYFUNCTION("""COMPUTED_VALUE"""),556)</f>
        <v>556</v>
      </c>
      <c r="B449" s="5" t="str">
        <f ca="1">IFERROR(__xludf.DUMMYFUNCTION("""COMPUTED_VALUE"""),"Коломийчук")</f>
        <v>Коломийчук</v>
      </c>
      <c r="C449" s="5" t="str">
        <f ca="1">IFERROR(__xludf.DUMMYFUNCTION("""COMPUTED_VALUE"""),"Анастасия")</f>
        <v>Анастасия</v>
      </c>
      <c r="D449" s="5" t="str">
        <f ca="1">IFERROR(__xludf.DUMMYFUNCTION("""COMPUTED_VALUE"""),"Витальевна")</f>
        <v>Витальевна</v>
      </c>
      <c r="E449" s="5" t="str">
        <f ca="1">IFERROR(__xludf.DUMMYFUNCTION("""COMPUTED_VALUE"""),"Команда №3765")</f>
        <v>Команда №3765</v>
      </c>
      <c r="F449" s="6" t="str">
        <f ca="1">IFERROR(__xludf.DUMMYFUNCTION("""COMPUTED_VALUE"""),"Создание закрытой онлайн платформы для обучения IT-дисциплинам.")</f>
        <v>Создание закрытой онлайн платформы для обучения IT-дисциплинам.</v>
      </c>
      <c r="G449" s="7">
        <f ca="1">IFERROR(__xludf.DUMMYFUNCTION("""COMPUTED_VALUE"""),89)</f>
        <v>89</v>
      </c>
    </row>
    <row r="450" spans="1:7" ht="26.4" x14ac:dyDescent="0.25">
      <c r="A450" s="5">
        <f ca="1">IFERROR(__xludf.DUMMYFUNCTION("""COMPUTED_VALUE"""),786)</f>
        <v>786</v>
      </c>
      <c r="B450" s="5" t="str">
        <f ca="1">IFERROR(__xludf.DUMMYFUNCTION("""COMPUTED_VALUE"""),"Морозова")</f>
        <v>Морозова</v>
      </c>
      <c r="C450" s="5" t="str">
        <f ca="1">IFERROR(__xludf.DUMMYFUNCTION("""COMPUTED_VALUE"""),"Анастасия")</f>
        <v>Анастасия</v>
      </c>
      <c r="D450" s="5" t="str">
        <f ca="1">IFERROR(__xludf.DUMMYFUNCTION("""COMPUTED_VALUE"""),"Максимовна")</f>
        <v>Максимовна</v>
      </c>
      <c r="E450" s="5" t="str">
        <f ca="1">IFERROR(__xludf.DUMMYFUNCTION("""COMPUTED_VALUE"""),"Команда №3792")</f>
        <v>Команда №3792</v>
      </c>
      <c r="F450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0" s="7">
        <f ca="1">IFERROR(__xludf.DUMMYFUNCTION("""COMPUTED_VALUE"""),85)</f>
        <v>85</v>
      </c>
    </row>
    <row r="451" spans="1:7" ht="26.4" x14ac:dyDescent="0.25">
      <c r="A451" s="5">
        <f ca="1">IFERROR(__xludf.DUMMYFUNCTION("""COMPUTED_VALUE"""),793)</f>
        <v>793</v>
      </c>
      <c r="B451" s="5" t="str">
        <f ca="1">IFERROR(__xludf.DUMMYFUNCTION("""COMPUTED_VALUE"""),"Муравлев")</f>
        <v>Муравлев</v>
      </c>
      <c r="C451" s="5" t="str">
        <f ca="1">IFERROR(__xludf.DUMMYFUNCTION("""COMPUTED_VALUE"""),"Станислав")</f>
        <v>Станислав</v>
      </c>
      <c r="D451" s="5" t="str">
        <f ca="1">IFERROR(__xludf.DUMMYFUNCTION("""COMPUTED_VALUE"""),"Андреевич")</f>
        <v>Андреевич</v>
      </c>
      <c r="E451" s="5" t="str">
        <f ca="1">IFERROR(__xludf.DUMMYFUNCTION("""COMPUTED_VALUE"""),"Команда №3792")</f>
        <v>Команда №3792</v>
      </c>
      <c r="F451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1" s="7">
        <f ca="1">IFERROR(__xludf.DUMMYFUNCTION("""COMPUTED_VALUE"""),85)</f>
        <v>85</v>
      </c>
    </row>
    <row r="452" spans="1:7" ht="26.4" x14ac:dyDescent="0.25">
      <c r="A452" s="5">
        <f ca="1">IFERROR(__xludf.DUMMYFUNCTION("""COMPUTED_VALUE"""),835)</f>
        <v>835</v>
      </c>
      <c r="B452" s="5" t="str">
        <f ca="1">IFERROR(__xludf.DUMMYFUNCTION("""COMPUTED_VALUE"""),"Нестерова")</f>
        <v>Нестерова</v>
      </c>
      <c r="C452" s="5" t="str">
        <f ca="1">IFERROR(__xludf.DUMMYFUNCTION("""COMPUTED_VALUE"""),"Анастасия")</f>
        <v>Анастасия</v>
      </c>
      <c r="D452" s="5" t="str">
        <f ca="1">IFERROR(__xludf.DUMMYFUNCTION("""COMPUTED_VALUE"""),"Андреевна")</f>
        <v>Андреевна</v>
      </c>
      <c r="E452" s="5" t="str">
        <f ca="1">IFERROR(__xludf.DUMMYFUNCTION("""COMPUTED_VALUE"""),"Команда №3792")</f>
        <v>Команда №3792</v>
      </c>
      <c r="F452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2" s="7">
        <f ca="1">IFERROR(__xludf.DUMMYFUNCTION("""COMPUTED_VALUE"""),85)</f>
        <v>85</v>
      </c>
    </row>
    <row r="453" spans="1:7" ht="26.4" x14ac:dyDescent="0.25">
      <c r="A453" s="5">
        <f ca="1">IFERROR(__xludf.DUMMYFUNCTION("""COMPUTED_VALUE"""),837)</f>
        <v>837</v>
      </c>
      <c r="B453" s="5" t="str">
        <f ca="1">IFERROR(__xludf.DUMMYFUNCTION("""COMPUTED_VALUE"""),"Неустроев")</f>
        <v>Неустроев</v>
      </c>
      <c r="C453" s="5" t="str">
        <f ca="1">IFERROR(__xludf.DUMMYFUNCTION("""COMPUTED_VALUE"""),"Андрей")</f>
        <v>Андрей</v>
      </c>
      <c r="D453" s="5" t="str">
        <f ca="1">IFERROR(__xludf.DUMMYFUNCTION("""COMPUTED_VALUE"""),"Олегович")</f>
        <v>Олегович</v>
      </c>
      <c r="E453" s="5" t="str">
        <f ca="1">IFERROR(__xludf.DUMMYFUNCTION("""COMPUTED_VALUE"""),"Команда №3792")</f>
        <v>Команда №3792</v>
      </c>
      <c r="F453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3" s="7">
        <f ca="1">IFERROR(__xludf.DUMMYFUNCTION("""COMPUTED_VALUE"""),85)</f>
        <v>85</v>
      </c>
    </row>
    <row r="454" spans="1:7" ht="26.4" x14ac:dyDescent="0.25">
      <c r="A454" s="5">
        <f ca="1">IFERROR(__xludf.DUMMYFUNCTION("""COMPUTED_VALUE"""),1028)</f>
        <v>1028</v>
      </c>
      <c r="B454" s="5" t="str">
        <f ca="1">IFERROR(__xludf.DUMMYFUNCTION("""COMPUTED_VALUE"""),"Сажин")</f>
        <v>Сажин</v>
      </c>
      <c r="C454" s="5" t="str">
        <f ca="1">IFERROR(__xludf.DUMMYFUNCTION("""COMPUTED_VALUE"""),"Егор")</f>
        <v>Егор</v>
      </c>
      <c r="D454" s="5" t="str">
        <f ca="1">IFERROR(__xludf.DUMMYFUNCTION("""COMPUTED_VALUE"""),"Алексеевич")</f>
        <v>Алексеевич</v>
      </c>
      <c r="E454" s="5" t="str">
        <f ca="1">IFERROR(__xludf.DUMMYFUNCTION("""COMPUTED_VALUE"""),"Команда №3792")</f>
        <v>Команда №3792</v>
      </c>
      <c r="F454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4" s="7">
        <f ca="1">IFERROR(__xludf.DUMMYFUNCTION("""COMPUTED_VALUE"""),85)</f>
        <v>85</v>
      </c>
    </row>
    <row r="455" spans="1:7" ht="26.4" x14ac:dyDescent="0.25">
      <c r="A455" s="5">
        <f ca="1">IFERROR(__xludf.DUMMYFUNCTION("""COMPUTED_VALUE"""),115)</f>
        <v>115</v>
      </c>
      <c r="B455" s="5" t="str">
        <f ca="1">IFERROR(__xludf.DUMMYFUNCTION("""COMPUTED_VALUE"""),"Бельков")</f>
        <v>Бельков</v>
      </c>
      <c r="C455" s="5" t="str">
        <f ca="1">IFERROR(__xludf.DUMMYFUNCTION("""COMPUTED_VALUE"""),"Александр")</f>
        <v>Александр</v>
      </c>
      <c r="D455" s="5" t="str">
        <f ca="1">IFERROR(__xludf.DUMMYFUNCTION("""COMPUTED_VALUE"""),"Петрович")</f>
        <v>Петрович</v>
      </c>
      <c r="E455" s="5" t="str">
        <f ca="1">IFERROR(__xludf.DUMMYFUNCTION("""COMPUTED_VALUE"""),"Команда №3796")</f>
        <v>Команда №3796</v>
      </c>
      <c r="F455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5" s="7">
        <f ca="1">IFERROR(__xludf.DUMMYFUNCTION("""COMPUTED_VALUE"""),85)</f>
        <v>85</v>
      </c>
    </row>
    <row r="456" spans="1:7" ht="26.4" x14ac:dyDescent="0.25">
      <c r="A456" s="5">
        <f ca="1">IFERROR(__xludf.DUMMYFUNCTION("""COMPUTED_VALUE"""),134)</f>
        <v>134</v>
      </c>
      <c r="B456" s="5" t="str">
        <f ca="1">IFERROR(__xludf.DUMMYFUNCTION("""COMPUTED_VALUE"""),"Богданов")</f>
        <v>Богданов</v>
      </c>
      <c r="C456" s="5" t="str">
        <f ca="1">IFERROR(__xludf.DUMMYFUNCTION("""COMPUTED_VALUE"""),"Георгий")</f>
        <v>Георгий</v>
      </c>
      <c r="D456" s="5" t="str">
        <f ca="1">IFERROR(__xludf.DUMMYFUNCTION("""COMPUTED_VALUE"""),"Владимирович")</f>
        <v>Владимирович</v>
      </c>
      <c r="E456" s="5" t="str">
        <f ca="1">IFERROR(__xludf.DUMMYFUNCTION("""COMPUTED_VALUE"""),"Команда №3796")</f>
        <v>Команда №3796</v>
      </c>
      <c r="F456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6" s="7">
        <f ca="1">IFERROR(__xludf.DUMMYFUNCTION("""COMPUTED_VALUE"""),85)</f>
        <v>85</v>
      </c>
    </row>
    <row r="457" spans="1:7" ht="26.4" x14ac:dyDescent="0.25">
      <c r="A457" s="5">
        <f ca="1">IFERROR(__xludf.DUMMYFUNCTION("""COMPUTED_VALUE"""),451)</f>
        <v>451</v>
      </c>
      <c r="B457" s="5" t="str">
        <f ca="1">IFERROR(__xludf.DUMMYFUNCTION("""COMPUTED_VALUE"""),"Иванов")</f>
        <v>Иванов</v>
      </c>
      <c r="C457" s="5" t="str">
        <f ca="1">IFERROR(__xludf.DUMMYFUNCTION("""COMPUTED_VALUE"""),"Даниил")</f>
        <v>Даниил</v>
      </c>
      <c r="D457" s="5" t="str">
        <f ca="1">IFERROR(__xludf.DUMMYFUNCTION("""COMPUTED_VALUE"""),"Сергеевич")</f>
        <v>Сергеевич</v>
      </c>
      <c r="E457" s="5" t="str">
        <f ca="1">IFERROR(__xludf.DUMMYFUNCTION("""COMPUTED_VALUE"""),"Команда №3796")</f>
        <v>Команда №3796</v>
      </c>
      <c r="F457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7" s="7">
        <f ca="1">IFERROR(__xludf.DUMMYFUNCTION("""COMPUTED_VALUE"""),85)</f>
        <v>85</v>
      </c>
    </row>
    <row r="458" spans="1:7" ht="26.4" x14ac:dyDescent="0.25">
      <c r="A458" s="5">
        <f ca="1">IFERROR(__xludf.DUMMYFUNCTION("""COMPUTED_VALUE"""),828)</f>
        <v>828</v>
      </c>
      <c r="B458" s="5" t="str">
        <f ca="1">IFERROR(__xludf.DUMMYFUNCTION("""COMPUTED_VALUE"""),"Немцов")</f>
        <v>Немцов</v>
      </c>
      <c r="C458" s="5" t="str">
        <f ca="1">IFERROR(__xludf.DUMMYFUNCTION("""COMPUTED_VALUE"""),"Кирилл")</f>
        <v>Кирилл</v>
      </c>
      <c r="D458" s="5" t="str">
        <f ca="1">IFERROR(__xludf.DUMMYFUNCTION("""COMPUTED_VALUE"""),"Сергеевич")</f>
        <v>Сергеевич</v>
      </c>
      <c r="E458" s="5" t="str">
        <f ca="1">IFERROR(__xludf.DUMMYFUNCTION("""COMPUTED_VALUE"""),"Команда №3796")</f>
        <v>Команда №3796</v>
      </c>
      <c r="F458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458" s="7">
        <f ca="1">IFERROR(__xludf.DUMMYFUNCTION("""COMPUTED_VALUE"""),85)</f>
        <v>85</v>
      </c>
    </row>
    <row r="459" spans="1:7" ht="26.4" x14ac:dyDescent="0.25">
      <c r="A459" s="5">
        <f ca="1">IFERROR(__xludf.DUMMYFUNCTION("""COMPUTED_VALUE"""),507)</f>
        <v>507</v>
      </c>
      <c r="B459" s="5" t="str">
        <f ca="1">IFERROR(__xludf.DUMMYFUNCTION("""COMPUTED_VALUE"""),"Кибанов")</f>
        <v>Кибанов</v>
      </c>
      <c r="C459" s="5" t="str">
        <f ca="1">IFERROR(__xludf.DUMMYFUNCTION("""COMPUTED_VALUE"""),"Максим")</f>
        <v>Максим</v>
      </c>
      <c r="D459" s="5" t="str">
        <f ca="1">IFERROR(__xludf.DUMMYFUNCTION("""COMPUTED_VALUE"""),"Алексеевич")</f>
        <v>Алексеевич</v>
      </c>
      <c r="E459" s="5" t="str">
        <f ca="1">IFERROR(__xludf.DUMMYFUNCTION("""COMPUTED_VALUE"""),"Команда №3823")</f>
        <v>Команда №3823</v>
      </c>
      <c r="F459" s="6" t="str">
        <f ca="1">IFERROR(__xludf.DUMMYFUNCTION("""COMPUTED_VALUE"""),"Разработка приложения по адаптации для сотрудников АО ""ОЭЗ ""Титановая долина""")</f>
        <v>Разработка приложения по адаптации для сотрудников АО "ОЭЗ "Титановая долина"</v>
      </c>
      <c r="G459" s="7">
        <f ca="1">IFERROR(__xludf.DUMMYFUNCTION("""COMPUTED_VALUE"""),85)</f>
        <v>85</v>
      </c>
    </row>
    <row r="460" spans="1:7" ht="26.4" x14ac:dyDescent="0.25">
      <c r="A460" s="5">
        <f ca="1">IFERROR(__xludf.DUMMYFUNCTION("""COMPUTED_VALUE"""),539)</f>
        <v>539</v>
      </c>
      <c r="B460" s="5" t="str">
        <f ca="1">IFERROR(__xludf.DUMMYFUNCTION("""COMPUTED_VALUE"""),"Кожевников")</f>
        <v>Кожевников</v>
      </c>
      <c r="C460" s="5" t="str">
        <f ca="1">IFERROR(__xludf.DUMMYFUNCTION("""COMPUTED_VALUE"""),"Артем")</f>
        <v>Артем</v>
      </c>
      <c r="D460" s="5" t="str">
        <f ca="1">IFERROR(__xludf.DUMMYFUNCTION("""COMPUTED_VALUE"""),"Дмитриевич")</f>
        <v>Дмитриевич</v>
      </c>
      <c r="E460" s="5" t="str">
        <f ca="1">IFERROR(__xludf.DUMMYFUNCTION("""COMPUTED_VALUE"""),"Команда №3823")</f>
        <v>Команда №3823</v>
      </c>
      <c r="F460" s="6" t="str">
        <f ca="1">IFERROR(__xludf.DUMMYFUNCTION("""COMPUTED_VALUE"""),"Разработка приложения по адаптации для сотрудников АО ""ОЭЗ ""Титановая долина""")</f>
        <v>Разработка приложения по адаптации для сотрудников АО "ОЭЗ "Титановая долина"</v>
      </c>
      <c r="G460" s="7">
        <f ca="1">IFERROR(__xludf.DUMMYFUNCTION("""COMPUTED_VALUE"""),85)</f>
        <v>85</v>
      </c>
    </row>
    <row r="461" spans="1:7" ht="26.4" x14ac:dyDescent="0.25">
      <c r="A461" s="5">
        <f ca="1">IFERROR(__xludf.DUMMYFUNCTION("""COMPUTED_VALUE"""),685)</f>
        <v>685</v>
      </c>
      <c r="B461" s="5" t="str">
        <f ca="1">IFERROR(__xludf.DUMMYFUNCTION("""COMPUTED_VALUE"""),"Ломаев")</f>
        <v>Ломаев</v>
      </c>
      <c r="C461" s="5" t="str">
        <f ca="1">IFERROR(__xludf.DUMMYFUNCTION("""COMPUTED_VALUE"""),"Игорь")</f>
        <v>Игорь</v>
      </c>
      <c r="D461" s="5" t="str">
        <f ca="1">IFERROR(__xludf.DUMMYFUNCTION("""COMPUTED_VALUE"""),"Вячеславович")</f>
        <v>Вячеславович</v>
      </c>
      <c r="E461" s="5" t="str">
        <f ca="1">IFERROR(__xludf.DUMMYFUNCTION("""COMPUTED_VALUE"""),"Команда №3823")</f>
        <v>Команда №3823</v>
      </c>
      <c r="F461" s="6" t="str">
        <f ca="1">IFERROR(__xludf.DUMMYFUNCTION("""COMPUTED_VALUE"""),"Разработка приложения по адаптации для сотрудников АО ""ОЭЗ ""Титановая долина""")</f>
        <v>Разработка приложения по адаптации для сотрудников АО "ОЭЗ "Титановая долина"</v>
      </c>
      <c r="G461" s="7">
        <f ca="1">IFERROR(__xludf.DUMMYFUNCTION("""COMPUTED_VALUE"""),85)</f>
        <v>85</v>
      </c>
    </row>
    <row r="462" spans="1:7" ht="26.4" x14ac:dyDescent="0.25">
      <c r="A462" s="5">
        <f ca="1">IFERROR(__xludf.DUMMYFUNCTION("""COMPUTED_VALUE"""),965)</f>
        <v>965</v>
      </c>
      <c r="B462" s="5" t="str">
        <f ca="1">IFERROR(__xludf.DUMMYFUNCTION("""COMPUTED_VALUE"""),"Просекова")</f>
        <v>Просекова</v>
      </c>
      <c r="C462" s="5" t="str">
        <f ca="1">IFERROR(__xludf.DUMMYFUNCTION("""COMPUTED_VALUE"""),"Анастасия")</f>
        <v>Анастасия</v>
      </c>
      <c r="D462" s="5" t="str">
        <f ca="1">IFERROR(__xludf.DUMMYFUNCTION("""COMPUTED_VALUE"""),"Романовна")</f>
        <v>Романовна</v>
      </c>
      <c r="E462" s="5" t="str">
        <f ca="1">IFERROR(__xludf.DUMMYFUNCTION("""COMPUTED_VALUE"""),"Команда №3823")</f>
        <v>Команда №3823</v>
      </c>
      <c r="F462" s="6" t="str">
        <f ca="1">IFERROR(__xludf.DUMMYFUNCTION("""COMPUTED_VALUE"""),"Разработка приложения по адаптации для сотрудников АО ""ОЭЗ ""Титановая долина""")</f>
        <v>Разработка приложения по адаптации для сотрудников АО "ОЭЗ "Титановая долина"</v>
      </c>
      <c r="G462" s="7">
        <f ca="1">IFERROR(__xludf.DUMMYFUNCTION("""COMPUTED_VALUE"""),85)</f>
        <v>85</v>
      </c>
    </row>
    <row r="463" spans="1:7" ht="26.4" x14ac:dyDescent="0.25">
      <c r="A463" s="5">
        <f ca="1">IFERROR(__xludf.DUMMYFUNCTION("""COMPUTED_VALUE"""),1267)</f>
        <v>1267</v>
      </c>
      <c r="B463" s="5" t="str">
        <f ca="1">IFERROR(__xludf.DUMMYFUNCTION("""COMPUTED_VALUE"""),"Цвик")</f>
        <v>Цвик</v>
      </c>
      <c r="C463" s="5" t="str">
        <f ca="1">IFERROR(__xludf.DUMMYFUNCTION("""COMPUTED_VALUE"""),"Иван")</f>
        <v>Иван</v>
      </c>
      <c r="D463" s="5" t="str">
        <f ca="1">IFERROR(__xludf.DUMMYFUNCTION("""COMPUTED_VALUE"""),"Константинович")</f>
        <v>Константинович</v>
      </c>
      <c r="E463" s="5" t="str">
        <f ca="1">IFERROR(__xludf.DUMMYFUNCTION("""COMPUTED_VALUE"""),"Команда №3823")</f>
        <v>Команда №3823</v>
      </c>
      <c r="F463" s="6" t="str">
        <f ca="1">IFERROR(__xludf.DUMMYFUNCTION("""COMPUTED_VALUE"""),"Разработка приложения по адаптации для сотрудников АО ""ОЭЗ ""Титановая долина""")</f>
        <v>Разработка приложения по адаптации для сотрудников АО "ОЭЗ "Титановая долина"</v>
      </c>
      <c r="G463" s="7">
        <f ca="1">IFERROR(__xludf.DUMMYFUNCTION("""COMPUTED_VALUE"""),85)</f>
        <v>85</v>
      </c>
    </row>
    <row r="464" spans="1:7" ht="39.6" x14ac:dyDescent="0.25">
      <c r="A464" s="5">
        <f ca="1">IFERROR(__xludf.DUMMYFUNCTION("""COMPUTED_VALUE"""),34)</f>
        <v>34</v>
      </c>
      <c r="B464" s="5" t="str">
        <f ca="1">IFERROR(__xludf.DUMMYFUNCTION("""COMPUTED_VALUE"""),"Амосова")</f>
        <v>Амосова</v>
      </c>
      <c r="C464" s="5" t="str">
        <f ca="1">IFERROR(__xludf.DUMMYFUNCTION("""COMPUTED_VALUE"""),"Варвара")</f>
        <v>Варвара</v>
      </c>
      <c r="D464" s="5" t="str">
        <f ca="1">IFERROR(__xludf.DUMMYFUNCTION("""COMPUTED_VALUE"""),"Ивановна")</f>
        <v>Ивановна</v>
      </c>
      <c r="E464" s="5" t="str">
        <f ca="1">IFERROR(__xludf.DUMMYFUNCTION("""COMPUTED_VALUE"""),"Команда №3825")</f>
        <v>Команда №3825</v>
      </c>
      <c r="F464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464" s="7">
        <f ca="1">IFERROR(__xludf.DUMMYFUNCTION("""COMPUTED_VALUE"""),85)</f>
        <v>85</v>
      </c>
    </row>
    <row r="465" spans="1:7" ht="39.6" x14ac:dyDescent="0.25">
      <c r="A465" s="5">
        <f ca="1">IFERROR(__xludf.DUMMYFUNCTION("""COMPUTED_VALUE"""),436)</f>
        <v>436</v>
      </c>
      <c r="B465" s="5" t="str">
        <f ca="1">IFERROR(__xludf.DUMMYFUNCTION("""COMPUTED_VALUE"""),"Золотухин")</f>
        <v>Золотухин</v>
      </c>
      <c r="C465" s="5" t="str">
        <f ca="1">IFERROR(__xludf.DUMMYFUNCTION("""COMPUTED_VALUE"""),"Никита")</f>
        <v>Никита</v>
      </c>
      <c r="D465" s="5" t="str">
        <f ca="1">IFERROR(__xludf.DUMMYFUNCTION("""COMPUTED_VALUE"""),"Владимирович")</f>
        <v>Владимирович</v>
      </c>
      <c r="E465" s="5" t="str">
        <f ca="1">IFERROR(__xludf.DUMMYFUNCTION("""COMPUTED_VALUE"""),"Команда №3825")</f>
        <v>Команда №3825</v>
      </c>
      <c r="F465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465" s="7">
        <f ca="1">IFERROR(__xludf.DUMMYFUNCTION("""COMPUTED_VALUE"""),85)</f>
        <v>85</v>
      </c>
    </row>
    <row r="466" spans="1:7" ht="39.6" x14ac:dyDescent="0.25">
      <c r="A466" s="5">
        <f ca="1">IFERROR(__xludf.DUMMYFUNCTION("""COMPUTED_VALUE"""),655)</f>
        <v>655</v>
      </c>
      <c r="B466" s="5" t="str">
        <f ca="1">IFERROR(__xludf.DUMMYFUNCTION("""COMPUTED_VALUE"""),"Лабзин")</f>
        <v>Лабзин</v>
      </c>
      <c r="C466" s="5" t="str">
        <f ca="1">IFERROR(__xludf.DUMMYFUNCTION("""COMPUTED_VALUE"""),"Роман")</f>
        <v>Роман</v>
      </c>
      <c r="D466" s="5" t="str">
        <f ca="1">IFERROR(__xludf.DUMMYFUNCTION("""COMPUTED_VALUE"""),"Викторович")</f>
        <v>Викторович</v>
      </c>
      <c r="E466" s="5" t="str">
        <f ca="1">IFERROR(__xludf.DUMMYFUNCTION("""COMPUTED_VALUE"""),"Команда №3825")</f>
        <v>Команда №3825</v>
      </c>
      <c r="F466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466" s="7">
        <f ca="1">IFERROR(__xludf.DUMMYFUNCTION("""COMPUTED_VALUE"""),85)</f>
        <v>85</v>
      </c>
    </row>
    <row r="467" spans="1:7" ht="39.6" x14ac:dyDescent="0.25">
      <c r="A467" s="5">
        <f ca="1">IFERROR(__xludf.DUMMYFUNCTION("""COMPUTED_VALUE"""),1106)</f>
        <v>1106</v>
      </c>
      <c r="B467" s="5" t="str">
        <f ca="1">IFERROR(__xludf.DUMMYFUNCTION("""COMPUTED_VALUE"""),"Сомикова")</f>
        <v>Сомикова</v>
      </c>
      <c r="C467" s="5" t="str">
        <f ca="1">IFERROR(__xludf.DUMMYFUNCTION("""COMPUTED_VALUE"""),"Екатерина")</f>
        <v>Екатерина</v>
      </c>
      <c r="D467" s="5" t="str">
        <f ca="1">IFERROR(__xludf.DUMMYFUNCTION("""COMPUTED_VALUE"""),"Викторовна")</f>
        <v>Викторовна</v>
      </c>
      <c r="E467" s="5" t="str">
        <f ca="1">IFERROR(__xludf.DUMMYFUNCTION("""COMPUTED_VALUE"""),"Команда №3825")</f>
        <v>Команда №3825</v>
      </c>
      <c r="F467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467" s="7">
        <f ca="1">IFERROR(__xludf.DUMMYFUNCTION("""COMPUTED_VALUE"""),85)</f>
        <v>85</v>
      </c>
    </row>
    <row r="468" spans="1:7" ht="39.6" x14ac:dyDescent="0.25">
      <c r="A468" s="5">
        <f ca="1">IFERROR(__xludf.DUMMYFUNCTION("""COMPUTED_VALUE"""),1370)</f>
        <v>1370</v>
      </c>
      <c r="B468" s="5" t="str">
        <f ca="1">IFERROR(__xludf.DUMMYFUNCTION("""COMPUTED_VALUE"""),"Юсевич")</f>
        <v>Юсевич</v>
      </c>
      <c r="C468" s="5" t="str">
        <f ca="1">IFERROR(__xludf.DUMMYFUNCTION("""COMPUTED_VALUE"""),"Анастасия")</f>
        <v>Анастасия</v>
      </c>
      <c r="D468" s="5" t="str">
        <f ca="1">IFERROR(__xludf.DUMMYFUNCTION("""COMPUTED_VALUE"""),"Васильевна")</f>
        <v>Васильевна</v>
      </c>
      <c r="E468" s="5" t="str">
        <f ca="1">IFERROR(__xludf.DUMMYFUNCTION("""COMPUTED_VALUE"""),"Команда №3825")</f>
        <v>Команда №3825</v>
      </c>
      <c r="F468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468" s="7">
        <f ca="1">IFERROR(__xludf.DUMMYFUNCTION("""COMPUTED_VALUE"""),85)</f>
        <v>85</v>
      </c>
    </row>
    <row r="469" spans="1:7" ht="39.6" x14ac:dyDescent="0.25">
      <c r="A469" s="5">
        <f ca="1">IFERROR(__xludf.DUMMYFUNCTION("""COMPUTED_VALUE"""),148)</f>
        <v>148</v>
      </c>
      <c r="B469" s="5" t="str">
        <f ca="1">IFERROR(__xludf.DUMMYFUNCTION("""COMPUTED_VALUE"""),"Бочаров")</f>
        <v>Бочаров</v>
      </c>
      <c r="C469" s="5" t="str">
        <f ca="1">IFERROR(__xludf.DUMMYFUNCTION("""COMPUTED_VALUE"""),"Всеволод")</f>
        <v>Всеволод</v>
      </c>
      <c r="D469" s="5" t="str">
        <f ca="1">IFERROR(__xludf.DUMMYFUNCTION("""COMPUTED_VALUE"""),"Игоревич")</f>
        <v>Игоревич</v>
      </c>
      <c r="E469" s="5" t="str">
        <f ca="1">IFERROR(__xludf.DUMMYFUNCTION("""COMPUTED_VALUE"""),"Команда №3826")</f>
        <v>Команда №3826</v>
      </c>
      <c r="F469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469" s="7">
        <f ca="1">IFERROR(__xludf.DUMMYFUNCTION("""COMPUTED_VALUE"""),80)</f>
        <v>80</v>
      </c>
    </row>
    <row r="470" spans="1:7" ht="39.6" x14ac:dyDescent="0.25">
      <c r="A470" s="5">
        <f ca="1">IFERROR(__xludf.DUMMYFUNCTION("""COMPUTED_VALUE"""),335)</f>
        <v>335</v>
      </c>
      <c r="B470" s="5" t="str">
        <f ca="1">IFERROR(__xludf.DUMMYFUNCTION("""COMPUTED_VALUE"""),"Дорохов")</f>
        <v>Дорохов</v>
      </c>
      <c r="C470" s="5" t="str">
        <f ca="1">IFERROR(__xludf.DUMMYFUNCTION("""COMPUTED_VALUE"""),"Сергей")</f>
        <v>Сергей</v>
      </c>
      <c r="D470" s="5" t="str">
        <f ca="1">IFERROR(__xludf.DUMMYFUNCTION("""COMPUTED_VALUE"""),"Владимирович")</f>
        <v>Владимирович</v>
      </c>
      <c r="E470" s="5" t="str">
        <f ca="1">IFERROR(__xludf.DUMMYFUNCTION("""COMPUTED_VALUE"""),"Команда №3826")</f>
        <v>Команда №3826</v>
      </c>
      <c r="F470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470" s="7">
        <f ca="1">IFERROR(__xludf.DUMMYFUNCTION("""COMPUTED_VALUE"""),80)</f>
        <v>80</v>
      </c>
    </row>
    <row r="471" spans="1:7" ht="39.6" x14ac:dyDescent="0.25">
      <c r="A471" s="5">
        <f ca="1">IFERROR(__xludf.DUMMYFUNCTION("""COMPUTED_VALUE"""),976)</f>
        <v>976</v>
      </c>
      <c r="B471" s="5" t="str">
        <f ca="1">IFERROR(__xludf.DUMMYFUNCTION("""COMPUTED_VALUE"""),"Пятков")</f>
        <v>Пятков</v>
      </c>
      <c r="C471" s="5" t="str">
        <f ca="1">IFERROR(__xludf.DUMMYFUNCTION("""COMPUTED_VALUE"""),"Всеволод")</f>
        <v>Всеволод</v>
      </c>
      <c r="D471" s="5" t="str">
        <f ca="1">IFERROR(__xludf.DUMMYFUNCTION("""COMPUTED_VALUE"""),"Константинович")</f>
        <v>Константинович</v>
      </c>
      <c r="E471" s="5" t="str">
        <f ca="1">IFERROR(__xludf.DUMMYFUNCTION("""COMPUTED_VALUE"""),"Команда №3826")</f>
        <v>Команда №3826</v>
      </c>
      <c r="F471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471" s="7">
        <f ca="1">IFERROR(__xludf.DUMMYFUNCTION("""COMPUTED_VALUE"""),80)</f>
        <v>80</v>
      </c>
    </row>
    <row r="472" spans="1:7" ht="39.6" x14ac:dyDescent="0.25">
      <c r="A472" s="5">
        <f ca="1">IFERROR(__xludf.DUMMYFUNCTION("""COMPUTED_VALUE"""),1135)</f>
        <v>1135</v>
      </c>
      <c r="B472" s="5" t="str">
        <f ca="1">IFERROR(__xludf.DUMMYFUNCTION("""COMPUTED_VALUE"""),"Сучков")</f>
        <v>Сучков</v>
      </c>
      <c r="C472" s="5" t="str">
        <f ca="1">IFERROR(__xludf.DUMMYFUNCTION("""COMPUTED_VALUE"""),"Георгий")</f>
        <v>Георгий</v>
      </c>
      <c r="D472" s="5" t="str">
        <f ca="1">IFERROR(__xludf.DUMMYFUNCTION("""COMPUTED_VALUE"""),"Игоревич")</f>
        <v>Игоревич</v>
      </c>
      <c r="E472" s="5" t="str">
        <f ca="1">IFERROR(__xludf.DUMMYFUNCTION("""COMPUTED_VALUE"""),"Команда №3826")</f>
        <v>Команда №3826</v>
      </c>
      <c r="F472" s="6" t="str">
        <f ca="1">IFERROR(__xludf.DUMMYFUNCTION("""COMPUTED_VALUE"""),"Разработка ПО, позволяющего строить динамическую диаграмму Ганта из задач бак-трэкинговой системы Jira.")</f>
        <v>Разработка ПО, позволяющего строить динамическую диаграмму Ганта из задач бак-трэкинговой системы Jira.</v>
      </c>
      <c r="G472" s="7">
        <f ca="1">IFERROR(__xludf.DUMMYFUNCTION("""COMPUTED_VALUE"""),80)</f>
        <v>80</v>
      </c>
    </row>
    <row r="473" spans="1:7" ht="26.4" x14ac:dyDescent="0.25">
      <c r="A473" s="5">
        <f ca="1">IFERROR(__xludf.DUMMYFUNCTION("""COMPUTED_VALUE"""),583)</f>
        <v>583</v>
      </c>
      <c r="B473" s="5" t="str">
        <f ca="1">IFERROR(__xludf.DUMMYFUNCTION("""COMPUTED_VALUE"""),"Корнилов")</f>
        <v>Корнилов</v>
      </c>
      <c r="C473" s="5" t="str">
        <f ca="1">IFERROR(__xludf.DUMMYFUNCTION("""COMPUTED_VALUE"""),"Александр")</f>
        <v>Александр</v>
      </c>
      <c r="D473" s="5" t="str">
        <f ca="1">IFERROR(__xludf.DUMMYFUNCTION("""COMPUTED_VALUE"""),"Игоревич")</f>
        <v>Игоревич</v>
      </c>
      <c r="E473" s="5" t="str">
        <f ca="1">IFERROR(__xludf.DUMMYFUNCTION("""COMPUTED_VALUE"""),"Команда №3827")</f>
        <v>Команда №3827</v>
      </c>
      <c r="F473" s="6" t="str">
        <f ca="1">IFERROR(__xludf.DUMMYFUNCTION("""COMPUTED_VALUE"""),"Human Voice Data Transmission: An Investigation Using Machine Learning.")</f>
        <v>Human Voice Data Transmission: An Investigation Using Machine Learning.</v>
      </c>
      <c r="G473" s="7">
        <f ca="1">IFERROR(__xludf.DUMMYFUNCTION("""COMPUTED_VALUE"""),97)</f>
        <v>97</v>
      </c>
    </row>
    <row r="474" spans="1:7" ht="26.4" x14ac:dyDescent="0.25">
      <c r="A474" s="5">
        <f ca="1">IFERROR(__xludf.DUMMYFUNCTION("""COMPUTED_VALUE"""),1048)</f>
        <v>1048</v>
      </c>
      <c r="B474" s="5" t="str">
        <f ca="1">IFERROR(__xludf.DUMMYFUNCTION("""COMPUTED_VALUE"""),"Селим")</f>
        <v>Селим</v>
      </c>
      <c r="C474" s="5" t="str">
        <f ca="1">IFERROR(__xludf.DUMMYFUNCTION("""COMPUTED_VALUE"""),"Мохамед")</f>
        <v>Мохамед</v>
      </c>
      <c r="D474" s="5" t="str">
        <f ca="1">IFERROR(__xludf.DUMMYFUNCTION("""COMPUTED_VALUE"""),"Усама")</f>
        <v>Усама</v>
      </c>
      <c r="E474" s="5" t="str">
        <f ca="1">IFERROR(__xludf.DUMMYFUNCTION("""COMPUTED_VALUE"""),"Команда №3827")</f>
        <v>Команда №3827</v>
      </c>
      <c r="F474" s="6" t="str">
        <f ca="1">IFERROR(__xludf.DUMMYFUNCTION("""COMPUTED_VALUE"""),"Human Voice Data Transmission: An Investigation Using Machine Learning.")</f>
        <v>Human Voice Data Transmission: An Investigation Using Machine Learning.</v>
      </c>
      <c r="G474" s="7">
        <f ca="1">IFERROR(__xludf.DUMMYFUNCTION("""COMPUTED_VALUE"""),97)</f>
        <v>97</v>
      </c>
    </row>
    <row r="475" spans="1:7" ht="26.4" x14ac:dyDescent="0.25">
      <c r="A475" s="5">
        <f ca="1">IFERROR(__xludf.DUMMYFUNCTION("""COMPUTED_VALUE"""),1051)</f>
        <v>1051</v>
      </c>
      <c r="B475" s="5" t="str">
        <f ca="1">IFERROR(__xludf.DUMMYFUNCTION("""COMPUTED_VALUE"""),"Семёнов")</f>
        <v>Семёнов</v>
      </c>
      <c r="C475" s="5" t="str">
        <f ca="1">IFERROR(__xludf.DUMMYFUNCTION("""COMPUTED_VALUE"""),"Артём")</f>
        <v>Артём</v>
      </c>
      <c r="D475" s="5" t="str">
        <f ca="1">IFERROR(__xludf.DUMMYFUNCTION("""COMPUTED_VALUE"""),"Андреевич")</f>
        <v>Андреевич</v>
      </c>
      <c r="E475" s="5" t="str">
        <f ca="1">IFERROR(__xludf.DUMMYFUNCTION("""COMPUTED_VALUE"""),"Команда №3827")</f>
        <v>Команда №3827</v>
      </c>
      <c r="F475" s="6" t="str">
        <f ca="1">IFERROR(__xludf.DUMMYFUNCTION("""COMPUTED_VALUE"""),"Human Voice Data Transmission: An Investigation Using Machine Learning.")</f>
        <v>Human Voice Data Transmission: An Investigation Using Machine Learning.</v>
      </c>
      <c r="G475" s="7">
        <f ca="1">IFERROR(__xludf.DUMMYFUNCTION("""COMPUTED_VALUE"""),97)</f>
        <v>97</v>
      </c>
    </row>
    <row r="476" spans="1:7" ht="26.4" x14ac:dyDescent="0.25">
      <c r="A476" s="5">
        <f ca="1">IFERROR(__xludf.DUMMYFUNCTION("""COMPUTED_VALUE"""),1244)</f>
        <v>1244</v>
      </c>
      <c r="B476" s="5" t="str">
        <f ca="1">IFERROR(__xludf.DUMMYFUNCTION("""COMPUTED_VALUE"""),"Харламкова")</f>
        <v>Харламкова</v>
      </c>
      <c r="C476" s="5" t="str">
        <f ca="1">IFERROR(__xludf.DUMMYFUNCTION("""COMPUTED_VALUE"""),"Юлия")</f>
        <v>Юлия</v>
      </c>
      <c r="D476" s="5" t="str">
        <f ca="1">IFERROR(__xludf.DUMMYFUNCTION("""COMPUTED_VALUE"""),"Станиславовна")</f>
        <v>Станиславовна</v>
      </c>
      <c r="E476" s="5" t="str">
        <f ca="1">IFERROR(__xludf.DUMMYFUNCTION("""COMPUTED_VALUE"""),"Команда №3827")</f>
        <v>Команда №3827</v>
      </c>
      <c r="F476" s="6" t="str">
        <f ca="1">IFERROR(__xludf.DUMMYFUNCTION("""COMPUTED_VALUE"""),"Human Voice Data Transmission: An Investigation Using Machine Learning.")</f>
        <v>Human Voice Data Transmission: An Investigation Using Machine Learning.</v>
      </c>
      <c r="G476" s="7">
        <f ca="1">IFERROR(__xludf.DUMMYFUNCTION("""COMPUTED_VALUE"""),97)</f>
        <v>97</v>
      </c>
    </row>
    <row r="477" spans="1:7" ht="26.4" x14ac:dyDescent="0.25">
      <c r="A477" s="5">
        <f ca="1">IFERROR(__xludf.DUMMYFUNCTION("""COMPUTED_VALUE"""),1373)</f>
        <v>1373</v>
      </c>
      <c r="B477" s="5" t="str">
        <f ca="1">IFERROR(__xludf.DUMMYFUNCTION("""COMPUTED_VALUE"""),"Ягодкина")</f>
        <v>Ягодкина</v>
      </c>
      <c r="C477" s="5" t="str">
        <f ca="1">IFERROR(__xludf.DUMMYFUNCTION("""COMPUTED_VALUE"""),"Вера")</f>
        <v>Вера</v>
      </c>
      <c r="D477" s="5" t="str">
        <f ca="1">IFERROR(__xludf.DUMMYFUNCTION("""COMPUTED_VALUE"""),"Александровна")</f>
        <v>Александровна</v>
      </c>
      <c r="E477" s="5" t="str">
        <f ca="1">IFERROR(__xludf.DUMMYFUNCTION("""COMPUTED_VALUE"""),"Команда №3827")</f>
        <v>Команда №3827</v>
      </c>
      <c r="F477" s="6" t="str">
        <f ca="1">IFERROR(__xludf.DUMMYFUNCTION("""COMPUTED_VALUE"""),"Human Voice Data Transmission: An Investigation Using Machine Learning.")</f>
        <v>Human Voice Data Transmission: An Investigation Using Machine Learning.</v>
      </c>
      <c r="G477" s="7">
        <f ca="1">IFERROR(__xludf.DUMMYFUNCTION("""COMPUTED_VALUE"""),97)</f>
        <v>97</v>
      </c>
    </row>
    <row r="478" spans="1:7" ht="26.4" x14ac:dyDescent="0.25">
      <c r="A478" s="5">
        <f ca="1">IFERROR(__xludf.DUMMYFUNCTION("""COMPUTED_VALUE"""),209)</f>
        <v>209</v>
      </c>
      <c r="B478" s="5" t="str">
        <f ca="1">IFERROR(__xludf.DUMMYFUNCTION("""COMPUTED_VALUE"""),"Водолагин")</f>
        <v>Водолагин</v>
      </c>
      <c r="C478" s="5" t="str">
        <f ca="1">IFERROR(__xludf.DUMMYFUNCTION("""COMPUTED_VALUE"""),"Михаил")</f>
        <v>Михаил</v>
      </c>
      <c r="D478" s="5" t="str">
        <f ca="1">IFERROR(__xludf.DUMMYFUNCTION("""COMPUTED_VALUE"""),"Алексеевич")</f>
        <v>Алексеевич</v>
      </c>
      <c r="E478" s="5" t="str">
        <f ca="1">IFERROR(__xludf.DUMMYFUNCTION("""COMPUTED_VALUE"""),"Команда №3828")</f>
        <v>Команда №3828</v>
      </c>
      <c r="F478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478" s="7">
        <f ca="1">IFERROR(__xludf.DUMMYFUNCTION("""COMPUTED_VALUE"""),83)</f>
        <v>83</v>
      </c>
    </row>
    <row r="479" spans="1:7" ht="26.4" x14ac:dyDescent="0.25">
      <c r="A479" s="5">
        <f ca="1">IFERROR(__xludf.DUMMYFUNCTION("""COMPUTED_VALUE"""),212)</f>
        <v>212</v>
      </c>
      <c r="B479" s="5" t="str">
        <f ca="1">IFERROR(__xludf.DUMMYFUNCTION("""COMPUTED_VALUE"""),"Волков")</f>
        <v>Волков</v>
      </c>
      <c r="C479" s="5" t="str">
        <f ca="1">IFERROR(__xludf.DUMMYFUNCTION("""COMPUTED_VALUE"""),"Кирилл")</f>
        <v>Кирилл</v>
      </c>
      <c r="D479" s="5" t="str">
        <f ca="1">IFERROR(__xludf.DUMMYFUNCTION("""COMPUTED_VALUE"""),"Дмитриевич")</f>
        <v>Дмитриевич</v>
      </c>
      <c r="E479" s="5" t="str">
        <f ca="1">IFERROR(__xludf.DUMMYFUNCTION("""COMPUTED_VALUE"""),"Команда №3828")</f>
        <v>Команда №3828</v>
      </c>
      <c r="F479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479" s="7">
        <f ca="1">IFERROR(__xludf.DUMMYFUNCTION("""COMPUTED_VALUE"""),83)</f>
        <v>83</v>
      </c>
    </row>
    <row r="480" spans="1:7" ht="26.4" x14ac:dyDescent="0.25">
      <c r="A480" s="5">
        <f ca="1">IFERROR(__xludf.DUMMYFUNCTION("""COMPUTED_VALUE"""),430)</f>
        <v>430</v>
      </c>
      <c r="B480" s="5" t="str">
        <f ca="1">IFERROR(__xludf.DUMMYFUNCTION("""COMPUTED_VALUE"""),"Зеланд")</f>
        <v>Зеланд</v>
      </c>
      <c r="C480" s="5" t="str">
        <f ca="1">IFERROR(__xludf.DUMMYFUNCTION("""COMPUTED_VALUE"""),"Анастасия")</f>
        <v>Анастасия</v>
      </c>
      <c r="D480" s="5" t="str">
        <f ca="1">IFERROR(__xludf.DUMMYFUNCTION("""COMPUTED_VALUE"""),"Юрьевна")</f>
        <v>Юрьевна</v>
      </c>
      <c r="E480" s="5" t="str">
        <f ca="1">IFERROR(__xludf.DUMMYFUNCTION("""COMPUTED_VALUE"""),"Команда №3828")</f>
        <v>Команда №3828</v>
      </c>
      <c r="F480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480" s="7">
        <f ca="1">IFERROR(__xludf.DUMMYFUNCTION("""COMPUTED_VALUE"""),83)</f>
        <v>83</v>
      </c>
    </row>
    <row r="481" spans="1:7" ht="26.4" x14ac:dyDescent="0.25">
      <c r="A481" s="5">
        <f ca="1">IFERROR(__xludf.DUMMYFUNCTION("""COMPUTED_VALUE"""),578)</f>
        <v>578</v>
      </c>
      <c r="B481" s="5" t="str">
        <f ca="1">IFERROR(__xludf.DUMMYFUNCTION("""COMPUTED_VALUE"""),"Кордюкова")</f>
        <v>Кордюкова</v>
      </c>
      <c r="C481" s="5" t="str">
        <f ca="1">IFERROR(__xludf.DUMMYFUNCTION("""COMPUTED_VALUE"""),"Евгения")</f>
        <v>Евгения</v>
      </c>
      <c r="D481" s="5" t="str">
        <f ca="1">IFERROR(__xludf.DUMMYFUNCTION("""COMPUTED_VALUE"""),"Егоровна")</f>
        <v>Егоровна</v>
      </c>
      <c r="E481" s="5" t="str">
        <f ca="1">IFERROR(__xludf.DUMMYFUNCTION("""COMPUTED_VALUE"""),"Команда №3828")</f>
        <v>Команда №3828</v>
      </c>
      <c r="F481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481" s="7">
        <f ca="1">IFERROR(__xludf.DUMMYFUNCTION("""COMPUTED_VALUE"""),83)</f>
        <v>83</v>
      </c>
    </row>
    <row r="482" spans="1:7" ht="26.4" x14ac:dyDescent="0.25">
      <c r="A482" s="5">
        <f ca="1">IFERROR(__xludf.DUMMYFUNCTION("""COMPUTED_VALUE"""),1000)</f>
        <v>1000</v>
      </c>
      <c r="B482" s="5" t="str">
        <f ca="1">IFERROR(__xludf.DUMMYFUNCTION("""COMPUTED_VALUE"""),"Рощин")</f>
        <v>Рощин</v>
      </c>
      <c r="C482" s="5" t="str">
        <f ca="1">IFERROR(__xludf.DUMMYFUNCTION("""COMPUTED_VALUE"""),"Вадим")</f>
        <v>Вадим</v>
      </c>
      <c r="D482" s="5" t="str">
        <f ca="1">IFERROR(__xludf.DUMMYFUNCTION("""COMPUTED_VALUE"""),"Олегович")</f>
        <v>Олегович</v>
      </c>
      <c r="E482" s="5" t="str">
        <f ca="1">IFERROR(__xludf.DUMMYFUNCTION("""COMPUTED_VALUE"""),"Команда №3828")</f>
        <v>Команда №3828</v>
      </c>
      <c r="F482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482" s="7">
        <f ca="1">IFERROR(__xludf.DUMMYFUNCTION("""COMPUTED_VALUE"""),83)</f>
        <v>83</v>
      </c>
    </row>
    <row r="483" spans="1:7" ht="26.4" x14ac:dyDescent="0.25">
      <c r="A483" s="5">
        <f ca="1">IFERROR(__xludf.DUMMYFUNCTION("""COMPUTED_VALUE"""),67)</f>
        <v>67</v>
      </c>
      <c r="B483" s="5" t="str">
        <f ca="1">IFERROR(__xludf.DUMMYFUNCTION("""COMPUTED_VALUE"""),"Ахидов")</f>
        <v>Ахидов</v>
      </c>
      <c r="C483" s="5" t="str">
        <f ca="1">IFERROR(__xludf.DUMMYFUNCTION("""COMPUTED_VALUE"""),"Роман")</f>
        <v>Роман</v>
      </c>
      <c r="D483" s="5" t="str">
        <f ca="1">IFERROR(__xludf.DUMMYFUNCTION("""COMPUTED_VALUE"""),"Игоревич")</f>
        <v>Игоревич</v>
      </c>
      <c r="E483" s="5" t="str">
        <f ca="1">IFERROR(__xludf.DUMMYFUNCTION("""COMPUTED_VALUE"""),"Команда №3829")</f>
        <v>Команда №3829</v>
      </c>
      <c r="F483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3" s="7">
        <f ca="1">IFERROR(__xludf.DUMMYFUNCTION("""COMPUTED_VALUE"""),91)</f>
        <v>91</v>
      </c>
    </row>
    <row r="484" spans="1:7" ht="26.4" x14ac:dyDescent="0.25">
      <c r="A484" s="5">
        <f ca="1">IFERROR(__xludf.DUMMYFUNCTION("""COMPUTED_VALUE"""),204)</f>
        <v>204</v>
      </c>
      <c r="B484" s="5" t="str">
        <f ca="1">IFERROR(__xludf.DUMMYFUNCTION("""COMPUTED_VALUE"""),"Вишняков")</f>
        <v>Вишняков</v>
      </c>
      <c r="C484" s="5" t="str">
        <f ca="1">IFERROR(__xludf.DUMMYFUNCTION("""COMPUTED_VALUE"""),"Никита")</f>
        <v>Никита</v>
      </c>
      <c r="D484" s="5" t="str">
        <f ca="1">IFERROR(__xludf.DUMMYFUNCTION("""COMPUTED_VALUE"""),"Сергеевич")</f>
        <v>Сергеевич</v>
      </c>
      <c r="E484" s="5" t="str">
        <f ca="1">IFERROR(__xludf.DUMMYFUNCTION("""COMPUTED_VALUE"""),"Команда №3829")</f>
        <v>Команда №3829</v>
      </c>
      <c r="F484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4" s="7">
        <f ca="1">IFERROR(__xludf.DUMMYFUNCTION("""COMPUTED_VALUE"""),91)</f>
        <v>91</v>
      </c>
    </row>
    <row r="485" spans="1:7" ht="26.4" x14ac:dyDescent="0.25">
      <c r="A485" s="5">
        <f ca="1">IFERROR(__xludf.DUMMYFUNCTION("""COMPUTED_VALUE"""),238)</f>
        <v>238</v>
      </c>
      <c r="B485" s="5" t="str">
        <f ca="1">IFERROR(__xludf.DUMMYFUNCTION("""COMPUTED_VALUE"""),"Галимзянов")</f>
        <v>Галимзянов</v>
      </c>
      <c r="C485" s="5" t="str">
        <f ca="1">IFERROR(__xludf.DUMMYFUNCTION("""COMPUTED_VALUE"""),"Айнур")</f>
        <v>Айнур</v>
      </c>
      <c r="D485" s="5" t="str">
        <f ca="1">IFERROR(__xludf.DUMMYFUNCTION("""COMPUTED_VALUE"""),"Азатович")</f>
        <v>Азатович</v>
      </c>
      <c r="E485" s="5" t="str">
        <f ca="1">IFERROR(__xludf.DUMMYFUNCTION("""COMPUTED_VALUE"""),"Команда №3829")</f>
        <v>Команда №3829</v>
      </c>
      <c r="F485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5" s="7">
        <f ca="1">IFERROR(__xludf.DUMMYFUNCTION("""COMPUTED_VALUE"""),91)</f>
        <v>91</v>
      </c>
    </row>
    <row r="486" spans="1:7" ht="26.4" x14ac:dyDescent="0.25">
      <c r="A486" s="5">
        <f ca="1">IFERROR(__xludf.DUMMYFUNCTION("""COMPUTED_VALUE"""),265)</f>
        <v>265</v>
      </c>
      <c r="B486" s="5" t="str">
        <f ca="1">IFERROR(__xludf.DUMMYFUNCTION("""COMPUTED_VALUE"""),"Голунов")</f>
        <v>Голунов</v>
      </c>
      <c r="C486" s="5" t="str">
        <f ca="1">IFERROR(__xludf.DUMMYFUNCTION("""COMPUTED_VALUE"""),"Константин")</f>
        <v>Константин</v>
      </c>
      <c r="D486" s="5" t="str">
        <f ca="1">IFERROR(__xludf.DUMMYFUNCTION("""COMPUTED_VALUE"""),"Александрович")</f>
        <v>Александрович</v>
      </c>
      <c r="E486" s="5" t="str">
        <f ca="1">IFERROR(__xludf.DUMMYFUNCTION("""COMPUTED_VALUE"""),"Команда №3829")</f>
        <v>Команда №3829</v>
      </c>
      <c r="F486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6" s="7">
        <f ca="1">IFERROR(__xludf.DUMMYFUNCTION("""COMPUTED_VALUE"""),91)</f>
        <v>91</v>
      </c>
    </row>
    <row r="487" spans="1:7" ht="26.4" x14ac:dyDescent="0.25">
      <c r="A487" s="5">
        <f ca="1">IFERROR(__xludf.DUMMYFUNCTION("""COMPUTED_VALUE"""),609)</f>
        <v>609</v>
      </c>
      <c r="B487" s="5" t="str">
        <f ca="1">IFERROR(__xludf.DUMMYFUNCTION("""COMPUTED_VALUE"""),"Крашенинникова")</f>
        <v>Крашенинникова</v>
      </c>
      <c r="C487" s="5" t="str">
        <f ca="1">IFERROR(__xludf.DUMMYFUNCTION("""COMPUTED_VALUE"""),"Любовь")</f>
        <v>Любовь</v>
      </c>
      <c r="D487" s="5" t="str">
        <f ca="1">IFERROR(__xludf.DUMMYFUNCTION("""COMPUTED_VALUE"""),"Михайловна")</f>
        <v>Михайловна</v>
      </c>
      <c r="E487" s="5" t="str">
        <f ca="1">IFERROR(__xludf.DUMMYFUNCTION("""COMPUTED_VALUE"""),"Команда №3829")</f>
        <v>Команда №3829</v>
      </c>
      <c r="F487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7" s="7">
        <f ca="1">IFERROR(__xludf.DUMMYFUNCTION("""COMPUTED_VALUE"""),91)</f>
        <v>91</v>
      </c>
    </row>
    <row r="488" spans="1:7" ht="26.4" x14ac:dyDescent="0.25">
      <c r="A488" s="5">
        <f ca="1">IFERROR(__xludf.DUMMYFUNCTION("""COMPUTED_VALUE"""),802)</f>
        <v>802</v>
      </c>
      <c r="B488" s="5" t="str">
        <f ca="1">IFERROR(__xludf.DUMMYFUNCTION("""COMPUTED_VALUE"""),"Мухаметшин")</f>
        <v>Мухаметшин</v>
      </c>
      <c r="C488" s="5" t="str">
        <f ca="1">IFERROR(__xludf.DUMMYFUNCTION("""COMPUTED_VALUE"""),"Данил")</f>
        <v>Данил</v>
      </c>
      <c r="D488" s="5" t="str">
        <f ca="1">IFERROR(__xludf.DUMMYFUNCTION("""COMPUTED_VALUE"""),"Рустамович")</f>
        <v>Рустамович</v>
      </c>
      <c r="E488" s="5" t="str">
        <f ca="1">IFERROR(__xludf.DUMMYFUNCTION("""COMPUTED_VALUE"""),"Команда №3829")</f>
        <v>Команда №3829</v>
      </c>
      <c r="F488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8" s="7">
        <f ca="1">IFERROR(__xludf.DUMMYFUNCTION("""COMPUTED_VALUE"""),91)</f>
        <v>91</v>
      </c>
    </row>
    <row r="489" spans="1:7" ht="26.4" x14ac:dyDescent="0.25">
      <c r="A489" s="5">
        <f ca="1">IFERROR(__xludf.DUMMYFUNCTION("""COMPUTED_VALUE"""),174)</f>
        <v>174</v>
      </c>
      <c r="B489" s="5" t="str">
        <f ca="1">IFERROR(__xludf.DUMMYFUNCTION("""COMPUTED_VALUE"""),"Валиуллин")</f>
        <v>Валиуллин</v>
      </c>
      <c r="C489" s="5" t="str">
        <f ca="1">IFERROR(__xludf.DUMMYFUNCTION("""COMPUTED_VALUE"""),"Антон")</f>
        <v>Антон</v>
      </c>
      <c r="D489" s="5" t="str">
        <f ca="1">IFERROR(__xludf.DUMMYFUNCTION("""COMPUTED_VALUE"""),"Олегович")</f>
        <v>Олегович</v>
      </c>
      <c r="E489" s="5" t="str">
        <f ca="1">IFERROR(__xludf.DUMMYFUNCTION("""COMPUTED_VALUE"""),"Команда №3830 (detouche)")</f>
        <v>Команда №3830 (detouche)</v>
      </c>
      <c r="F489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89" s="7">
        <f ca="1">IFERROR(__xludf.DUMMYFUNCTION("""COMPUTED_VALUE"""),100)</f>
        <v>100</v>
      </c>
    </row>
    <row r="490" spans="1:7" ht="26.4" x14ac:dyDescent="0.25">
      <c r="A490" s="5">
        <f ca="1">IFERROR(__xludf.DUMMYFUNCTION("""COMPUTED_VALUE"""),223)</f>
        <v>223</v>
      </c>
      <c r="B490" s="5" t="str">
        <f ca="1">IFERROR(__xludf.DUMMYFUNCTION("""COMPUTED_VALUE"""),"Ворсин")</f>
        <v>Ворсин</v>
      </c>
      <c r="C490" s="5" t="str">
        <f ca="1">IFERROR(__xludf.DUMMYFUNCTION("""COMPUTED_VALUE"""),"Алексей")</f>
        <v>Алексей</v>
      </c>
      <c r="D490" s="5" t="str">
        <f ca="1">IFERROR(__xludf.DUMMYFUNCTION("""COMPUTED_VALUE"""),"Андреевич")</f>
        <v>Андреевич</v>
      </c>
      <c r="E490" s="5" t="str">
        <f ca="1">IFERROR(__xludf.DUMMYFUNCTION("""COMPUTED_VALUE"""),"Команда №3830 (detouche)")</f>
        <v>Команда №3830 (detouche)</v>
      </c>
      <c r="F490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0" s="7">
        <f ca="1">IFERROR(__xludf.DUMMYFUNCTION("""COMPUTED_VALUE"""),100)</f>
        <v>100</v>
      </c>
    </row>
    <row r="491" spans="1:7" ht="26.4" x14ac:dyDescent="0.25">
      <c r="A491" s="5">
        <f ca="1">IFERROR(__xludf.DUMMYFUNCTION("""COMPUTED_VALUE"""),261)</f>
        <v>261</v>
      </c>
      <c r="B491" s="5" t="str">
        <f ca="1">IFERROR(__xludf.DUMMYFUNCTION("""COMPUTED_VALUE"""),"Голубев")</f>
        <v>Голубев</v>
      </c>
      <c r="C491" s="5" t="str">
        <f ca="1">IFERROR(__xludf.DUMMYFUNCTION("""COMPUTED_VALUE"""),"Игорь")</f>
        <v>Игорь</v>
      </c>
      <c r="D491" s="5" t="str">
        <f ca="1">IFERROR(__xludf.DUMMYFUNCTION("""COMPUTED_VALUE"""),"Юрьевич")</f>
        <v>Юрьевич</v>
      </c>
      <c r="E491" s="5" t="str">
        <f ca="1">IFERROR(__xludf.DUMMYFUNCTION("""COMPUTED_VALUE"""),"Команда №3830 (detouche)")</f>
        <v>Команда №3830 (detouche)</v>
      </c>
      <c r="F491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1" s="7">
        <f ca="1">IFERROR(__xludf.DUMMYFUNCTION("""COMPUTED_VALUE"""),100)</f>
        <v>100</v>
      </c>
    </row>
    <row r="492" spans="1:7" ht="26.4" x14ac:dyDescent="0.25">
      <c r="A492" s="5">
        <f ca="1">IFERROR(__xludf.DUMMYFUNCTION("""COMPUTED_VALUE"""),452)</f>
        <v>452</v>
      </c>
      <c r="B492" s="5" t="str">
        <f ca="1">IFERROR(__xludf.DUMMYFUNCTION("""COMPUTED_VALUE"""),"Иванов")</f>
        <v>Иванов</v>
      </c>
      <c r="C492" s="5" t="str">
        <f ca="1">IFERROR(__xludf.DUMMYFUNCTION("""COMPUTED_VALUE"""),"Никита")</f>
        <v>Никита</v>
      </c>
      <c r="D492" s="5" t="str">
        <f ca="1">IFERROR(__xludf.DUMMYFUNCTION("""COMPUTED_VALUE"""),"Антонович")</f>
        <v>Антонович</v>
      </c>
      <c r="E492" s="5" t="str">
        <f ca="1">IFERROR(__xludf.DUMMYFUNCTION("""COMPUTED_VALUE"""),"Команда №3830 (detouche)")</f>
        <v>Команда №3830 (detouche)</v>
      </c>
      <c r="F492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2" s="7">
        <f ca="1">IFERROR(__xludf.DUMMYFUNCTION("""COMPUTED_VALUE"""),100)</f>
        <v>100</v>
      </c>
    </row>
    <row r="493" spans="1:7" ht="26.4" x14ac:dyDescent="0.25">
      <c r="A493" s="5">
        <f ca="1">IFERROR(__xludf.DUMMYFUNCTION("""COMPUTED_VALUE"""),932)</f>
        <v>932</v>
      </c>
      <c r="B493" s="5" t="str">
        <f ca="1">IFERROR(__xludf.DUMMYFUNCTION("""COMPUTED_VALUE"""),"Пичугин")</f>
        <v>Пичугин</v>
      </c>
      <c r="C493" s="5" t="str">
        <f ca="1">IFERROR(__xludf.DUMMYFUNCTION("""COMPUTED_VALUE"""),"Михаил")</f>
        <v>Михаил</v>
      </c>
      <c r="D493" s="5" t="str">
        <f ca="1">IFERROR(__xludf.DUMMYFUNCTION("""COMPUTED_VALUE"""),"Сергеевич")</f>
        <v>Сергеевич</v>
      </c>
      <c r="E493" s="5" t="str">
        <f ca="1">IFERROR(__xludf.DUMMYFUNCTION("""COMPUTED_VALUE"""),"Команда №3830 (detouche)")</f>
        <v>Команда №3830 (detouche)</v>
      </c>
      <c r="F493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3" s="7">
        <f ca="1">IFERROR(__xludf.DUMMYFUNCTION("""COMPUTED_VALUE"""),100)</f>
        <v>100</v>
      </c>
    </row>
    <row r="494" spans="1:7" ht="26.4" x14ac:dyDescent="0.25">
      <c r="A494" s="5">
        <f ca="1">IFERROR(__xludf.DUMMYFUNCTION("""COMPUTED_VALUE"""),503)</f>
        <v>503</v>
      </c>
      <c r="B494" s="5" t="str">
        <f ca="1">IFERROR(__xludf.DUMMYFUNCTION("""COMPUTED_VALUE"""),"Кашаев")</f>
        <v>Кашаев</v>
      </c>
      <c r="C494" s="5" t="str">
        <f ca="1">IFERROR(__xludf.DUMMYFUNCTION("""COMPUTED_VALUE"""),"Кирилл")</f>
        <v>Кирилл</v>
      </c>
      <c r="D494" s="5"/>
      <c r="E494" s="5" t="str">
        <f ca="1">IFERROR(__xludf.DUMMYFUNCTION("""COMPUTED_VALUE"""),"Команда №3831")</f>
        <v>Команда №3831</v>
      </c>
      <c r="F494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4" s="7">
        <f ca="1">IFERROR(__xludf.DUMMYFUNCTION("""COMPUTED_VALUE"""),80)</f>
        <v>80</v>
      </c>
    </row>
    <row r="495" spans="1:7" ht="26.4" x14ac:dyDescent="0.25">
      <c r="A495" s="5">
        <f ca="1">IFERROR(__xludf.DUMMYFUNCTION("""COMPUTED_VALUE"""),584)</f>
        <v>584</v>
      </c>
      <c r="B495" s="5" t="str">
        <f ca="1">IFERROR(__xludf.DUMMYFUNCTION("""COMPUTED_VALUE"""),"Коробейников")</f>
        <v>Коробейников</v>
      </c>
      <c r="C495" s="5" t="str">
        <f ca="1">IFERROR(__xludf.DUMMYFUNCTION("""COMPUTED_VALUE"""),"Савелий")</f>
        <v>Савелий</v>
      </c>
      <c r="D495" s="5" t="str">
        <f ca="1">IFERROR(__xludf.DUMMYFUNCTION("""COMPUTED_VALUE"""),"Владимирович")</f>
        <v>Владимирович</v>
      </c>
      <c r="E495" s="5" t="str">
        <f ca="1">IFERROR(__xludf.DUMMYFUNCTION("""COMPUTED_VALUE"""),"Команда №3831")</f>
        <v>Команда №3831</v>
      </c>
      <c r="F495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5" s="7">
        <f ca="1">IFERROR(__xludf.DUMMYFUNCTION("""COMPUTED_VALUE"""),80)</f>
        <v>80</v>
      </c>
    </row>
    <row r="496" spans="1:7" ht="26.4" x14ac:dyDescent="0.25">
      <c r="A496" s="5">
        <f ca="1">IFERROR(__xludf.DUMMYFUNCTION("""COMPUTED_VALUE"""),176)</f>
        <v>176</v>
      </c>
      <c r="B496" s="5" t="str">
        <f ca="1">IFERROR(__xludf.DUMMYFUNCTION("""COMPUTED_VALUE"""),"Васеньков")</f>
        <v>Васеньков</v>
      </c>
      <c r="C496" s="5" t="str">
        <f ca="1">IFERROR(__xludf.DUMMYFUNCTION("""COMPUTED_VALUE"""),"Артемий")</f>
        <v>Артемий</v>
      </c>
      <c r="D496" s="5" t="str">
        <f ca="1">IFERROR(__xludf.DUMMYFUNCTION("""COMPUTED_VALUE"""),"Владимирович")</f>
        <v>Владимирович</v>
      </c>
      <c r="E496" s="5" t="str">
        <f ca="1">IFERROR(__xludf.DUMMYFUNCTION("""COMPUTED_VALUE"""),"Команда №3832")</f>
        <v>Команда №3832</v>
      </c>
      <c r="F496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6" s="7">
        <f ca="1">IFERROR(__xludf.DUMMYFUNCTION("""COMPUTED_VALUE"""),85)</f>
        <v>85</v>
      </c>
    </row>
    <row r="497" spans="1:7" ht="26.4" x14ac:dyDescent="0.25">
      <c r="A497" s="5">
        <f ca="1">IFERROR(__xludf.DUMMYFUNCTION("""COMPUTED_VALUE"""),343)</f>
        <v>343</v>
      </c>
      <c r="B497" s="5" t="str">
        <f ca="1">IFERROR(__xludf.DUMMYFUNCTION("""COMPUTED_VALUE"""),"Дружинин")</f>
        <v>Дружинин</v>
      </c>
      <c r="C497" s="5" t="str">
        <f ca="1">IFERROR(__xludf.DUMMYFUNCTION("""COMPUTED_VALUE"""),"Андрей")</f>
        <v>Андрей</v>
      </c>
      <c r="D497" s="5" t="str">
        <f ca="1">IFERROR(__xludf.DUMMYFUNCTION("""COMPUTED_VALUE"""),"Андреевич")</f>
        <v>Андреевич</v>
      </c>
      <c r="E497" s="5" t="str">
        <f ca="1">IFERROR(__xludf.DUMMYFUNCTION("""COMPUTED_VALUE"""),"Команда №3832")</f>
        <v>Команда №3832</v>
      </c>
      <c r="F497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7" s="7">
        <f ca="1">IFERROR(__xludf.DUMMYFUNCTION("""COMPUTED_VALUE"""),85)</f>
        <v>85</v>
      </c>
    </row>
    <row r="498" spans="1:7" ht="26.4" x14ac:dyDescent="0.25">
      <c r="A498" s="5">
        <f ca="1">IFERROR(__xludf.DUMMYFUNCTION("""COMPUTED_VALUE"""),614)</f>
        <v>614</v>
      </c>
      <c r="B498" s="5" t="str">
        <f ca="1">IFERROR(__xludf.DUMMYFUNCTION("""COMPUTED_VALUE"""),"Крохалев")</f>
        <v>Крохалев</v>
      </c>
      <c r="C498" s="5" t="str">
        <f ca="1">IFERROR(__xludf.DUMMYFUNCTION("""COMPUTED_VALUE"""),"Алексей")</f>
        <v>Алексей</v>
      </c>
      <c r="D498" s="5" t="str">
        <f ca="1">IFERROR(__xludf.DUMMYFUNCTION("""COMPUTED_VALUE"""),"Александрович")</f>
        <v>Александрович</v>
      </c>
      <c r="E498" s="5" t="str">
        <f ca="1">IFERROR(__xludf.DUMMYFUNCTION("""COMPUTED_VALUE"""),"Команда №3832")</f>
        <v>Команда №3832</v>
      </c>
      <c r="F498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8" s="7">
        <f ca="1">IFERROR(__xludf.DUMMYFUNCTION("""COMPUTED_VALUE"""),85)</f>
        <v>85</v>
      </c>
    </row>
    <row r="499" spans="1:7" ht="26.4" x14ac:dyDescent="0.25">
      <c r="A499" s="5">
        <f ca="1">IFERROR(__xludf.DUMMYFUNCTION("""COMPUTED_VALUE"""),1107)</f>
        <v>1107</v>
      </c>
      <c r="B499" s="5" t="str">
        <f ca="1">IFERROR(__xludf.DUMMYFUNCTION("""COMPUTED_VALUE"""),"Сонина")</f>
        <v>Сонина</v>
      </c>
      <c r="C499" s="5" t="str">
        <f ca="1">IFERROR(__xludf.DUMMYFUNCTION("""COMPUTED_VALUE"""),"Ксения")</f>
        <v>Ксения</v>
      </c>
      <c r="D499" s="5" t="str">
        <f ca="1">IFERROR(__xludf.DUMMYFUNCTION("""COMPUTED_VALUE"""),"Викторовна")</f>
        <v>Викторовна</v>
      </c>
      <c r="E499" s="5" t="str">
        <f ca="1">IFERROR(__xludf.DUMMYFUNCTION("""COMPUTED_VALUE"""),"Команда №3832")</f>
        <v>Команда №3832</v>
      </c>
      <c r="F499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499" s="7">
        <f ca="1">IFERROR(__xludf.DUMMYFUNCTION("""COMPUTED_VALUE"""),85)</f>
        <v>85</v>
      </c>
    </row>
    <row r="500" spans="1:7" ht="26.4" x14ac:dyDescent="0.25">
      <c r="A500" s="5">
        <f ca="1">IFERROR(__xludf.DUMMYFUNCTION("""COMPUTED_VALUE"""),1282)</f>
        <v>1282</v>
      </c>
      <c r="B500" s="5" t="str">
        <f ca="1">IFERROR(__xludf.DUMMYFUNCTION("""COMPUTED_VALUE"""),"Черных")</f>
        <v>Черных</v>
      </c>
      <c r="C500" s="5" t="str">
        <f ca="1">IFERROR(__xludf.DUMMYFUNCTION("""COMPUTED_VALUE"""),"Александр")</f>
        <v>Александр</v>
      </c>
      <c r="D500" s="5" t="str">
        <f ca="1">IFERROR(__xludf.DUMMYFUNCTION("""COMPUTED_VALUE"""),"Сергеевич")</f>
        <v>Сергеевич</v>
      </c>
      <c r="E500" s="5" t="str">
        <f ca="1">IFERROR(__xludf.DUMMYFUNCTION("""COMPUTED_VALUE"""),"Команда №3832")</f>
        <v>Команда №3832</v>
      </c>
      <c r="F500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500" s="7">
        <f ca="1">IFERROR(__xludf.DUMMYFUNCTION("""COMPUTED_VALUE"""),85)</f>
        <v>85</v>
      </c>
    </row>
    <row r="501" spans="1:7" ht="26.4" x14ac:dyDescent="0.25">
      <c r="A501" s="5">
        <f ca="1">IFERROR(__xludf.DUMMYFUNCTION("""COMPUTED_VALUE"""),275)</f>
        <v>275</v>
      </c>
      <c r="B501" s="5" t="str">
        <f ca="1">IFERROR(__xludf.DUMMYFUNCTION("""COMPUTED_VALUE"""),"Горшенин")</f>
        <v>Горшенин</v>
      </c>
      <c r="C501" s="5" t="str">
        <f ca="1">IFERROR(__xludf.DUMMYFUNCTION("""COMPUTED_VALUE"""),"Александр")</f>
        <v>Александр</v>
      </c>
      <c r="D501" s="5" t="str">
        <f ca="1">IFERROR(__xludf.DUMMYFUNCTION("""COMPUTED_VALUE"""),"Константинович")</f>
        <v>Константинович</v>
      </c>
      <c r="E501" s="5" t="str">
        <f ca="1">IFERROR(__xludf.DUMMYFUNCTION("""COMPUTED_VALUE"""),"Команда №3834")</f>
        <v>Команда №3834</v>
      </c>
      <c r="F501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501" s="7">
        <f ca="1">IFERROR(__xludf.DUMMYFUNCTION("""COMPUTED_VALUE"""),91)</f>
        <v>91</v>
      </c>
    </row>
    <row r="502" spans="1:7" ht="26.4" x14ac:dyDescent="0.25">
      <c r="A502" s="5">
        <f ca="1">IFERROR(__xludf.DUMMYFUNCTION("""COMPUTED_VALUE"""),878)</f>
        <v>878</v>
      </c>
      <c r="B502" s="5" t="str">
        <f ca="1">IFERROR(__xludf.DUMMYFUNCTION("""COMPUTED_VALUE"""),"Окулова")</f>
        <v>Окулова</v>
      </c>
      <c r="C502" s="5" t="str">
        <f ca="1">IFERROR(__xludf.DUMMYFUNCTION("""COMPUTED_VALUE"""),"Влада")</f>
        <v>Влада</v>
      </c>
      <c r="D502" s="5" t="str">
        <f ca="1">IFERROR(__xludf.DUMMYFUNCTION("""COMPUTED_VALUE"""),"Дмитриевна")</f>
        <v>Дмитриевна</v>
      </c>
      <c r="E502" s="5" t="str">
        <f ca="1">IFERROR(__xludf.DUMMYFUNCTION("""COMPUTED_VALUE"""),"Команда №3834")</f>
        <v>Команда №3834</v>
      </c>
      <c r="F502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502" s="7">
        <f ca="1">IFERROR(__xludf.DUMMYFUNCTION("""COMPUTED_VALUE"""),91)</f>
        <v>91</v>
      </c>
    </row>
    <row r="503" spans="1:7" ht="26.4" x14ac:dyDescent="0.25">
      <c r="A503" s="5">
        <f ca="1">IFERROR(__xludf.DUMMYFUNCTION("""COMPUTED_VALUE"""),942)</f>
        <v>942</v>
      </c>
      <c r="B503" s="5" t="str">
        <f ca="1">IFERROR(__xludf.DUMMYFUNCTION("""COMPUTED_VALUE"""),"Польщикова")</f>
        <v>Польщикова</v>
      </c>
      <c r="C503" s="5" t="str">
        <f ca="1">IFERROR(__xludf.DUMMYFUNCTION("""COMPUTED_VALUE"""),"Виталия")</f>
        <v>Виталия</v>
      </c>
      <c r="D503" s="5" t="str">
        <f ca="1">IFERROR(__xludf.DUMMYFUNCTION("""COMPUTED_VALUE"""),"Олеговна")</f>
        <v>Олеговна</v>
      </c>
      <c r="E503" s="5" t="str">
        <f ca="1">IFERROR(__xludf.DUMMYFUNCTION("""COMPUTED_VALUE"""),"Команда №3834")</f>
        <v>Команда №3834</v>
      </c>
      <c r="F503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503" s="7">
        <f ca="1">IFERROR(__xludf.DUMMYFUNCTION("""COMPUTED_VALUE"""),91)</f>
        <v>91</v>
      </c>
    </row>
    <row r="504" spans="1:7" ht="26.4" x14ac:dyDescent="0.25">
      <c r="A504" s="5">
        <f ca="1">IFERROR(__xludf.DUMMYFUNCTION("""COMPUTED_VALUE"""),952)</f>
        <v>952</v>
      </c>
      <c r="B504" s="5" t="str">
        <f ca="1">IFERROR(__xludf.DUMMYFUNCTION("""COMPUTED_VALUE"""),"Попова")</f>
        <v>Попова</v>
      </c>
      <c r="C504" s="5" t="str">
        <f ca="1">IFERROR(__xludf.DUMMYFUNCTION("""COMPUTED_VALUE"""),"Марина")</f>
        <v>Марина</v>
      </c>
      <c r="D504" s="5" t="str">
        <f ca="1">IFERROR(__xludf.DUMMYFUNCTION("""COMPUTED_VALUE"""),"Александровна")</f>
        <v>Александровна</v>
      </c>
      <c r="E504" s="5" t="str">
        <f ca="1">IFERROR(__xludf.DUMMYFUNCTION("""COMPUTED_VALUE"""),"Команда №3834")</f>
        <v>Команда №3834</v>
      </c>
      <c r="F504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504" s="7">
        <f ca="1">IFERROR(__xludf.DUMMYFUNCTION("""COMPUTED_VALUE"""),91)</f>
        <v>91</v>
      </c>
    </row>
    <row r="505" spans="1:7" ht="26.4" x14ac:dyDescent="0.25">
      <c r="A505" s="5">
        <f ca="1">IFERROR(__xludf.DUMMYFUNCTION("""COMPUTED_VALUE"""),983)</f>
        <v>983</v>
      </c>
      <c r="B505" s="5" t="str">
        <f ca="1">IFERROR(__xludf.DUMMYFUNCTION("""COMPUTED_VALUE"""),"Рассохина")</f>
        <v>Рассохина</v>
      </c>
      <c r="C505" s="5" t="str">
        <f ca="1">IFERROR(__xludf.DUMMYFUNCTION("""COMPUTED_VALUE"""),"Анастасия")</f>
        <v>Анастасия</v>
      </c>
      <c r="D505" s="5" t="str">
        <f ca="1">IFERROR(__xludf.DUMMYFUNCTION("""COMPUTED_VALUE"""),"Дмитриевна")</f>
        <v>Дмитриевна</v>
      </c>
      <c r="E505" s="5" t="str">
        <f ca="1">IFERROR(__xludf.DUMMYFUNCTION("""COMPUTED_VALUE"""),"Команда №3834")</f>
        <v>Команда №3834</v>
      </c>
      <c r="F505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505" s="7">
        <f ca="1">IFERROR(__xludf.DUMMYFUNCTION("""COMPUTED_VALUE"""),91)</f>
        <v>91</v>
      </c>
    </row>
    <row r="506" spans="1:7" ht="26.4" x14ac:dyDescent="0.25">
      <c r="A506" s="5">
        <f ca="1">IFERROR(__xludf.DUMMYFUNCTION("""COMPUTED_VALUE"""),225)</f>
        <v>225</v>
      </c>
      <c r="B506" s="5" t="str">
        <f ca="1">IFERROR(__xludf.DUMMYFUNCTION("""COMPUTED_VALUE"""),"Вторушин")</f>
        <v>Вторушин</v>
      </c>
      <c r="C506" s="5" t="str">
        <f ca="1">IFERROR(__xludf.DUMMYFUNCTION("""COMPUTED_VALUE"""),"Григорий")</f>
        <v>Григорий</v>
      </c>
      <c r="D506" s="5" t="str">
        <f ca="1">IFERROR(__xludf.DUMMYFUNCTION("""COMPUTED_VALUE"""),"Алексеевич")</f>
        <v>Алексеевич</v>
      </c>
      <c r="E506" s="5" t="str">
        <f ca="1">IFERROR(__xludf.DUMMYFUNCTION("""COMPUTED_VALUE"""),"Команда №3835")</f>
        <v>Команда №3835</v>
      </c>
      <c r="F506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06" s="7">
        <f ca="1">IFERROR(__xludf.DUMMYFUNCTION("""COMPUTED_VALUE"""),85)</f>
        <v>85</v>
      </c>
    </row>
    <row r="507" spans="1:7" ht="26.4" x14ac:dyDescent="0.25">
      <c r="A507" s="5">
        <f ca="1">IFERROR(__xludf.DUMMYFUNCTION("""COMPUTED_VALUE"""),898)</f>
        <v>898</v>
      </c>
      <c r="B507" s="5" t="str">
        <f ca="1">IFERROR(__xludf.DUMMYFUNCTION("""COMPUTED_VALUE"""),"Палехов")</f>
        <v>Палехов</v>
      </c>
      <c r="C507" s="5" t="str">
        <f ca="1">IFERROR(__xludf.DUMMYFUNCTION("""COMPUTED_VALUE"""),"Илья")</f>
        <v>Илья</v>
      </c>
      <c r="D507" s="5" t="str">
        <f ca="1">IFERROR(__xludf.DUMMYFUNCTION("""COMPUTED_VALUE"""),"Алексеевич")</f>
        <v>Алексеевич</v>
      </c>
      <c r="E507" s="5" t="str">
        <f ca="1">IFERROR(__xludf.DUMMYFUNCTION("""COMPUTED_VALUE"""),"Команда №3835")</f>
        <v>Команда №3835</v>
      </c>
      <c r="F507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07" s="7">
        <f ca="1">IFERROR(__xludf.DUMMYFUNCTION("""COMPUTED_VALUE"""),85)</f>
        <v>85</v>
      </c>
    </row>
    <row r="508" spans="1:7" ht="26.4" x14ac:dyDescent="0.25">
      <c r="A508" s="5">
        <f ca="1">IFERROR(__xludf.DUMMYFUNCTION("""COMPUTED_VALUE"""),937)</f>
        <v>937</v>
      </c>
      <c r="B508" s="5" t="str">
        <f ca="1">IFERROR(__xludf.DUMMYFUNCTION("""COMPUTED_VALUE"""),"Плотницкий")</f>
        <v>Плотницкий</v>
      </c>
      <c r="C508" s="5" t="str">
        <f ca="1">IFERROR(__xludf.DUMMYFUNCTION("""COMPUTED_VALUE"""),"Леонид")</f>
        <v>Леонид</v>
      </c>
      <c r="D508" s="5" t="str">
        <f ca="1">IFERROR(__xludf.DUMMYFUNCTION("""COMPUTED_VALUE"""),"Михайлович")</f>
        <v>Михайлович</v>
      </c>
      <c r="E508" s="5" t="str">
        <f ca="1">IFERROR(__xludf.DUMMYFUNCTION("""COMPUTED_VALUE"""),"Команда №3835")</f>
        <v>Команда №3835</v>
      </c>
      <c r="F508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08" s="7">
        <f ca="1">IFERROR(__xludf.DUMMYFUNCTION("""COMPUTED_VALUE"""),85)</f>
        <v>85</v>
      </c>
    </row>
    <row r="509" spans="1:7" ht="26.4" x14ac:dyDescent="0.25">
      <c r="A509" s="5">
        <f ca="1">IFERROR(__xludf.DUMMYFUNCTION("""COMPUTED_VALUE"""),966)</f>
        <v>966</v>
      </c>
      <c r="B509" s="5" t="str">
        <f ca="1">IFERROR(__xludf.DUMMYFUNCTION("""COMPUTED_VALUE"""),"Проскурин")</f>
        <v>Проскурин</v>
      </c>
      <c r="C509" s="5" t="str">
        <f ca="1">IFERROR(__xludf.DUMMYFUNCTION("""COMPUTED_VALUE"""),"Иван")</f>
        <v>Иван</v>
      </c>
      <c r="D509" s="5" t="str">
        <f ca="1">IFERROR(__xludf.DUMMYFUNCTION("""COMPUTED_VALUE"""),"Андреевич")</f>
        <v>Андреевич</v>
      </c>
      <c r="E509" s="5" t="str">
        <f ca="1">IFERROR(__xludf.DUMMYFUNCTION("""COMPUTED_VALUE"""),"Команда №3835")</f>
        <v>Команда №3835</v>
      </c>
      <c r="F509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09" s="7">
        <f ca="1">IFERROR(__xludf.DUMMYFUNCTION("""COMPUTED_VALUE"""),85)</f>
        <v>85</v>
      </c>
    </row>
    <row r="510" spans="1:7" ht="39.6" x14ac:dyDescent="0.25">
      <c r="A510" s="5">
        <f ca="1">IFERROR(__xludf.DUMMYFUNCTION("""COMPUTED_VALUE"""),1331)</f>
        <v>1331</v>
      </c>
      <c r="B510" s="5" t="str">
        <f ca="1">IFERROR(__xludf.DUMMYFUNCTION("""COMPUTED_VALUE"""),"Шипулин")</f>
        <v>Шипулин</v>
      </c>
      <c r="C510" s="5" t="str">
        <f ca="1">IFERROR(__xludf.DUMMYFUNCTION("""COMPUTED_VALUE"""),"Кирилл")</f>
        <v>Кирилл</v>
      </c>
      <c r="D510" s="5"/>
      <c r="E510" s="5" t="str">
        <f ca="1">IFERROR(__xludf.DUMMYFUNCTION("""COMPUTED_VALUE"""),"Команда №3836")</f>
        <v>Команда №3836</v>
      </c>
      <c r="F510" s="6" t="str">
        <f ca="1">IFERROR(__xludf.DUMMYFUNCTION("""COMPUTED_VALUE"""),"Создание АСУТП котельной, состоящей из двух контроллеров (котлов) и контроллера общего котельного оборудования")</f>
        <v>Создание АСУТП котельной, состоящей из двух контроллеров (котлов) и контроллера общего котельного оборудования</v>
      </c>
      <c r="G510" s="7">
        <f ca="1">IFERROR(__xludf.DUMMYFUNCTION("""COMPUTED_VALUE"""),63)</f>
        <v>63</v>
      </c>
    </row>
    <row r="511" spans="1:7" ht="13.2" x14ac:dyDescent="0.25">
      <c r="A511" s="5">
        <f ca="1">IFERROR(__xludf.DUMMYFUNCTION("""COMPUTED_VALUE"""),591)</f>
        <v>591</v>
      </c>
      <c r="B511" s="5" t="str">
        <f ca="1">IFERROR(__xludf.DUMMYFUNCTION("""COMPUTED_VALUE"""),"Коссе")</f>
        <v>Коссе</v>
      </c>
      <c r="C511" s="5" t="str">
        <f ca="1">IFERROR(__xludf.DUMMYFUNCTION("""COMPUTED_VALUE"""),"Иван")</f>
        <v>Иван</v>
      </c>
      <c r="D511" s="5" t="str">
        <f ca="1">IFERROR(__xludf.DUMMYFUNCTION("""COMPUTED_VALUE"""),"Николаевич")</f>
        <v>Николаевич</v>
      </c>
      <c r="E511" s="5" t="str">
        <f ca="1">IFERROR(__xludf.DUMMYFUNCTION("""COMPUTED_VALUE"""),"Команда №3839")</f>
        <v>Команда №3839</v>
      </c>
      <c r="F511" s="6" t="str">
        <f ca="1">IFERROR(__xludf.DUMMYFUNCTION("""COMPUTED_VALUE"""),"Сайт для записи в прачечную комнату")</f>
        <v>Сайт для записи в прачечную комнату</v>
      </c>
      <c r="G511" s="7">
        <f ca="1">IFERROR(__xludf.DUMMYFUNCTION("""COMPUTED_VALUE"""),70)</f>
        <v>70</v>
      </c>
    </row>
    <row r="512" spans="1:7" ht="13.2" x14ac:dyDescent="0.25">
      <c r="A512" s="5">
        <f ca="1">IFERROR(__xludf.DUMMYFUNCTION("""COMPUTED_VALUE"""),1066)</f>
        <v>1066</v>
      </c>
      <c r="B512" s="5" t="str">
        <f ca="1">IFERROR(__xludf.DUMMYFUNCTION("""COMPUTED_VALUE"""),"Силинкин")</f>
        <v>Силинкин</v>
      </c>
      <c r="C512" s="5" t="str">
        <f ca="1">IFERROR(__xludf.DUMMYFUNCTION("""COMPUTED_VALUE"""),"Иван")</f>
        <v>Иван</v>
      </c>
      <c r="D512" s="5" t="str">
        <f ca="1">IFERROR(__xludf.DUMMYFUNCTION("""COMPUTED_VALUE"""),"Андреевич")</f>
        <v>Андреевич</v>
      </c>
      <c r="E512" s="5" t="str">
        <f ca="1">IFERROR(__xludf.DUMMYFUNCTION("""COMPUTED_VALUE"""),"Команда №3839")</f>
        <v>Команда №3839</v>
      </c>
      <c r="F512" s="6" t="str">
        <f ca="1">IFERROR(__xludf.DUMMYFUNCTION("""COMPUTED_VALUE"""),"Сайт для записи в прачечную комнату")</f>
        <v>Сайт для записи в прачечную комнату</v>
      </c>
      <c r="G512" s="7">
        <f ca="1">IFERROR(__xludf.DUMMYFUNCTION("""COMPUTED_VALUE"""),70)</f>
        <v>70</v>
      </c>
    </row>
    <row r="513" spans="1:7" ht="13.2" x14ac:dyDescent="0.25">
      <c r="A513" s="5">
        <f ca="1">IFERROR(__xludf.DUMMYFUNCTION("""COMPUTED_VALUE"""),1083)</f>
        <v>1083</v>
      </c>
      <c r="B513" s="5" t="str">
        <f ca="1">IFERROR(__xludf.DUMMYFUNCTION("""COMPUTED_VALUE"""),"Смирнов")</f>
        <v>Смирнов</v>
      </c>
      <c r="C513" s="5" t="str">
        <f ca="1">IFERROR(__xludf.DUMMYFUNCTION("""COMPUTED_VALUE"""),"Иван")</f>
        <v>Иван</v>
      </c>
      <c r="D513" s="5" t="str">
        <f ca="1">IFERROR(__xludf.DUMMYFUNCTION("""COMPUTED_VALUE"""),"Андреевич")</f>
        <v>Андреевич</v>
      </c>
      <c r="E513" s="5" t="str">
        <f ca="1">IFERROR(__xludf.DUMMYFUNCTION("""COMPUTED_VALUE"""),"Команда №3839")</f>
        <v>Команда №3839</v>
      </c>
      <c r="F513" s="6" t="str">
        <f ca="1">IFERROR(__xludf.DUMMYFUNCTION("""COMPUTED_VALUE"""),"Сайт для записи в прачечную комнату")</f>
        <v>Сайт для записи в прачечную комнату</v>
      </c>
      <c r="G513" s="7">
        <f ca="1">IFERROR(__xludf.DUMMYFUNCTION("""COMPUTED_VALUE"""),70)</f>
        <v>70</v>
      </c>
    </row>
    <row r="514" spans="1:7" ht="26.4" x14ac:dyDescent="0.25">
      <c r="A514" s="5">
        <f ca="1">IFERROR(__xludf.DUMMYFUNCTION("""COMPUTED_VALUE"""),904)</f>
        <v>904</v>
      </c>
      <c r="B514" s="5" t="str">
        <f ca="1">IFERROR(__xludf.DUMMYFUNCTION("""COMPUTED_VALUE"""),"Парамонов")</f>
        <v>Парамонов</v>
      </c>
      <c r="C514" s="5" t="str">
        <f ca="1">IFERROR(__xludf.DUMMYFUNCTION("""COMPUTED_VALUE"""),"Никита")</f>
        <v>Никита</v>
      </c>
      <c r="D514" s="5" t="str">
        <f ca="1">IFERROR(__xludf.DUMMYFUNCTION("""COMPUTED_VALUE"""),"Сергеевич")</f>
        <v>Сергеевич</v>
      </c>
      <c r="E514" s="5" t="str">
        <f ca="1">IFERROR(__xludf.DUMMYFUNCTION("""COMPUTED_VALUE"""),"Команда №3840")</f>
        <v>Команда №3840</v>
      </c>
      <c r="F514" s="6" t="str">
        <f ca="1">IFERROR(__xludf.DUMMYFUNCTION("""COMPUTED_VALUE"""),"Цифровизация союза студентов УрФУ, создание функциональной админ-панели")</f>
        <v>Цифровизация союза студентов УрФУ, создание функциональной админ-панели</v>
      </c>
      <c r="G514" s="7">
        <f ca="1">IFERROR(__xludf.DUMMYFUNCTION("""COMPUTED_VALUE"""),80)</f>
        <v>80</v>
      </c>
    </row>
    <row r="515" spans="1:7" ht="26.4" x14ac:dyDescent="0.25">
      <c r="A515" s="5">
        <f ca="1">IFERROR(__xludf.DUMMYFUNCTION("""COMPUTED_VALUE"""),1138)</f>
        <v>1138</v>
      </c>
      <c r="B515" s="5" t="str">
        <f ca="1">IFERROR(__xludf.DUMMYFUNCTION("""COMPUTED_VALUE"""),"Сычев")</f>
        <v>Сычев</v>
      </c>
      <c r="C515" s="5" t="str">
        <f ca="1">IFERROR(__xludf.DUMMYFUNCTION("""COMPUTED_VALUE"""),"Тимофей")</f>
        <v>Тимофей</v>
      </c>
      <c r="D515" s="5" t="str">
        <f ca="1">IFERROR(__xludf.DUMMYFUNCTION("""COMPUTED_VALUE"""),"Михайлович")</f>
        <v>Михайлович</v>
      </c>
      <c r="E515" s="5" t="str">
        <f ca="1">IFERROR(__xludf.DUMMYFUNCTION("""COMPUTED_VALUE"""),"Команда №3840")</f>
        <v>Команда №3840</v>
      </c>
      <c r="F515" s="6" t="str">
        <f ca="1">IFERROR(__xludf.DUMMYFUNCTION("""COMPUTED_VALUE"""),"Цифровизация союза студентов УрФУ, создание функциональной админ-панели")</f>
        <v>Цифровизация союза студентов УрФУ, создание функциональной админ-панели</v>
      </c>
      <c r="G515" s="7">
        <f ca="1">IFERROR(__xludf.DUMMYFUNCTION("""COMPUTED_VALUE"""),80)</f>
        <v>80</v>
      </c>
    </row>
    <row r="516" spans="1:7" ht="26.4" x14ac:dyDescent="0.25">
      <c r="A516" s="5">
        <f ca="1">IFERROR(__xludf.DUMMYFUNCTION("""COMPUTED_VALUE"""),1147)</f>
        <v>1147</v>
      </c>
      <c r="B516" s="5" t="str">
        <f ca="1">IFERROR(__xludf.DUMMYFUNCTION("""COMPUTED_VALUE"""),"Терентьев")</f>
        <v>Терентьев</v>
      </c>
      <c r="C516" s="5" t="str">
        <f ca="1">IFERROR(__xludf.DUMMYFUNCTION("""COMPUTED_VALUE"""),"Александр")</f>
        <v>Александр</v>
      </c>
      <c r="D516" s="5" t="str">
        <f ca="1">IFERROR(__xludf.DUMMYFUNCTION("""COMPUTED_VALUE"""),"Сергеевич")</f>
        <v>Сергеевич</v>
      </c>
      <c r="E516" s="5" t="str">
        <f ca="1">IFERROR(__xludf.DUMMYFUNCTION("""COMPUTED_VALUE"""),"Команда №3840")</f>
        <v>Команда №3840</v>
      </c>
      <c r="F516" s="6" t="str">
        <f ca="1">IFERROR(__xludf.DUMMYFUNCTION("""COMPUTED_VALUE"""),"Цифровизация союза студентов УрФУ, создание функциональной админ-панели")</f>
        <v>Цифровизация союза студентов УрФУ, создание функциональной админ-панели</v>
      </c>
      <c r="G516" s="7">
        <f ca="1">IFERROR(__xludf.DUMMYFUNCTION("""COMPUTED_VALUE"""),80)</f>
        <v>80</v>
      </c>
    </row>
    <row r="517" spans="1:7" ht="26.4" x14ac:dyDescent="0.25">
      <c r="A517" s="5">
        <f ca="1">IFERROR(__xludf.DUMMYFUNCTION("""COMPUTED_VALUE"""),1211)</f>
        <v>1211</v>
      </c>
      <c r="B517" s="5" t="str">
        <f ca="1">IFERROR(__xludf.DUMMYFUNCTION("""COMPUTED_VALUE"""),"Федоров")</f>
        <v>Федоров</v>
      </c>
      <c r="C517" s="5" t="str">
        <f ca="1">IFERROR(__xludf.DUMMYFUNCTION("""COMPUTED_VALUE"""),"Александр")</f>
        <v>Александр</v>
      </c>
      <c r="D517" s="5" t="str">
        <f ca="1">IFERROR(__xludf.DUMMYFUNCTION("""COMPUTED_VALUE"""),"Юрьевич")</f>
        <v>Юрьевич</v>
      </c>
      <c r="E517" s="5" t="str">
        <f ca="1">IFERROR(__xludf.DUMMYFUNCTION("""COMPUTED_VALUE"""),"Команда №3840")</f>
        <v>Команда №3840</v>
      </c>
      <c r="F517" s="6" t="str">
        <f ca="1">IFERROR(__xludf.DUMMYFUNCTION("""COMPUTED_VALUE"""),"Цифровизация союза студентов УрФУ, создание функциональной админ-панели")</f>
        <v>Цифровизация союза студентов УрФУ, создание функциональной админ-панели</v>
      </c>
      <c r="G517" s="7">
        <f ca="1">IFERROR(__xludf.DUMMYFUNCTION("""COMPUTED_VALUE"""),80)</f>
        <v>80</v>
      </c>
    </row>
    <row r="518" spans="1:7" ht="26.4" x14ac:dyDescent="0.25">
      <c r="A518" s="5">
        <f ca="1">IFERROR(__xludf.DUMMYFUNCTION("""COMPUTED_VALUE"""),1339)</f>
        <v>1339</v>
      </c>
      <c r="B518" s="5" t="str">
        <f ca="1">IFERROR(__xludf.DUMMYFUNCTION("""COMPUTED_VALUE"""),"Шкатова")</f>
        <v>Шкатова</v>
      </c>
      <c r="C518" s="5" t="str">
        <f ca="1">IFERROR(__xludf.DUMMYFUNCTION("""COMPUTED_VALUE"""),"Ангелина")</f>
        <v>Ангелина</v>
      </c>
      <c r="D518" s="5" t="str">
        <f ca="1">IFERROR(__xludf.DUMMYFUNCTION("""COMPUTED_VALUE"""),"Валерьевна")</f>
        <v>Валерьевна</v>
      </c>
      <c r="E518" s="5" t="str">
        <f ca="1">IFERROR(__xludf.DUMMYFUNCTION("""COMPUTED_VALUE"""),"Команда №3840")</f>
        <v>Команда №3840</v>
      </c>
      <c r="F518" s="6" t="str">
        <f ca="1">IFERROR(__xludf.DUMMYFUNCTION("""COMPUTED_VALUE"""),"Цифровизация союза студентов УрФУ, создание функциональной админ-панели")</f>
        <v>Цифровизация союза студентов УрФУ, создание функциональной админ-панели</v>
      </c>
      <c r="G518" s="7">
        <f ca="1">IFERROR(__xludf.DUMMYFUNCTION("""COMPUTED_VALUE"""),80)</f>
        <v>80</v>
      </c>
    </row>
    <row r="519" spans="1:7" ht="26.4" x14ac:dyDescent="0.25">
      <c r="A519" s="5">
        <f ca="1">IFERROR(__xludf.DUMMYFUNCTION("""COMPUTED_VALUE"""),23)</f>
        <v>23</v>
      </c>
      <c r="B519" s="5" t="str">
        <f ca="1">IFERROR(__xludf.DUMMYFUNCTION("""COMPUTED_VALUE"""),"Азеев")</f>
        <v>Азеев</v>
      </c>
      <c r="C519" s="5" t="str">
        <f ca="1">IFERROR(__xludf.DUMMYFUNCTION("""COMPUTED_VALUE"""),"Борис")</f>
        <v>Борис</v>
      </c>
      <c r="D519" s="5" t="str">
        <f ca="1">IFERROR(__xludf.DUMMYFUNCTION("""COMPUTED_VALUE"""),"Михайлович")</f>
        <v>Михайлович</v>
      </c>
      <c r="E519" s="5" t="str">
        <f ca="1">IFERROR(__xludf.DUMMYFUNCTION("""COMPUTED_VALUE"""),"Команда №3843")</f>
        <v>Команда №3843</v>
      </c>
      <c r="F519" s="6" t="str">
        <f ca="1">IFERROR(__xludf.DUMMYFUNCTION("""COMPUTED_VALUE"""),"Разработка 3D-игры в жанре “Научной-фантастики” на Unity")</f>
        <v>Разработка 3D-игры в жанре “Научной-фантастики” на Unity</v>
      </c>
      <c r="G519" s="7">
        <f ca="1">IFERROR(__xludf.DUMMYFUNCTION("""COMPUTED_VALUE"""),88)</f>
        <v>88</v>
      </c>
    </row>
    <row r="520" spans="1:7" ht="26.4" x14ac:dyDescent="0.25">
      <c r="A520" s="5">
        <f ca="1">IFERROR(__xludf.DUMMYFUNCTION("""COMPUTED_VALUE"""),74)</f>
        <v>74</v>
      </c>
      <c r="B520" s="5" t="str">
        <f ca="1">IFERROR(__xludf.DUMMYFUNCTION("""COMPUTED_VALUE"""),"Бабин")</f>
        <v>Бабин</v>
      </c>
      <c r="C520" s="5" t="str">
        <f ca="1">IFERROR(__xludf.DUMMYFUNCTION("""COMPUTED_VALUE"""),"Георгий")</f>
        <v>Георгий</v>
      </c>
      <c r="D520" s="5" t="str">
        <f ca="1">IFERROR(__xludf.DUMMYFUNCTION("""COMPUTED_VALUE"""),"Константинович")</f>
        <v>Константинович</v>
      </c>
      <c r="E520" s="5" t="str">
        <f ca="1">IFERROR(__xludf.DUMMYFUNCTION("""COMPUTED_VALUE"""),"Команда №3843")</f>
        <v>Команда №3843</v>
      </c>
      <c r="F520" s="6" t="str">
        <f ca="1">IFERROR(__xludf.DUMMYFUNCTION("""COMPUTED_VALUE"""),"Разработка 3D-игры в жанре “Научной-фантастики” на Unity")</f>
        <v>Разработка 3D-игры в жанре “Научной-фантастики” на Unity</v>
      </c>
      <c r="G520" s="7">
        <f ca="1">IFERROR(__xludf.DUMMYFUNCTION("""COMPUTED_VALUE"""),88)</f>
        <v>88</v>
      </c>
    </row>
    <row r="521" spans="1:7" ht="26.4" x14ac:dyDescent="0.25">
      <c r="A521" s="5">
        <f ca="1">IFERROR(__xludf.DUMMYFUNCTION("""COMPUTED_VALUE"""),267)</f>
        <v>267</v>
      </c>
      <c r="B521" s="5" t="str">
        <f ca="1">IFERROR(__xludf.DUMMYFUNCTION("""COMPUTED_VALUE"""),"Гончарова")</f>
        <v>Гончарова</v>
      </c>
      <c r="C521" s="5" t="str">
        <f ca="1">IFERROR(__xludf.DUMMYFUNCTION("""COMPUTED_VALUE"""),"Мария")</f>
        <v>Мария</v>
      </c>
      <c r="D521" s="5" t="str">
        <f ca="1">IFERROR(__xludf.DUMMYFUNCTION("""COMPUTED_VALUE"""),"Александровна")</f>
        <v>Александровна</v>
      </c>
      <c r="E521" s="5" t="str">
        <f ca="1">IFERROR(__xludf.DUMMYFUNCTION("""COMPUTED_VALUE"""),"Команда №3843")</f>
        <v>Команда №3843</v>
      </c>
      <c r="F521" s="6" t="str">
        <f ca="1">IFERROR(__xludf.DUMMYFUNCTION("""COMPUTED_VALUE"""),"Разработка 3D-игры в жанре “Научной-фантастики” на Unity")</f>
        <v>Разработка 3D-игры в жанре “Научной-фантастики” на Unity</v>
      </c>
      <c r="G521" s="7">
        <f ca="1">IFERROR(__xludf.DUMMYFUNCTION("""COMPUTED_VALUE"""),88)</f>
        <v>88</v>
      </c>
    </row>
    <row r="522" spans="1:7" ht="26.4" x14ac:dyDescent="0.25">
      <c r="A522" s="5">
        <f ca="1">IFERROR(__xludf.DUMMYFUNCTION("""COMPUTED_VALUE"""),1067)</f>
        <v>1067</v>
      </c>
      <c r="B522" s="5" t="str">
        <f ca="1">IFERROR(__xludf.DUMMYFUNCTION("""COMPUTED_VALUE"""),"Симаков")</f>
        <v>Симаков</v>
      </c>
      <c r="C522" s="5" t="str">
        <f ca="1">IFERROR(__xludf.DUMMYFUNCTION("""COMPUTED_VALUE"""),"Евгений")</f>
        <v>Евгений</v>
      </c>
      <c r="D522" s="5" t="str">
        <f ca="1">IFERROR(__xludf.DUMMYFUNCTION("""COMPUTED_VALUE"""),"Сергеевич")</f>
        <v>Сергеевич</v>
      </c>
      <c r="E522" s="5" t="str">
        <f ca="1">IFERROR(__xludf.DUMMYFUNCTION("""COMPUTED_VALUE"""),"Команда №3843")</f>
        <v>Команда №3843</v>
      </c>
      <c r="F522" s="6" t="str">
        <f ca="1">IFERROR(__xludf.DUMMYFUNCTION("""COMPUTED_VALUE"""),"Разработка 3D-игры в жанре “Научной-фантастики” на Unity")</f>
        <v>Разработка 3D-игры в жанре “Научной-фантастики” на Unity</v>
      </c>
      <c r="G522" s="7">
        <f ca="1">IFERROR(__xludf.DUMMYFUNCTION("""COMPUTED_VALUE"""),88)</f>
        <v>88</v>
      </c>
    </row>
    <row r="523" spans="1:7" ht="26.4" x14ac:dyDescent="0.25">
      <c r="A523" s="5">
        <f ca="1">IFERROR(__xludf.DUMMYFUNCTION("""COMPUTED_VALUE"""),1306)</f>
        <v>1306</v>
      </c>
      <c r="B523" s="5" t="str">
        <f ca="1">IFERROR(__xludf.DUMMYFUNCTION("""COMPUTED_VALUE"""),"Шамонин")</f>
        <v>Шамонин</v>
      </c>
      <c r="C523" s="5" t="str">
        <f ca="1">IFERROR(__xludf.DUMMYFUNCTION("""COMPUTED_VALUE"""),"Филипп")</f>
        <v>Филипп</v>
      </c>
      <c r="D523" s="5" t="str">
        <f ca="1">IFERROR(__xludf.DUMMYFUNCTION("""COMPUTED_VALUE"""),"Николаевич")</f>
        <v>Николаевич</v>
      </c>
      <c r="E523" s="5" t="str">
        <f ca="1">IFERROR(__xludf.DUMMYFUNCTION("""COMPUTED_VALUE"""),"Команда №3843")</f>
        <v>Команда №3843</v>
      </c>
      <c r="F523" s="6" t="str">
        <f ca="1">IFERROR(__xludf.DUMMYFUNCTION("""COMPUTED_VALUE"""),"Разработка 3D-игры в жанре “Научной-фантастики” на Unity")</f>
        <v>Разработка 3D-игры в жанре “Научной-фантастики” на Unity</v>
      </c>
      <c r="G523" s="7">
        <f ca="1">IFERROR(__xludf.DUMMYFUNCTION("""COMPUTED_VALUE"""),88)</f>
        <v>88</v>
      </c>
    </row>
    <row r="524" spans="1:7" ht="13.2" x14ac:dyDescent="0.25">
      <c r="A524" s="5">
        <f ca="1">IFERROR(__xludf.DUMMYFUNCTION("""COMPUTED_VALUE"""),72)</f>
        <v>72</v>
      </c>
      <c r="B524" s="5" t="str">
        <f ca="1">IFERROR(__xludf.DUMMYFUNCTION("""COMPUTED_VALUE"""),"Ахунзянов")</f>
        <v>Ахунзянов</v>
      </c>
      <c r="C524" s="5" t="str">
        <f ca="1">IFERROR(__xludf.DUMMYFUNCTION("""COMPUTED_VALUE"""),"Денис")</f>
        <v>Денис</v>
      </c>
      <c r="D524" s="5" t="str">
        <f ca="1">IFERROR(__xludf.DUMMYFUNCTION("""COMPUTED_VALUE"""),"Тимурович")</f>
        <v>Тимурович</v>
      </c>
      <c r="E524" s="5" t="str">
        <f ca="1">IFERROR(__xludf.DUMMYFUNCTION("""COMPUTED_VALUE"""),"Команда №3845")</f>
        <v>Команда №3845</v>
      </c>
      <c r="F524" s="6" t="str">
        <f ca="1">IFERROR(__xludf.DUMMYFUNCTION("""COMPUTED_VALUE"""),"Разработка 2D-игры на Unity")</f>
        <v>Разработка 2D-игры на Unity</v>
      </c>
      <c r="G524" s="7">
        <f ca="1">IFERROR(__xludf.DUMMYFUNCTION("""COMPUTED_VALUE"""),80)</f>
        <v>80</v>
      </c>
    </row>
    <row r="525" spans="1:7" ht="13.2" x14ac:dyDescent="0.25">
      <c r="A525" s="5">
        <f ca="1">IFERROR(__xludf.DUMMYFUNCTION("""COMPUTED_VALUE"""),191)</f>
        <v>191</v>
      </c>
      <c r="B525" s="5" t="str">
        <f ca="1">IFERROR(__xludf.DUMMYFUNCTION("""COMPUTED_VALUE"""),"Веретин")</f>
        <v>Веретин</v>
      </c>
      <c r="C525" s="5" t="str">
        <f ca="1">IFERROR(__xludf.DUMMYFUNCTION("""COMPUTED_VALUE"""),"Владислав")</f>
        <v>Владислав</v>
      </c>
      <c r="D525" s="5" t="str">
        <f ca="1">IFERROR(__xludf.DUMMYFUNCTION("""COMPUTED_VALUE"""),"Витальевич")</f>
        <v>Витальевич</v>
      </c>
      <c r="E525" s="5" t="str">
        <f ca="1">IFERROR(__xludf.DUMMYFUNCTION("""COMPUTED_VALUE"""),"Команда №3845")</f>
        <v>Команда №3845</v>
      </c>
      <c r="F525" s="6" t="str">
        <f ca="1">IFERROR(__xludf.DUMMYFUNCTION("""COMPUTED_VALUE"""),"Разработка 2D-игры на Unity")</f>
        <v>Разработка 2D-игры на Unity</v>
      </c>
      <c r="G525" s="7">
        <f ca="1">IFERROR(__xludf.DUMMYFUNCTION("""COMPUTED_VALUE"""),80)</f>
        <v>80</v>
      </c>
    </row>
    <row r="526" spans="1:7" ht="13.2" x14ac:dyDescent="0.25">
      <c r="A526" s="5">
        <f ca="1">IFERROR(__xludf.DUMMYFUNCTION("""COMPUTED_VALUE"""),516)</f>
        <v>516</v>
      </c>
      <c r="B526" s="5" t="str">
        <f ca="1">IFERROR(__xludf.DUMMYFUNCTION("""COMPUTED_VALUE"""),"Киселев")</f>
        <v>Киселев</v>
      </c>
      <c r="C526" s="5" t="str">
        <f ca="1">IFERROR(__xludf.DUMMYFUNCTION("""COMPUTED_VALUE"""),"Максим")</f>
        <v>Максим</v>
      </c>
      <c r="D526" s="5" t="str">
        <f ca="1">IFERROR(__xludf.DUMMYFUNCTION("""COMPUTED_VALUE"""),"Сергеевич")</f>
        <v>Сергеевич</v>
      </c>
      <c r="E526" s="5" t="str">
        <f ca="1">IFERROR(__xludf.DUMMYFUNCTION("""COMPUTED_VALUE"""),"Команда №3845")</f>
        <v>Команда №3845</v>
      </c>
      <c r="F526" s="6" t="str">
        <f ca="1">IFERROR(__xludf.DUMMYFUNCTION("""COMPUTED_VALUE"""),"Разработка 2D-игры на Unity")</f>
        <v>Разработка 2D-игры на Unity</v>
      </c>
      <c r="G526" s="7">
        <f ca="1">IFERROR(__xludf.DUMMYFUNCTION("""COMPUTED_VALUE"""),80)</f>
        <v>80</v>
      </c>
    </row>
    <row r="527" spans="1:7" ht="13.2" x14ac:dyDescent="0.25">
      <c r="A527" s="5">
        <f ca="1">IFERROR(__xludf.DUMMYFUNCTION("""COMPUTED_VALUE"""),804)</f>
        <v>804</v>
      </c>
      <c r="B527" s="5" t="str">
        <f ca="1">IFERROR(__xludf.DUMMYFUNCTION("""COMPUTED_VALUE"""),"Мухомедьянов")</f>
        <v>Мухомедьянов</v>
      </c>
      <c r="C527" s="5" t="str">
        <f ca="1">IFERROR(__xludf.DUMMYFUNCTION("""COMPUTED_VALUE"""),"Шамиль")</f>
        <v>Шамиль</v>
      </c>
      <c r="D527" s="5" t="str">
        <f ca="1">IFERROR(__xludf.DUMMYFUNCTION("""COMPUTED_VALUE"""),"Антонович")</f>
        <v>Антонович</v>
      </c>
      <c r="E527" s="5" t="str">
        <f ca="1">IFERROR(__xludf.DUMMYFUNCTION("""COMPUTED_VALUE"""),"Команда №3845")</f>
        <v>Команда №3845</v>
      </c>
      <c r="F527" s="6" t="str">
        <f ca="1">IFERROR(__xludf.DUMMYFUNCTION("""COMPUTED_VALUE"""),"Разработка 2D-игры на Unity")</f>
        <v>Разработка 2D-игры на Unity</v>
      </c>
      <c r="G527" s="7">
        <f ca="1">IFERROR(__xludf.DUMMYFUNCTION("""COMPUTED_VALUE"""),80)</f>
        <v>80</v>
      </c>
    </row>
    <row r="528" spans="1:7" ht="13.2" x14ac:dyDescent="0.25">
      <c r="A528" s="5">
        <f ca="1">IFERROR(__xludf.DUMMYFUNCTION("""COMPUTED_VALUE"""),1249)</f>
        <v>1249</v>
      </c>
      <c r="B528" s="5" t="str">
        <f ca="1">IFERROR(__xludf.DUMMYFUNCTION("""COMPUTED_VALUE"""),"Хисматуллин")</f>
        <v>Хисматуллин</v>
      </c>
      <c r="C528" s="5" t="str">
        <f ca="1">IFERROR(__xludf.DUMMYFUNCTION("""COMPUTED_VALUE"""),"Вадим")</f>
        <v>Вадим</v>
      </c>
      <c r="D528" s="5" t="str">
        <f ca="1">IFERROR(__xludf.DUMMYFUNCTION("""COMPUTED_VALUE"""),"Иршатович")</f>
        <v>Иршатович</v>
      </c>
      <c r="E528" s="5" t="str">
        <f ca="1">IFERROR(__xludf.DUMMYFUNCTION("""COMPUTED_VALUE"""),"Команда №3845")</f>
        <v>Команда №3845</v>
      </c>
      <c r="F528" s="6" t="str">
        <f ca="1">IFERROR(__xludf.DUMMYFUNCTION("""COMPUTED_VALUE"""),"Разработка 2D-игры на Unity")</f>
        <v>Разработка 2D-игры на Unity</v>
      </c>
      <c r="G528" s="7">
        <f ca="1">IFERROR(__xludf.DUMMYFUNCTION("""COMPUTED_VALUE"""),80)</f>
        <v>80</v>
      </c>
    </row>
    <row r="529" spans="1:7" ht="26.4" x14ac:dyDescent="0.25">
      <c r="A529" s="5">
        <f ca="1">IFERROR(__xludf.DUMMYFUNCTION("""COMPUTED_VALUE"""),328)</f>
        <v>328</v>
      </c>
      <c r="B529" s="5" t="str">
        <f ca="1">IFERROR(__xludf.DUMMYFUNCTION("""COMPUTED_VALUE"""),"Долганов")</f>
        <v>Долганов</v>
      </c>
      <c r="C529" s="5" t="str">
        <f ca="1">IFERROR(__xludf.DUMMYFUNCTION("""COMPUTED_VALUE"""),"Никита")</f>
        <v>Никита</v>
      </c>
      <c r="D529" s="5" t="str">
        <f ca="1">IFERROR(__xludf.DUMMYFUNCTION("""COMPUTED_VALUE"""),"Сергеевич")</f>
        <v>Сергеевич</v>
      </c>
      <c r="E529" s="5" t="str">
        <f ca="1">IFERROR(__xludf.DUMMYFUNCTION("""COMPUTED_VALUE"""),"Команда №3846")</f>
        <v>Команда №3846</v>
      </c>
      <c r="F529" s="6" t="str">
        <f ca="1">IFERROR(__xludf.DUMMYFUNCTION("""COMPUTED_VALUE"""),"Разработка web-тренажера для развития интеллекта StaySmart")</f>
        <v>Разработка web-тренажера для развития интеллекта StaySmart</v>
      </c>
      <c r="G529" s="7">
        <f ca="1">IFERROR(__xludf.DUMMYFUNCTION("""COMPUTED_VALUE"""),80)</f>
        <v>80</v>
      </c>
    </row>
    <row r="530" spans="1:7" ht="26.4" x14ac:dyDescent="0.25">
      <c r="A530" s="5">
        <f ca="1">IFERROR(__xludf.DUMMYFUNCTION("""COMPUTED_VALUE"""),550)</f>
        <v>550</v>
      </c>
      <c r="B530" s="5" t="str">
        <f ca="1">IFERROR(__xludf.DUMMYFUNCTION("""COMPUTED_VALUE"""),"Колин")</f>
        <v>Колин</v>
      </c>
      <c r="C530" s="5" t="str">
        <f ca="1">IFERROR(__xludf.DUMMYFUNCTION("""COMPUTED_VALUE"""),"Арсений")</f>
        <v>Арсений</v>
      </c>
      <c r="D530" s="5" t="str">
        <f ca="1">IFERROR(__xludf.DUMMYFUNCTION("""COMPUTED_VALUE"""),"Витальевич")</f>
        <v>Витальевич</v>
      </c>
      <c r="E530" s="5" t="str">
        <f ca="1">IFERROR(__xludf.DUMMYFUNCTION("""COMPUTED_VALUE"""),"Команда №3846")</f>
        <v>Команда №3846</v>
      </c>
      <c r="F530" s="6" t="str">
        <f ca="1">IFERROR(__xludf.DUMMYFUNCTION("""COMPUTED_VALUE"""),"Разработка web-тренажера для развития интеллекта StaySmart")</f>
        <v>Разработка web-тренажера для развития интеллекта StaySmart</v>
      </c>
      <c r="G530" s="7">
        <f ca="1">IFERROR(__xludf.DUMMYFUNCTION("""COMPUTED_VALUE"""),80)</f>
        <v>80</v>
      </c>
    </row>
    <row r="531" spans="1:7" ht="26.4" x14ac:dyDescent="0.25">
      <c r="A531" s="5">
        <f ca="1">IFERROR(__xludf.DUMMYFUNCTION("""COMPUTED_VALUE"""),738)</f>
        <v>738</v>
      </c>
      <c r="B531" s="5" t="str">
        <f ca="1">IFERROR(__xludf.DUMMYFUNCTION("""COMPUTED_VALUE"""),"Матвеев")</f>
        <v>Матвеев</v>
      </c>
      <c r="C531" s="5" t="str">
        <f ca="1">IFERROR(__xludf.DUMMYFUNCTION("""COMPUTED_VALUE"""),"Евгений")</f>
        <v>Евгений</v>
      </c>
      <c r="D531" s="5" t="str">
        <f ca="1">IFERROR(__xludf.DUMMYFUNCTION("""COMPUTED_VALUE"""),"Сергеевич")</f>
        <v>Сергеевич</v>
      </c>
      <c r="E531" s="5" t="str">
        <f ca="1">IFERROR(__xludf.DUMMYFUNCTION("""COMPUTED_VALUE"""),"Команда №3846")</f>
        <v>Команда №3846</v>
      </c>
      <c r="F531" s="6" t="str">
        <f ca="1">IFERROR(__xludf.DUMMYFUNCTION("""COMPUTED_VALUE"""),"Разработка web-тренажера для развития интеллекта StaySmart")</f>
        <v>Разработка web-тренажера для развития интеллекта StaySmart</v>
      </c>
      <c r="G531" s="7">
        <f ca="1">IFERROR(__xludf.DUMMYFUNCTION("""COMPUTED_VALUE"""),80)</f>
        <v>80</v>
      </c>
    </row>
    <row r="532" spans="1:7" ht="13.2" x14ac:dyDescent="0.25">
      <c r="A532" s="5">
        <f ca="1">IFERROR(__xludf.DUMMYFUNCTION("""COMPUTED_VALUE"""),58)</f>
        <v>58</v>
      </c>
      <c r="B532" s="5" t="str">
        <f ca="1">IFERROR(__xludf.DUMMYFUNCTION("""COMPUTED_VALUE"""),"Арсланова")</f>
        <v>Арсланова</v>
      </c>
      <c r="C532" s="5" t="str">
        <f ca="1">IFERROR(__xludf.DUMMYFUNCTION("""COMPUTED_VALUE"""),"Илиза")</f>
        <v>Илиза</v>
      </c>
      <c r="D532" s="5" t="str">
        <f ca="1">IFERROR(__xludf.DUMMYFUNCTION("""COMPUTED_VALUE"""),"Альбиртовна")</f>
        <v>Альбиртовна</v>
      </c>
      <c r="E532" s="5" t="str">
        <f ca="1">IFERROR(__xludf.DUMMYFUNCTION("""COMPUTED_VALUE"""),"Команда №3847")</f>
        <v>Команда №3847</v>
      </c>
      <c r="F532" s="6" t="str">
        <f ca="1">IFERROR(__xludf.DUMMYFUNCTION("""COMPUTED_VALUE"""),"Разработка образовательной веб-платформы")</f>
        <v>Разработка образовательной веб-платформы</v>
      </c>
      <c r="G532" s="7">
        <f ca="1">IFERROR(__xludf.DUMMYFUNCTION("""COMPUTED_VALUE"""),76)</f>
        <v>76</v>
      </c>
    </row>
    <row r="533" spans="1:7" ht="13.2" x14ac:dyDescent="0.25">
      <c r="A533" s="5">
        <f ca="1">IFERROR(__xludf.DUMMYFUNCTION("""COMPUTED_VALUE"""),85)</f>
        <v>85</v>
      </c>
      <c r="B533" s="5" t="str">
        <f ca="1">IFERROR(__xludf.DUMMYFUNCTION("""COMPUTED_VALUE"""),"Балаба")</f>
        <v>Балаба</v>
      </c>
      <c r="C533" s="5" t="str">
        <f ca="1">IFERROR(__xludf.DUMMYFUNCTION("""COMPUTED_VALUE"""),"Софья")</f>
        <v>Софья</v>
      </c>
      <c r="D533" s="5" t="str">
        <f ca="1">IFERROR(__xludf.DUMMYFUNCTION("""COMPUTED_VALUE"""),"Николаевна")</f>
        <v>Николаевна</v>
      </c>
      <c r="E533" s="5" t="str">
        <f ca="1">IFERROR(__xludf.DUMMYFUNCTION("""COMPUTED_VALUE"""),"Команда №3847")</f>
        <v>Команда №3847</v>
      </c>
      <c r="F533" s="6" t="str">
        <f ca="1">IFERROR(__xludf.DUMMYFUNCTION("""COMPUTED_VALUE"""),"Разработка образовательной веб-платформы")</f>
        <v>Разработка образовательной веб-платформы</v>
      </c>
      <c r="G533" s="7">
        <f ca="1">IFERROR(__xludf.DUMMYFUNCTION("""COMPUTED_VALUE"""),76)</f>
        <v>76</v>
      </c>
    </row>
    <row r="534" spans="1:7" ht="13.2" x14ac:dyDescent="0.25">
      <c r="A534" s="5">
        <f ca="1">IFERROR(__xludf.DUMMYFUNCTION("""COMPUTED_VALUE"""),88)</f>
        <v>88</v>
      </c>
      <c r="B534" s="5" t="str">
        <f ca="1">IFERROR(__xludf.DUMMYFUNCTION("""COMPUTED_VALUE"""),"Балмошнова")</f>
        <v>Балмошнова</v>
      </c>
      <c r="C534" s="5" t="str">
        <f ca="1">IFERROR(__xludf.DUMMYFUNCTION("""COMPUTED_VALUE"""),"Ангелина")</f>
        <v>Ангелина</v>
      </c>
      <c r="D534" s="5" t="str">
        <f ca="1">IFERROR(__xludf.DUMMYFUNCTION("""COMPUTED_VALUE"""),"Сергеевна")</f>
        <v>Сергеевна</v>
      </c>
      <c r="E534" s="5" t="str">
        <f ca="1">IFERROR(__xludf.DUMMYFUNCTION("""COMPUTED_VALUE"""),"Команда №3847")</f>
        <v>Команда №3847</v>
      </c>
      <c r="F534" s="6" t="str">
        <f ca="1">IFERROR(__xludf.DUMMYFUNCTION("""COMPUTED_VALUE"""),"Разработка образовательной веб-платформы")</f>
        <v>Разработка образовательной веб-платформы</v>
      </c>
      <c r="G534" s="7">
        <f ca="1">IFERROR(__xludf.DUMMYFUNCTION("""COMPUTED_VALUE"""),76)</f>
        <v>76</v>
      </c>
    </row>
    <row r="535" spans="1:7" ht="13.2" x14ac:dyDescent="0.25">
      <c r="A535" s="5">
        <f ca="1">IFERROR(__xludf.DUMMYFUNCTION("""COMPUTED_VALUE"""),744)</f>
        <v>744</v>
      </c>
      <c r="B535" s="5" t="str">
        <f ca="1">IFERROR(__xludf.DUMMYFUNCTION("""COMPUTED_VALUE"""),"Медведева")</f>
        <v>Медведева</v>
      </c>
      <c r="C535" s="5" t="str">
        <f ca="1">IFERROR(__xludf.DUMMYFUNCTION("""COMPUTED_VALUE"""),"Юлия")</f>
        <v>Юлия</v>
      </c>
      <c r="D535" s="5" t="str">
        <f ca="1">IFERROR(__xludf.DUMMYFUNCTION("""COMPUTED_VALUE"""),"Олеговна")</f>
        <v>Олеговна</v>
      </c>
      <c r="E535" s="5" t="str">
        <f ca="1">IFERROR(__xludf.DUMMYFUNCTION("""COMPUTED_VALUE"""),"Команда №3847")</f>
        <v>Команда №3847</v>
      </c>
      <c r="F535" s="6" t="str">
        <f ca="1">IFERROR(__xludf.DUMMYFUNCTION("""COMPUTED_VALUE"""),"Разработка образовательной веб-платформы")</f>
        <v>Разработка образовательной веб-платформы</v>
      </c>
      <c r="G535" s="7">
        <f ca="1">IFERROR(__xludf.DUMMYFUNCTION("""COMPUTED_VALUE"""),76)</f>
        <v>76</v>
      </c>
    </row>
    <row r="536" spans="1:7" ht="13.2" x14ac:dyDescent="0.25">
      <c r="A536" s="5">
        <f ca="1">IFERROR(__xludf.DUMMYFUNCTION("""COMPUTED_VALUE"""),950)</f>
        <v>950</v>
      </c>
      <c r="B536" s="5" t="str">
        <f ca="1">IFERROR(__xludf.DUMMYFUNCTION("""COMPUTED_VALUE"""),"Попова")</f>
        <v>Попова</v>
      </c>
      <c r="C536" s="5" t="str">
        <f ca="1">IFERROR(__xludf.DUMMYFUNCTION("""COMPUTED_VALUE"""),"Елена")</f>
        <v>Елена</v>
      </c>
      <c r="D536" s="5" t="str">
        <f ca="1">IFERROR(__xludf.DUMMYFUNCTION("""COMPUTED_VALUE"""),"Сергеевна")</f>
        <v>Сергеевна</v>
      </c>
      <c r="E536" s="5" t="str">
        <f ca="1">IFERROR(__xludf.DUMMYFUNCTION("""COMPUTED_VALUE"""),"Команда №3847")</f>
        <v>Команда №3847</v>
      </c>
      <c r="F536" s="6" t="str">
        <f ca="1">IFERROR(__xludf.DUMMYFUNCTION("""COMPUTED_VALUE"""),"Разработка образовательной веб-платформы")</f>
        <v>Разработка образовательной веб-платформы</v>
      </c>
      <c r="G536" s="7">
        <f ca="1">IFERROR(__xludf.DUMMYFUNCTION("""COMPUTED_VALUE"""),76)</f>
        <v>76</v>
      </c>
    </row>
    <row r="537" spans="1:7" ht="13.2" x14ac:dyDescent="0.25">
      <c r="A537" s="5">
        <f ca="1">IFERROR(__xludf.DUMMYFUNCTION("""COMPUTED_VALUE"""),285)</f>
        <v>285</v>
      </c>
      <c r="B537" s="5" t="str">
        <f ca="1">IFERROR(__xludf.DUMMYFUNCTION("""COMPUTED_VALUE"""),"Гришмановский")</f>
        <v>Гришмановский</v>
      </c>
      <c r="C537" s="5" t="str">
        <f ca="1">IFERROR(__xludf.DUMMYFUNCTION("""COMPUTED_VALUE"""),"Владимир")</f>
        <v>Владимир</v>
      </c>
      <c r="D537" s="5" t="str">
        <f ca="1">IFERROR(__xludf.DUMMYFUNCTION("""COMPUTED_VALUE"""),"Андреевич")</f>
        <v>Андреевич</v>
      </c>
      <c r="E537" s="5" t="str">
        <f ca="1">IFERROR(__xludf.DUMMYFUNCTION("""COMPUTED_VALUE"""),"Команда №3849")</f>
        <v>Команда №3849</v>
      </c>
      <c r="F537" s="6" t="str">
        <f ca="1">IFERROR(__xludf.DUMMYFUNCTION("""COMPUTED_VALUE"""),"Разработка VR-игры в жанре puzzle(головоломка)")</f>
        <v>Разработка VR-игры в жанре puzzle(головоломка)</v>
      </c>
      <c r="G537" s="7">
        <f ca="1">IFERROR(__xludf.DUMMYFUNCTION("""COMPUTED_VALUE"""),89)</f>
        <v>89</v>
      </c>
    </row>
    <row r="538" spans="1:7" ht="13.2" x14ac:dyDescent="0.25">
      <c r="A538" s="5">
        <f ca="1">IFERROR(__xludf.DUMMYFUNCTION("""COMPUTED_VALUE"""),474)</f>
        <v>474</v>
      </c>
      <c r="B538" s="5" t="str">
        <f ca="1">IFERROR(__xludf.DUMMYFUNCTION("""COMPUTED_VALUE"""),"Исмагилов")</f>
        <v>Исмагилов</v>
      </c>
      <c r="C538" s="5" t="str">
        <f ca="1">IFERROR(__xludf.DUMMYFUNCTION("""COMPUTED_VALUE"""),"Денис")</f>
        <v>Денис</v>
      </c>
      <c r="D538" s="5" t="str">
        <f ca="1">IFERROR(__xludf.DUMMYFUNCTION("""COMPUTED_VALUE"""),"Рустамович")</f>
        <v>Рустамович</v>
      </c>
      <c r="E538" s="5" t="str">
        <f ca="1">IFERROR(__xludf.DUMMYFUNCTION("""COMPUTED_VALUE"""),"Команда №3849")</f>
        <v>Команда №3849</v>
      </c>
      <c r="F538" s="6" t="str">
        <f ca="1">IFERROR(__xludf.DUMMYFUNCTION("""COMPUTED_VALUE"""),"Разработка VR-игры в жанре puzzle(головоломка)")</f>
        <v>Разработка VR-игры в жанре puzzle(головоломка)</v>
      </c>
      <c r="G538" s="7">
        <f ca="1">IFERROR(__xludf.DUMMYFUNCTION("""COMPUTED_VALUE"""),89)</f>
        <v>89</v>
      </c>
    </row>
    <row r="539" spans="1:7" ht="13.2" x14ac:dyDescent="0.25">
      <c r="A539" s="5">
        <f ca="1">IFERROR(__xludf.DUMMYFUNCTION("""COMPUTED_VALUE"""),567)</f>
        <v>567</v>
      </c>
      <c r="B539" s="5" t="str">
        <f ca="1">IFERROR(__xludf.DUMMYFUNCTION("""COMPUTED_VALUE"""),"Коновалов")</f>
        <v>Коновалов</v>
      </c>
      <c r="C539" s="5" t="str">
        <f ca="1">IFERROR(__xludf.DUMMYFUNCTION("""COMPUTED_VALUE"""),"Егор")</f>
        <v>Егор</v>
      </c>
      <c r="D539" s="5" t="str">
        <f ca="1">IFERROR(__xludf.DUMMYFUNCTION("""COMPUTED_VALUE"""),"Владиславович")</f>
        <v>Владиславович</v>
      </c>
      <c r="E539" s="5" t="str">
        <f ca="1">IFERROR(__xludf.DUMMYFUNCTION("""COMPUTED_VALUE"""),"Команда №3849")</f>
        <v>Команда №3849</v>
      </c>
      <c r="F539" s="6" t="str">
        <f ca="1">IFERROR(__xludf.DUMMYFUNCTION("""COMPUTED_VALUE"""),"Разработка VR-игры в жанре puzzle(головоломка)")</f>
        <v>Разработка VR-игры в жанре puzzle(головоломка)</v>
      </c>
      <c r="G539" s="7">
        <f ca="1">IFERROR(__xludf.DUMMYFUNCTION("""COMPUTED_VALUE"""),89)</f>
        <v>89</v>
      </c>
    </row>
    <row r="540" spans="1:7" ht="13.2" x14ac:dyDescent="0.25">
      <c r="A540" s="5">
        <f ca="1">IFERROR(__xludf.DUMMYFUNCTION("""COMPUTED_VALUE"""),703)</f>
        <v>703</v>
      </c>
      <c r="B540" s="5" t="str">
        <f ca="1">IFERROR(__xludf.DUMMYFUNCTION("""COMPUTED_VALUE"""),"Мавлютов")</f>
        <v>Мавлютов</v>
      </c>
      <c r="C540" s="5" t="str">
        <f ca="1">IFERROR(__xludf.DUMMYFUNCTION("""COMPUTED_VALUE"""),"Рамиль")</f>
        <v>Рамиль</v>
      </c>
      <c r="D540" s="5" t="str">
        <f ca="1">IFERROR(__xludf.DUMMYFUNCTION("""COMPUTED_VALUE"""),"Рустамович")</f>
        <v>Рустамович</v>
      </c>
      <c r="E540" s="5" t="str">
        <f ca="1">IFERROR(__xludf.DUMMYFUNCTION("""COMPUTED_VALUE"""),"Команда №3849")</f>
        <v>Команда №3849</v>
      </c>
      <c r="F540" s="6" t="str">
        <f ca="1">IFERROR(__xludf.DUMMYFUNCTION("""COMPUTED_VALUE"""),"Разработка VR-игры в жанре puzzle(головоломка)")</f>
        <v>Разработка VR-игры в жанре puzzle(головоломка)</v>
      </c>
      <c r="G540" s="7">
        <f ca="1">IFERROR(__xludf.DUMMYFUNCTION("""COMPUTED_VALUE"""),89)</f>
        <v>89</v>
      </c>
    </row>
    <row r="541" spans="1:7" ht="13.2" x14ac:dyDescent="0.25">
      <c r="A541" s="5">
        <f ca="1">IFERROR(__xludf.DUMMYFUNCTION("""COMPUTED_VALUE"""),1379)</f>
        <v>1379</v>
      </c>
      <c r="B541" s="5" t="str">
        <f ca="1">IFERROR(__xludf.DUMMYFUNCTION("""COMPUTED_VALUE"""),"Якунин")</f>
        <v>Якунин</v>
      </c>
      <c r="C541" s="5" t="str">
        <f ca="1">IFERROR(__xludf.DUMMYFUNCTION("""COMPUTED_VALUE"""),"Артем")</f>
        <v>Артем</v>
      </c>
      <c r="D541" s="5" t="str">
        <f ca="1">IFERROR(__xludf.DUMMYFUNCTION("""COMPUTED_VALUE"""),"Игоревич")</f>
        <v>Игоревич</v>
      </c>
      <c r="E541" s="5" t="str">
        <f ca="1">IFERROR(__xludf.DUMMYFUNCTION("""COMPUTED_VALUE"""),"Команда №3849")</f>
        <v>Команда №3849</v>
      </c>
      <c r="F541" s="6"/>
      <c r="G541" s="7">
        <f ca="1">IFERROR(__xludf.DUMMYFUNCTION("""COMPUTED_VALUE"""),89)</f>
        <v>89</v>
      </c>
    </row>
    <row r="542" spans="1:7" ht="13.2" x14ac:dyDescent="0.25">
      <c r="A542" s="5">
        <f ca="1">IFERROR(__xludf.DUMMYFUNCTION("""COMPUTED_VALUE"""),667)</f>
        <v>667</v>
      </c>
      <c r="B542" s="5" t="str">
        <f ca="1">IFERROR(__xludf.DUMMYFUNCTION("""COMPUTED_VALUE"""),"Лахина")</f>
        <v>Лахина</v>
      </c>
      <c r="C542" s="5" t="str">
        <f ca="1">IFERROR(__xludf.DUMMYFUNCTION("""COMPUTED_VALUE"""),"Анастасия")</f>
        <v>Анастасия</v>
      </c>
      <c r="D542" s="5" t="str">
        <f ca="1">IFERROR(__xludf.DUMMYFUNCTION("""COMPUTED_VALUE"""),"Вячеславовна")</f>
        <v>Вячеславовна</v>
      </c>
      <c r="E542" s="5" t="str">
        <f ca="1">IFERROR(__xludf.DUMMYFUNCTION("""COMPUTED_VALUE"""),"Команда №3850")</f>
        <v>Команда №3850</v>
      </c>
      <c r="F542" s="6" t="str">
        <f ca="1">IFERROR(__xludf.DUMMYFUNCTION("""COMPUTED_VALUE"""),"Создание 3D-модели района Уралмаш")</f>
        <v>Создание 3D-модели района Уралмаш</v>
      </c>
      <c r="G542" s="7">
        <f ca="1">IFERROR(__xludf.DUMMYFUNCTION("""COMPUTED_VALUE"""),96)</f>
        <v>96</v>
      </c>
    </row>
    <row r="543" spans="1:7" ht="13.2" x14ac:dyDescent="0.25">
      <c r="A543" s="5">
        <f ca="1">IFERROR(__xludf.DUMMYFUNCTION("""COMPUTED_VALUE"""),1087)</f>
        <v>1087</v>
      </c>
      <c r="B543" s="5" t="str">
        <f ca="1">IFERROR(__xludf.DUMMYFUNCTION("""COMPUTED_VALUE"""),"Смирных")</f>
        <v>Смирных</v>
      </c>
      <c r="C543" s="5" t="str">
        <f ca="1">IFERROR(__xludf.DUMMYFUNCTION("""COMPUTED_VALUE"""),"Артём")</f>
        <v>Артём</v>
      </c>
      <c r="D543" s="5" t="str">
        <f ca="1">IFERROR(__xludf.DUMMYFUNCTION("""COMPUTED_VALUE"""),"Алексеевич")</f>
        <v>Алексеевич</v>
      </c>
      <c r="E543" s="5" t="str">
        <f ca="1">IFERROR(__xludf.DUMMYFUNCTION("""COMPUTED_VALUE"""),"Команда №3850")</f>
        <v>Команда №3850</v>
      </c>
      <c r="F543" s="6" t="str">
        <f ca="1">IFERROR(__xludf.DUMMYFUNCTION("""COMPUTED_VALUE"""),"Создание 3D-модели района Уралмаш")</f>
        <v>Создание 3D-модели района Уралмаш</v>
      </c>
      <c r="G543" s="7">
        <f ca="1">IFERROR(__xludf.DUMMYFUNCTION("""COMPUTED_VALUE"""),96)</f>
        <v>96</v>
      </c>
    </row>
    <row r="544" spans="1:7" ht="13.2" x14ac:dyDescent="0.25">
      <c r="A544" s="5">
        <f ca="1">IFERROR(__xludf.DUMMYFUNCTION("""COMPUTED_VALUE"""),1215)</f>
        <v>1215</v>
      </c>
      <c r="B544" s="5" t="str">
        <f ca="1">IFERROR(__xludf.DUMMYFUNCTION("""COMPUTED_VALUE"""),"Федянин")</f>
        <v>Федянин</v>
      </c>
      <c r="C544" s="5" t="str">
        <f ca="1">IFERROR(__xludf.DUMMYFUNCTION("""COMPUTED_VALUE"""),"Михаил")</f>
        <v>Михаил</v>
      </c>
      <c r="D544" s="5" t="str">
        <f ca="1">IFERROR(__xludf.DUMMYFUNCTION("""COMPUTED_VALUE"""),"Сергеевич")</f>
        <v>Сергеевич</v>
      </c>
      <c r="E544" s="5" t="str">
        <f ca="1">IFERROR(__xludf.DUMMYFUNCTION("""COMPUTED_VALUE"""),"Команда №3850")</f>
        <v>Команда №3850</v>
      </c>
      <c r="F544" s="6" t="str">
        <f ca="1">IFERROR(__xludf.DUMMYFUNCTION("""COMPUTED_VALUE"""),"Создание 3D-модели района Уралмаш")</f>
        <v>Создание 3D-модели района Уралмаш</v>
      </c>
      <c r="G544" s="7">
        <f ca="1">IFERROR(__xludf.DUMMYFUNCTION("""COMPUTED_VALUE"""),96)</f>
        <v>96</v>
      </c>
    </row>
    <row r="545" spans="1:7" ht="13.2" x14ac:dyDescent="0.25">
      <c r="A545" s="5">
        <f ca="1">IFERROR(__xludf.DUMMYFUNCTION("""COMPUTED_VALUE"""),1225)</f>
        <v>1225</v>
      </c>
      <c r="B545" s="5" t="str">
        <f ca="1">IFERROR(__xludf.DUMMYFUNCTION("""COMPUTED_VALUE"""),"Филиппов")</f>
        <v>Филиппов</v>
      </c>
      <c r="C545" s="5" t="str">
        <f ca="1">IFERROR(__xludf.DUMMYFUNCTION("""COMPUTED_VALUE"""),"Петр")</f>
        <v>Петр</v>
      </c>
      <c r="D545" s="5" t="str">
        <f ca="1">IFERROR(__xludf.DUMMYFUNCTION("""COMPUTED_VALUE"""),"Алексеевич")</f>
        <v>Алексеевич</v>
      </c>
      <c r="E545" s="5" t="str">
        <f ca="1">IFERROR(__xludf.DUMMYFUNCTION("""COMPUTED_VALUE"""),"Команда №3850")</f>
        <v>Команда №3850</v>
      </c>
      <c r="F545" s="6" t="str">
        <f ca="1">IFERROR(__xludf.DUMMYFUNCTION("""COMPUTED_VALUE"""),"Создание 3D-модели района Уралмаш")</f>
        <v>Создание 3D-модели района Уралмаш</v>
      </c>
      <c r="G545" s="7">
        <f ca="1">IFERROR(__xludf.DUMMYFUNCTION("""COMPUTED_VALUE"""),96)</f>
        <v>96</v>
      </c>
    </row>
    <row r="546" spans="1:7" ht="26.4" x14ac:dyDescent="0.25">
      <c r="A546" s="5">
        <f ca="1">IFERROR(__xludf.DUMMYFUNCTION("""COMPUTED_VALUE"""),363)</f>
        <v>363</v>
      </c>
      <c r="B546" s="5" t="str">
        <f ca="1">IFERROR(__xludf.DUMMYFUNCTION("""COMPUTED_VALUE"""),"Емелькина")</f>
        <v>Емелькина</v>
      </c>
      <c r="C546" s="5" t="str">
        <f ca="1">IFERROR(__xludf.DUMMYFUNCTION("""COMPUTED_VALUE"""),"Виктория")</f>
        <v>Виктория</v>
      </c>
      <c r="D546" s="5" t="str">
        <f ca="1">IFERROR(__xludf.DUMMYFUNCTION("""COMPUTED_VALUE"""),"Евгеньевна")</f>
        <v>Евгеньевна</v>
      </c>
      <c r="E546" s="5" t="str">
        <f ca="1">IFERROR(__xludf.DUMMYFUNCTION("""COMPUTED_VALUE"""),"Команда №3853")</f>
        <v>Команда №3853</v>
      </c>
      <c r="F546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46" s="7">
        <f ca="1">IFERROR(__xludf.DUMMYFUNCTION("""COMPUTED_VALUE"""),85)</f>
        <v>85</v>
      </c>
    </row>
    <row r="547" spans="1:7" ht="26.4" x14ac:dyDescent="0.25">
      <c r="A547" s="5">
        <f ca="1">IFERROR(__xludf.DUMMYFUNCTION("""COMPUTED_VALUE"""),838)</f>
        <v>838</v>
      </c>
      <c r="B547" s="5" t="str">
        <f ca="1">IFERROR(__xludf.DUMMYFUNCTION("""COMPUTED_VALUE"""),"Нефагина")</f>
        <v>Нефагина</v>
      </c>
      <c r="C547" s="5" t="str">
        <f ca="1">IFERROR(__xludf.DUMMYFUNCTION("""COMPUTED_VALUE"""),"Ирина")</f>
        <v>Ирина</v>
      </c>
      <c r="D547" s="5" t="str">
        <f ca="1">IFERROR(__xludf.DUMMYFUNCTION("""COMPUTED_VALUE"""),"Владимировна")</f>
        <v>Владимировна</v>
      </c>
      <c r="E547" s="5" t="str">
        <f ca="1">IFERROR(__xludf.DUMMYFUNCTION("""COMPUTED_VALUE"""),"Команда №3853")</f>
        <v>Команда №3853</v>
      </c>
      <c r="F547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47" s="7">
        <f ca="1">IFERROR(__xludf.DUMMYFUNCTION("""COMPUTED_VALUE"""),85)</f>
        <v>85</v>
      </c>
    </row>
    <row r="548" spans="1:7" ht="26.4" x14ac:dyDescent="0.25">
      <c r="A548" s="5">
        <f ca="1">IFERROR(__xludf.DUMMYFUNCTION("""COMPUTED_VALUE"""),1072)</f>
        <v>1072</v>
      </c>
      <c r="B548" s="5" t="str">
        <f ca="1">IFERROR(__xludf.DUMMYFUNCTION("""COMPUTED_VALUE"""),"Ситникова")</f>
        <v>Ситникова</v>
      </c>
      <c r="C548" s="5" t="str">
        <f ca="1">IFERROR(__xludf.DUMMYFUNCTION("""COMPUTED_VALUE"""),"Кристина")</f>
        <v>Кристина</v>
      </c>
      <c r="D548" s="5" t="str">
        <f ca="1">IFERROR(__xludf.DUMMYFUNCTION("""COMPUTED_VALUE"""),"Григорьевна")</f>
        <v>Григорьевна</v>
      </c>
      <c r="E548" s="5" t="str">
        <f ca="1">IFERROR(__xludf.DUMMYFUNCTION("""COMPUTED_VALUE"""),"Команда №3853")</f>
        <v>Команда №3853</v>
      </c>
      <c r="F548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48" s="7">
        <f ca="1">IFERROR(__xludf.DUMMYFUNCTION("""COMPUTED_VALUE"""),85)</f>
        <v>85</v>
      </c>
    </row>
    <row r="549" spans="1:7" ht="26.4" x14ac:dyDescent="0.25">
      <c r="A549" s="5">
        <f ca="1">IFERROR(__xludf.DUMMYFUNCTION("""COMPUTED_VALUE"""),1337)</f>
        <v>1337</v>
      </c>
      <c r="B549" s="5" t="str">
        <f ca="1">IFERROR(__xludf.DUMMYFUNCTION("""COMPUTED_VALUE"""),"Шишкина")</f>
        <v>Шишкина</v>
      </c>
      <c r="C549" s="5" t="str">
        <f ca="1">IFERROR(__xludf.DUMMYFUNCTION("""COMPUTED_VALUE"""),"Яна")</f>
        <v>Яна</v>
      </c>
      <c r="D549" s="5" t="str">
        <f ca="1">IFERROR(__xludf.DUMMYFUNCTION("""COMPUTED_VALUE"""),"Сергеевна")</f>
        <v>Сергеевна</v>
      </c>
      <c r="E549" s="5" t="str">
        <f ca="1">IFERROR(__xludf.DUMMYFUNCTION("""COMPUTED_VALUE"""),"Команда №3853")</f>
        <v>Команда №3853</v>
      </c>
      <c r="F549" s="6" t="str">
        <f ca="1">IFERROR(__xludf.DUMMYFUNCTION("""COMPUTED_VALUE"""),"Разработка образовательного текстового квеста (в виде чат-бота)")</f>
        <v>Разработка образовательного текстового квеста (в виде чат-бота)</v>
      </c>
      <c r="G549" s="7">
        <f ca="1">IFERROR(__xludf.DUMMYFUNCTION("""COMPUTED_VALUE"""),85)</f>
        <v>85</v>
      </c>
    </row>
    <row r="550" spans="1:7" ht="26.4" x14ac:dyDescent="0.25">
      <c r="A550" s="5">
        <f ca="1">IFERROR(__xludf.DUMMYFUNCTION("""COMPUTED_VALUE"""),27)</f>
        <v>27</v>
      </c>
      <c r="B550" s="5" t="str">
        <f ca="1">IFERROR(__xludf.DUMMYFUNCTION("""COMPUTED_VALUE"""),"Акулов")</f>
        <v>Акулов</v>
      </c>
      <c r="C550" s="5" t="str">
        <f ca="1">IFERROR(__xludf.DUMMYFUNCTION("""COMPUTED_VALUE"""),"Данила")</f>
        <v>Данила</v>
      </c>
      <c r="D550" s="5" t="str">
        <f ca="1">IFERROR(__xludf.DUMMYFUNCTION("""COMPUTED_VALUE"""),"Александрович")</f>
        <v>Александрович</v>
      </c>
      <c r="E550" s="5" t="str">
        <f ca="1">IFERROR(__xludf.DUMMYFUNCTION("""COMPUTED_VALUE"""),"Команда №3854")</f>
        <v>Команда №3854</v>
      </c>
      <c r="F550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550" s="7">
        <f ca="1">IFERROR(__xludf.DUMMYFUNCTION("""COMPUTED_VALUE"""),81)</f>
        <v>81</v>
      </c>
    </row>
    <row r="551" spans="1:7" ht="26.4" x14ac:dyDescent="0.25">
      <c r="A551" s="5">
        <f ca="1">IFERROR(__xludf.DUMMYFUNCTION("""COMPUTED_VALUE"""),548)</f>
        <v>548</v>
      </c>
      <c r="B551" s="5" t="str">
        <f ca="1">IFERROR(__xludf.DUMMYFUNCTION("""COMPUTED_VALUE"""),"Колбина")</f>
        <v>Колбина</v>
      </c>
      <c r="C551" s="5" t="str">
        <f ca="1">IFERROR(__xludf.DUMMYFUNCTION("""COMPUTED_VALUE"""),"Татьяна")</f>
        <v>Татьяна</v>
      </c>
      <c r="D551" s="5" t="str">
        <f ca="1">IFERROR(__xludf.DUMMYFUNCTION("""COMPUTED_VALUE"""),"Дмитриевна")</f>
        <v>Дмитриевна</v>
      </c>
      <c r="E551" s="5" t="str">
        <f ca="1">IFERROR(__xludf.DUMMYFUNCTION("""COMPUTED_VALUE"""),"Команда №3856")</f>
        <v>Команда №3856</v>
      </c>
      <c r="F551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551" s="7">
        <f ca="1">IFERROR(__xludf.DUMMYFUNCTION("""COMPUTED_VALUE"""),85)</f>
        <v>85</v>
      </c>
    </row>
    <row r="552" spans="1:7" ht="26.4" x14ac:dyDescent="0.25">
      <c r="A552" s="5">
        <f ca="1">IFERROR(__xludf.DUMMYFUNCTION("""COMPUTED_VALUE"""),687)</f>
        <v>687</v>
      </c>
      <c r="B552" s="5" t="str">
        <f ca="1">IFERROR(__xludf.DUMMYFUNCTION("""COMPUTED_VALUE"""),"Луговых")</f>
        <v>Луговых</v>
      </c>
      <c r="C552" s="5" t="str">
        <f ca="1">IFERROR(__xludf.DUMMYFUNCTION("""COMPUTED_VALUE"""),"Максим")</f>
        <v>Максим</v>
      </c>
      <c r="D552" s="5" t="str">
        <f ca="1">IFERROR(__xludf.DUMMYFUNCTION("""COMPUTED_VALUE"""),"Олегович")</f>
        <v>Олегович</v>
      </c>
      <c r="E552" s="5" t="str">
        <f ca="1">IFERROR(__xludf.DUMMYFUNCTION("""COMPUTED_VALUE"""),"Команда №3856")</f>
        <v>Команда №3856</v>
      </c>
      <c r="F552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552" s="7">
        <f ca="1">IFERROR(__xludf.DUMMYFUNCTION("""COMPUTED_VALUE"""),85)</f>
        <v>85</v>
      </c>
    </row>
    <row r="553" spans="1:7" ht="26.4" x14ac:dyDescent="0.25">
      <c r="A553" s="5">
        <f ca="1">IFERROR(__xludf.DUMMYFUNCTION("""COMPUTED_VALUE"""),1002)</f>
        <v>1002</v>
      </c>
      <c r="B553" s="5" t="str">
        <f ca="1">IFERROR(__xludf.DUMMYFUNCTION("""COMPUTED_VALUE"""),"Русских")</f>
        <v>Русских</v>
      </c>
      <c r="C553" s="5" t="str">
        <f ca="1">IFERROR(__xludf.DUMMYFUNCTION("""COMPUTED_VALUE"""),"Александр")</f>
        <v>Александр</v>
      </c>
      <c r="D553" s="5" t="str">
        <f ca="1">IFERROR(__xludf.DUMMYFUNCTION("""COMPUTED_VALUE"""),"Алексеевич")</f>
        <v>Алексеевич</v>
      </c>
      <c r="E553" s="5" t="str">
        <f ca="1">IFERROR(__xludf.DUMMYFUNCTION("""COMPUTED_VALUE"""),"Команда №3856")</f>
        <v>Команда №3856</v>
      </c>
      <c r="F553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553" s="7">
        <f ca="1">IFERROR(__xludf.DUMMYFUNCTION("""COMPUTED_VALUE"""),85)</f>
        <v>85</v>
      </c>
    </row>
    <row r="554" spans="1:7" ht="26.4" x14ac:dyDescent="0.25">
      <c r="A554" s="5">
        <f ca="1">IFERROR(__xludf.DUMMYFUNCTION("""COMPUTED_VALUE"""),1039)</f>
        <v>1039</v>
      </c>
      <c r="B554" s="5" t="str">
        <f ca="1">IFERROR(__xludf.DUMMYFUNCTION("""COMPUTED_VALUE"""),"Саттарова")</f>
        <v>Саттарова</v>
      </c>
      <c r="C554" s="5" t="str">
        <f ca="1">IFERROR(__xludf.DUMMYFUNCTION("""COMPUTED_VALUE"""),"Аделина")</f>
        <v>Аделина</v>
      </c>
      <c r="D554" s="5" t="str">
        <f ca="1">IFERROR(__xludf.DUMMYFUNCTION("""COMPUTED_VALUE"""),"Айратовна")</f>
        <v>Айратовна</v>
      </c>
      <c r="E554" s="5" t="str">
        <f ca="1">IFERROR(__xludf.DUMMYFUNCTION("""COMPUTED_VALUE"""),"Команда №3856")</f>
        <v>Команда №3856</v>
      </c>
      <c r="F554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554" s="7">
        <f ca="1">IFERROR(__xludf.DUMMYFUNCTION("""COMPUTED_VALUE"""),85)</f>
        <v>85</v>
      </c>
    </row>
    <row r="555" spans="1:7" ht="26.4" x14ac:dyDescent="0.25">
      <c r="A555" s="5">
        <f ca="1">IFERROR(__xludf.DUMMYFUNCTION("""COMPUTED_VALUE"""),1295)</f>
        <v>1295</v>
      </c>
      <c r="B555" s="5" t="str">
        <f ca="1">IFERROR(__xludf.DUMMYFUNCTION("""COMPUTED_VALUE"""),"Чуканов")</f>
        <v>Чуканов</v>
      </c>
      <c r="C555" s="5" t="str">
        <f ca="1">IFERROR(__xludf.DUMMYFUNCTION("""COMPUTED_VALUE"""),"Илья")</f>
        <v>Илья</v>
      </c>
      <c r="D555" s="5" t="str">
        <f ca="1">IFERROR(__xludf.DUMMYFUNCTION("""COMPUTED_VALUE"""),"Станиславович")</f>
        <v>Станиславович</v>
      </c>
      <c r="E555" s="5" t="str">
        <f ca="1">IFERROR(__xludf.DUMMYFUNCTION("""COMPUTED_VALUE"""),"Команда №3856")</f>
        <v>Команда №3856</v>
      </c>
      <c r="F555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555" s="7">
        <f ca="1">IFERROR(__xludf.DUMMYFUNCTION("""COMPUTED_VALUE"""),85)</f>
        <v>85</v>
      </c>
    </row>
    <row r="556" spans="1:7" ht="26.4" x14ac:dyDescent="0.25">
      <c r="A556" s="5">
        <f ca="1">IFERROR(__xludf.DUMMYFUNCTION("""COMPUTED_VALUE"""),116)</f>
        <v>116</v>
      </c>
      <c r="B556" s="5" t="str">
        <f ca="1">IFERROR(__xludf.DUMMYFUNCTION("""COMPUTED_VALUE"""),"Беляев")</f>
        <v>Беляев</v>
      </c>
      <c r="C556" s="5" t="str">
        <f ca="1">IFERROR(__xludf.DUMMYFUNCTION("""COMPUTED_VALUE"""),"Артемий")</f>
        <v>Артемий</v>
      </c>
      <c r="D556" s="5" t="str">
        <f ca="1">IFERROR(__xludf.DUMMYFUNCTION("""COMPUTED_VALUE"""),"Максимович")</f>
        <v>Максимович</v>
      </c>
      <c r="E556" s="5" t="str">
        <f ca="1">IFERROR(__xludf.DUMMYFUNCTION("""COMPUTED_VALUE"""),"Команда №3857")</f>
        <v>Команда №3857</v>
      </c>
      <c r="F556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56" s="7">
        <f ca="1">IFERROR(__xludf.DUMMYFUNCTION("""COMPUTED_VALUE"""),96)</f>
        <v>96</v>
      </c>
    </row>
    <row r="557" spans="1:7" ht="26.4" x14ac:dyDescent="0.25">
      <c r="A557" s="5">
        <f ca="1">IFERROR(__xludf.DUMMYFUNCTION("""COMPUTED_VALUE"""),709)</f>
        <v>709</v>
      </c>
      <c r="B557" s="5" t="str">
        <f ca="1">IFERROR(__xludf.DUMMYFUNCTION("""COMPUTED_VALUE"""),"Маканков")</f>
        <v>Маканков</v>
      </c>
      <c r="C557" s="5" t="str">
        <f ca="1">IFERROR(__xludf.DUMMYFUNCTION("""COMPUTED_VALUE"""),"Павел")</f>
        <v>Павел</v>
      </c>
      <c r="D557" s="5" t="str">
        <f ca="1">IFERROR(__xludf.DUMMYFUNCTION("""COMPUTED_VALUE"""),"Евгеньевич")</f>
        <v>Евгеньевич</v>
      </c>
      <c r="E557" s="5" t="str">
        <f ca="1">IFERROR(__xludf.DUMMYFUNCTION("""COMPUTED_VALUE"""),"Команда №3857")</f>
        <v>Команда №3857</v>
      </c>
      <c r="F557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57" s="7">
        <f ca="1">IFERROR(__xludf.DUMMYFUNCTION("""COMPUTED_VALUE"""),96)</f>
        <v>96</v>
      </c>
    </row>
    <row r="558" spans="1:7" ht="26.4" x14ac:dyDescent="0.25">
      <c r="A558" s="5">
        <f ca="1">IFERROR(__xludf.DUMMYFUNCTION("""COMPUTED_VALUE"""),750)</f>
        <v>750</v>
      </c>
      <c r="B558" s="5" t="str">
        <f ca="1">IFERROR(__xludf.DUMMYFUNCTION("""COMPUTED_VALUE"""),"Мелехин")</f>
        <v>Мелехин</v>
      </c>
      <c r="C558" s="5" t="str">
        <f ca="1">IFERROR(__xludf.DUMMYFUNCTION("""COMPUTED_VALUE"""),"Артём")</f>
        <v>Артём</v>
      </c>
      <c r="D558" s="5" t="str">
        <f ca="1">IFERROR(__xludf.DUMMYFUNCTION("""COMPUTED_VALUE"""),"Владимирович")</f>
        <v>Владимирович</v>
      </c>
      <c r="E558" s="5" t="str">
        <f ca="1">IFERROR(__xludf.DUMMYFUNCTION("""COMPUTED_VALUE"""),"Команда №3857")</f>
        <v>Команда №3857</v>
      </c>
      <c r="F558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58" s="7">
        <f ca="1">IFERROR(__xludf.DUMMYFUNCTION("""COMPUTED_VALUE"""),96)</f>
        <v>96</v>
      </c>
    </row>
    <row r="559" spans="1:7" ht="26.4" x14ac:dyDescent="0.25">
      <c r="A559" s="5">
        <f ca="1">IFERROR(__xludf.DUMMYFUNCTION("""COMPUTED_VALUE"""),1094)</f>
        <v>1094</v>
      </c>
      <c r="B559" s="5" t="str">
        <f ca="1">IFERROR(__xludf.DUMMYFUNCTION("""COMPUTED_VALUE"""),"Соколов")</f>
        <v>Соколов</v>
      </c>
      <c r="C559" s="5" t="str">
        <f ca="1">IFERROR(__xludf.DUMMYFUNCTION("""COMPUTED_VALUE"""),"Артём")</f>
        <v>Артём</v>
      </c>
      <c r="D559" s="5" t="str">
        <f ca="1">IFERROR(__xludf.DUMMYFUNCTION("""COMPUTED_VALUE"""),"Иванович")</f>
        <v>Иванович</v>
      </c>
      <c r="E559" s="5" t="str">
        <f ca="1">IFERROR(__xludf.DUMMYFUNCTION("""COMPUTED_VALUE"""),"Команда №3857")</f>
        <v>Команда №3857</v>
      </c>
      <c r="F559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59" s="7">
        <f ca="1">IFERROR(__xludf.DUMMYFUNCTION("""COMPUTED_VALUE"""),96)</f>
        <v>96</v>
      </c>
    </row>
    <row r="560" spans="1:7" ht="26.4" x14ac:dyDescent="0.25">
      <c r="A560" s="5">
        <f ca="1">IFERROR(__xludf.DUMMYFUNCTION("""COMPUTED_VALUE"""),497)</f>
        <v>497</v>
      </c>
      <c r="B560" s="5" t="str">
        <f ca="1">IFERROR(__xludf.DUMMYFUNCTION("""COMPUTED_VALUE"""),"Кармацкий")</f>
        <v>Кармацкий</v>
      </c>
      <c r="C560" s="5" t="str">
        <f ca="1">IFERROR(__xludf.DUMMYFUNCTION("""COMPUTED_VALUE"""),"Савелий")</f>
        <v>Савелий</v>
      </c>
      <c r="D560" s="5" t="str">
        <f ca="1">IFERROR(__xludf.DUMMYFUNCTION("""COMPUTED_VALUE"""),"Андреевич")</f>
        <v>Андреевич</v>
      </c>
      <c r="E560" s="5" t="str">
        <f ca="1">IFERROR(__xludf.DUMMYFUNCTION("""COMPUTED_VALUE"""),"Команда №3861")</f>
        <v>Команда №3861</v>
      </c>
      <c r="F560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0" s="7">
        <f ca="1">IFERROR(__xludf.DUMMYFUNCTION("""COMPUTED_VALUE"""),85)</f>
        <v>85</v>
      </c>
    </row>
    <row r="561" spans="1:7" ht="26.4" x14ac:dyDescent="0.25">
      <c r="A561" s="5">
        <f ca="1">IFERROR(__xludf.DUMMYFUNCTION("""COMPUTED_VALUE"""),676)</f>
        <v>676</v>
      </c>
      <c r="B561" s="5" t="str">
        <f ca="1">IFERROR(__xludf.DUMMYFUNCTION("""COMPUTED_VALUE"""),"Лещишин")</f>
        <v>Лещишин</v>
      </c>
      <c r="C561" s="5" t="str">
        <f ca="1">IFERROR(__xludf.DUMMYFUNCTION("""COMPUTED_VALUE"""),"Роман")</f>
        <v>Роман</v>
      </c>
      <c r="D561" s="5" t="str">
        <f ca="1">IFERROR(__xludf.DUMMYFUNCTION("""COMPUTED_VALUE"""),"Александрович")</f>
        <v>Александрович</v>
      </c>
      <c r="E561" s="5" t="str">
        <f ca="1">IFERROR(__xludf.DUMMYFUNCTION("""COMPUTED_VALUE"""),"Команда №3861")</f>
        <v>Команда №3861</v>
      </c>
      <c r="F561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1" s="7">
        <f ca="1">IFERROR(__xludf.DUMMYFUNCTION("""COMPUTED_VALUE"""),85)</f>
        <v>85</v>
      </c>
    </row>
    <row r="562" spans="1:7" ht="26.4" x14ac:dyDescent="0.25">
      <c r="A562" s="5">
        <f ca="1">IFERROR(__xludf.DUMMYFUNCTION("""COMPUTED_VALUE"""),994)</f>
        <v>994</v>
      </c>
      <c r="B562" s="5" t="str">
        <f ca="1">IFERROR(__xludf.DUMMYFUNCTION("""COMPUTED_VALUE"""),"Романов")</f>
        <v>Романов</v>
      </c>
      <c r="C562" s="5" t="str">
        <f ca="1">IFERROR(__xludf.DUMMYFUNCTION("""COMPUTED_VALUE"""),"Вадим")</f>
        <v>Вадим</v>
      </c>
      <c r="D562" s="5" t="str">
        <f ca="1">IFERROR(__xludf.DUMMYFUNCTION("""COMPUTED_VALUE"""),"Юрьевич")</f>
        <v>Юрьевич</v>
      </c>
      <c r="E562" s="5" t="str">
        <f ca="1">IFERROR(__xludf.DUMMYFUNCTION("""COMPUTED_VALUE"""),"Команда №3861")</f>
        <v>Команда №3861</v>
      </c>
      <c r="F562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2" s="7">
        <f ca="1">IFERROR(__xludf.DUMMYFUNCTION("""COMPUTED_VALUE"""),85)</f>
        <v>85</v>
      </c>
    </row>
    <row r="563" spans="1:7" ht="26.4" x14ac:dyDescent="0.25">
      <c r="A563" s="5">
        <f ca="1">IFERROR(__xludf.DUMMYFUNCTION("""COMPUTED_VALUE"""),1289)</f>
        <v>1289</v>
      </c>
      <c r="B563" s="5" t="str">
        <f ca="1">IFERROR(__xludf.DUMMYFUNCTION("""COMPUTED_VALUE"""),"Числов")</f>
        <v>Числов</v>
      </c>
      <c r="C563" s="5" t="str">
        <f ca="1">IFERROR(__xludf.DUMMYFUNCTION("""COMPUTED_VALUE"""),"Степан")</f>
        <v>Степан</v>
      </c>
      <c r="D563" s="5" t="str">
        <f ca="1">IFERROR(__xludf.DUMMYFUNCTION("""COMPUTED_VALUE"""),"Игоревич")</f>
        <v>Игоревич</v>
      </c>
      <c r="E563" s="5" t="str">
        <f ca="1">IFERROR(__xludf.DUMMYFUNCTION("""COMPUTED_VALUE"""),"Команда №3861")</f>
        <v>Команда №3861</v>
      </c>
      <c r="F563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3" s="7">
        <f ca="1">IFERROR(__xludf.DUMMYFUNCTION("""COMPUTED_VALUE"""),85)</f>
        <v>85</v>
      </c>
    </row>
    <row r="564" spans="1:7" ht="26.4" x14ac:dyDescent="0.25">
      <c r="A564" s="5">
        <f ca="1">IFERROR(__xludf.DUMMYFUNCTION("""COMPUTED_VALUE"""),166)</f>
        <v>166</v>
      </c>
      <c r="B564" s="5" t="str">
        <f ca="1">IFERROR(__xludf.DUMMYFUNCTION("""COMPUTED_VALUE"""),"Быкова")</f>
        <v>Быкова</v>
      </c>
      <c r="C564" s="5" t="str">
        <f ca="1">IFERROR(__xludf.DUMMYFUNCTION("""COMPUTED_VALUE"""),"Александра")</f>
        <v>Александра</v>
      </c>
      <c r="D564" s="5" t="str">
        <f ca="1">IFERROR(__xludf.DUMMYFUNCTION("""COMPUTED_VALUE"""),"Михайловна")</f>
        <v>Михайловна</v>
      </c>
      <c r="E564" s="5" t="str">
        <f ca="1">IFERROR(__xludf.DUMMYFUNCTION("""COMPUTED_VALUE"""),"Команда №3863")</f>
        <v>Команда №3863</v>
      </c>
      <c r="F564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4" s="7">
        <f ca="1">IFERROR(__xludf.DUMMYFUNCTION("""COMPUTED_VALUE"""),100)</f>
        <v>100</v>
      </c>
    </row>
    <row r="565" spans="1:7" ht="26.4" x14ac:dyDescent="0.25">
      <c r="A565" s="5">
        <f ca="1">IFERROR(__xludf.DUMMYFUNCTION("""COMPUTED_VALUE"""),234)</f>
        <v>234</v>
      </c>
      <c r="B565" s="5" t="str">
        <f ca="1">IFERROR(__xludf.DUMMYFUNCTION("""COMPUTED_VALUE"""),"Гайнуллин")</f>
        <v>Гайнуллин</v>
      </c>
      <c r="C565" s="5" t="str">
        <f ca="1">IFERROR(__xludf.DUMMYFUNCTION("""COMPUTED_VALUE"""),"Дмитрий")</f>
        <v>Дмитрий</v>
      </c>
      <c r="D565" s="5" t="str">
        <f ca="1">IFERROR(__xludf.DUMMYFUNCTION("""COMPUTED_VALUE"""),"Рашидович")</f>
        <v>Рашидович</v>
      </c>
      <c r="E565" s="5" t="str">
        <f ca="1">IFERROR(__xludf.DUMMYFUNCTION("""COMPUTED_VALUE"""),"Команда №3863")</f>
        <v>Команда №3863</v>
      </c>
      <c r="F565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5" s="7">
        <f ca="1">IFERROR(__xludf.DUMMYFUNCTION("""COMPUTED_VALUE"""),100)</f>
        <v>100</v>
      </c>
    </row>
    <row r="566" spans="1:7" ht="26.4" x14ac:dyDescent="0.25">
      <c r="A566" s="5">
        <f ca="1">IFERROR(__xludf.DUMMYFUNCTION("""COMPUTED_VALUE"""),622)</f>
        <v>622</v>
      </c>
      <c r="B566" s="5" t="str">
        <f ca="1">IFERROR(__xludf.DUMMYFUNCTION("""COMPUTED_VALUE"""),"Кудашов")</f>
        <v>Кудашов</v>
      </c>
      <c r="C566" s="5" t="str">
        <f ca="1">IFERROR(__xludf.DUMMYFUNCTION("""COMPUTED_VALUE"""),"Богдан")</f>
        <v>Богдан</v>
      </c>
      <c r="D566" s="5" t="str">
        <f ca="1">IFERROR(__xludf.DUMMYFUNCTION("""COMPUTED_VALUE"""),"Олегович")</f>
        <v>Олегович</v>
      </c>
      <c r="E566" s="5" t="str">
        <f ca="1">IFERROR(__xludf.DUMMYFUNCTION("""COMPUTED_VALUE"""),"Команда №3863")</f>
        <v>Команда №3863</v>
      </c>
      <c r="F566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6" s="7">
        <f ca="1">IFERROR(__xludf.DUMMYFUNCTION("""COMPUTED_VALUE"""),100)</f>
        <v>100</v>
      </c>
    </row>
    <row r="567" spans="1:7" ht="26.4" x14ac:dyDescent="0.25">
      <c r="A567" s="5">
        <f ca="1">IFERROR(__xludf.DUMMYFUNCTION("""COMPUTED_VALUE"""),892)</f>
        <v>892</v>
      </c>
      <c r="B567" s="5" t="str">
        <f ca="1">IFERROR(__xludf.DUMMYFUNCTION("""COMPUTED_VALUE"""),"Осман")</f>
        <v>Осман</v>
      </c>
      <c r="C567" s="5" t="str">
        <f ca="1">IFERROR(__xludf.DUMMYFUNCTION("""COMPUTED_VALUE"""),"Саадаллах")</f>
        <v>Саадаллах</v>
      </c>
      <c r="D567" s="5" t="str">
        <f ca="1">IFERROR(__xludf.DUMMYFUNCTION("""COMPUTED_VALUE"""),"Шерван")</f>
        <v>Шерван</v>
      </c>
      <c r="E567" s="5" t="str">
        <f ca="1">IFERROR(__xludf.DUMMYFUNCTION("""COMPUTED_VALUE"""),"Команда №3863")</f>
        <v>Команда №3863</v>
      </c>
      <c r="F567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7" s="7">
        <f ca="1">IFERROR(__xludf.DUMMYFUNCTION("""COMPUTED_VALUE"""),100)</f>
        <v>100</v>
      </c>
    </row>
    <row r="568" spans="1:7" ht="26.4" x14ac:dyDescent="0.25">
      <c r="A568" s="5">
        <f ca="1">IFERROR(__xludf.DUMMYFUNCTION("""COMPUTED_VALUE"""),1165)</f>
        <v>1165</v>
      </c>
      <c r="B568" s="5" t="str">
        <f ca="1">IFERROR(__xludf.DUMMYFUNCTION("""COMPUTED_VALUE"""),"Толстокорый")</f>
        <v>Толстокорый</v>
      </c>
      <c r="C568" s="5" t="str">
        <f ca="1">IFERROR(__xludf.DUMMYFUNCTION("""COMPUTED_VALUE"""),"Георгий")</f>
        <v>Георгий</v>
      </c>
      <c r="D568" s="5" t="str">
        <f ca="1">IFERROR(__xludf.DUMMYFUNCTION("""COMPUTED_VALUE"""),"Бесикиевич")</f>
        <v>Бесикиевич</v>
      </c>
      <c r="E568" s="5" t="str">
        <f ca="1">IFERROR(__xludf.DUMMYFUNCTION("""COMPUTED_VALUE"""),"Команда №3863")</f>
        <v>Команда №3863</v>
      </c>
      <c r="F568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568" s="7">
        <f ca="1">IFERROR(__xludf.DUMMYFUNCTION("""COMPUTED_VALUE"""),100)</f>
        <v>100</v>
      </c>
    </row>
    <row r="569" spans="1:7" ht="26.4" x14ac:dyDescent="0.25">
      <c r="A569" s="5">
        <f ca="1">IFERROR(__xludf.DUMMYFUNCTION("""COMPUTED_VALUE"""),187)</f>
        <v>187</v>
      </c>
      <c r="B569" s="5" t="str">
        <f ca="1">IFERROR(__xludf.DUMMYFUNCTION("""COMPUTED_VALUE"""),"Вахрин")</f>
        <v>Вахрин</v>
      </c>
      <c r="C569" s="5" t="str">
        <f ca="1">IFERROR(__xludf.DUMMYFUNCTION("""COMPUTED_VALUE"""),"Павел")</f>
        <v>Павел</v>
      </c>
      <c r="D569" s="5" t="str">
        <f ca="1">IFERROR(__xludf.DUMMYFUNCTION("""COMPUTED_VALUE"""),"Юрьевич")</f>
        <v>Юрьевич</v>
      </c>
      <c r="E569" s="5" t="str">
        <f ca="1">IFERROR(__xludf.DUMMYFUNCTION("""COMPUTED_VALUE"""),"Команда №3865")</f>
        <v>Команда №3865</v>
      </c>
      <c r="F569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69" s="7">
        <f ca="1">IFERROR(__xludf.DUMMYFUNCTION("""COMPUTED_VALUE"""),99)</f>
        <v>99</v>
      </c>
    </row>
    <row r="570" spans="1:7" ht="26.4" x14ac:dyDescent="0.25">
      <c r="A570" s="5">
        <f ca="1">IFERROR(__xludf.DUMMYFUNCTION("""COMPUTED_VALUE"""),640)</f>
        <v>640</v>
      </c>
      <c r="B570" s="5" t="str">
        <f ca="1">IFERROR(__xludf.DUMMYFUNCTION("""COMPUTED_VALUE"""),"Кулешов")</f>
        <v>Кулешов</v>
      </c>
      <c r="C570" s="5" t="str">
        <f ca="1">IFERROR(__xludf.DUMMYFUNCTION("""COMPUTED_VALUE"""),"Никита")</f>
        <v>Никита</v>
      </c>
      <c r="D570" s="5" t="str">
        <f ca="1">IFERROR(__xludf.DUMMYFUNCTION("""COMPUTED_VALUE"""),"Сергеевич")</f>
        <v>Сергеевич</v>
      </c>
      <c r="E570" s="5" t="str">
        <f ca="1">IFERROR(__xludf.DUMMYFUNCTION("""COMPUTED_VALUE"""),"Команда №3865")</f>
        <v>Команда №3865</v>
      </c>
      <c r="F570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70" s="7">
        <f ca="1">IFERROR(__xludf.DUMMYFUNCTION("""COMPUTED_VALUE"""),99)</f>
        <v>99</v>
      </c>
    </row>
    <row r="571" spans="1:7" ht="26.4" x14ac:dyDescent="0.25">
      <c r="A571" s="5">
        <f ca="1">IFERROR(__xludf.DUMMYFUNCTION("""COMPUTED_VALUE"""),711)</f>
        <v>711</v>
      </c>
      <c r="B571" s="5" t="str">
        <f ca="1">IFERROR(__xludf.DUMMYFUNCTION("""COMPUTED_VALUE"""),"Макаров")</f>
        <v>Макаров</v>
      </c>
      <c r="C571" s="5" t="str">
        <f ca="1">IFERROR(__xludf.DUMMYFUNCTION("""COMPUTED_VALUE"""),"Алексей")</f>
        <v>Алексей</v>
      </c>
      <c r="D571" s="5" t="str">
        <f ca="1">IFERROR(__xludf.DUMMYFUNCTION("""COMPUTED_VALUE"""),"Петрович")</f>
        <v>Петрович</v>
      </c>
      <c r="E571" s="5" t="str">
        <f ca="1">IFERROR(__xludf.DUMMYFUNCTION("""COMPUTED_VALUE"""),"Команда №3865")</f>
        <v>Команда №3865</v>
      </c>
      <c r="F571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71" s="7">
        <f ca="1">IFERROR(__xludf.DUMMYFUNCTION("""COMPUTED_VALUE"""),99)</f>
        <v>99</v>
      </c>
    </row>
    <row r="572" spans="1:7" ht="26.4" x14ac:dyDescent="0.25">
      <c r="A572" s="5">
        <f ca="1">IFERROR(__xludf.DUMMYFUNCTION("""COMPUTED_VALUE"""),749)</f>
        <v>749</v>
      </c>
      <c r="B572" s="5" t="str">
        <f ca="1">IFERROR(__xludf.DUMMYFUNCTION("""COMPUTED_VALUE"""),"Мелехин")</f>
        <v>Мелехин</v>
      </c>
      <c r="C572" s="5" t="str">
        <f ca="1">IFERROR(__xludf.DUMMYFUNCTION("""COMPUTED_VALUE"""),"Николай")</f>
        <v>Николай</v>
      </c>
      <c r="D572" s="5" t="str">
        <f ca="1">IFERROR(__xludf.DUMMYFUNCTION("""COMPUTED_VALUE"""),"Сергеевич")</f>
        <v>Сергеевич</v>
      </c>
      <c r="E572" s="5" t="str">
        <f ca="1">IFERROR(__xludf.DUMMYFUNCTION("""COMPUTED_VALUE"""),"Команда №3865")</f>
        <v>Команда №3865</v>
      </c>
      <c r="F572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72" s="7">
        <f ca="1">IFERROR(__xludf.DUMMYFUNCTION("""COMPUTED_VALUE"""),99)</f>
        <v>99</v>
      </c>
    </row>
    <row r="573" spans="1:7" ht="26.4" x14ac:dyDescent="0.25">
      <c r="A573" s="5">
        <f ca="1">IFERROR(__xludf.DUMMYFUNCTION("""COMPUTED_VALUE"""),984)</f>
        <v>984</v>
      </c>
      <c r="B573" s="5" t="str">
        <f ca="1">IFERROR(__xludf.DUMMYFUNCTION("""COMPUTED_VALUE"""),"Ратушняк")</f>
        <v>Ратушняк</v>
      </c>
      <c r="C573" s="5" t="str">
        <f ca="1">IFERROR(__xludf.DUMMYFUNCTION("""COMPUTED_VALUE"""),"Григорий")</f>
        <v>Григорий</v>
      </c>
      <c r="D573" s="5" t="str">
        <f ca="1">IFERROR(__xludf.DUMMYFUNCTION("""COMPUTED_VALUE"""),"Владимирович")</f>
        <v>Владимирович</v>
      </c>
      <c r="E573" s="5" t="str">
        <f ca="1">IFERROR(__xludf.DUMMYFUNCTION("""COMPUTED_VALUE"""),"Команда №3865")</f>
        <v>Команда №3865</v>
      </c>
      <c r="F573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573" s="7">
        <f ca="1">IFERROR(__xludf.DUMMYFUNCTION("""COMPUTED_VALUE"""),99)</f>
        <v>99</v>
      </c>
    </row>
    <row r="574" spans="1:7" ht="13.2" x14ac:dyDescent="0.25">
      <c r="A574" s="5">
        <f ca="1">IFERROR(__xludf.DUMMYFUNCTION("""COMPUTED_VALUE"""),505)</f>
        <v>505</v>
      </c>
      <c r="B574" s="5" t="str">
        <f ca="1">IFERROR(__xludf.DUMMYFUNCTION("""COMPUTED_VALUE"""),"Каюмова")</f>
        <v>Каюмова</v>
      </c>
      <c r="C574" s="5" t="str">
        <f ca="1">IFERROR(__xludf.DUMMYFUNCTION("""COMPUTED_VALUE"""),"Юлия")</f>
        <v>Юлия</v>
      </c>
      <c r="D574" s="5" t="str">
        <f ca="1">IFERROR(__xludf.DUMMYFUNCTION("""COMPUTED_VALUE"""),"Евгеньевна")</f>
        <v>Евгеньевна</v>
      </c>
      <c r="E574" s="5" t="str">
        <f ca="1">IFERROR(__xludf.DUMMYFUNCTION("""COMPUTED_VALUE"""),"Команда №3868")</f>
        <v>Команда №3868</v>
      </c>
      <c r="F574" s="6" t="str">
        <f ca="1">IFERROR(__xludf.DUMMYFUNCTION("""COMPUTED_VALUE"""),"Система автоматизации ""Умный дом""")</f>
        <v>Система автоматизации "Умный дом"</v>
      </c>
      <c r="G574" s="7">
        <f ca="1">IFERROR(__xludf.DUMMYFUNCTION("""COMPUTED_VALUE"""),100)</f>
        <v>100</v>
      </c>
    </row>
    <row r="575" spans="1:7" ht="13.2" x14ac:dyDescent="0.25">
      <c r="A575" s="5">
        <f ca="1">IFERROR(__xludf.DUMMYFUNCTION("""COMPUTED_VALUE"""),664)</f>
        <v>664</v>
      </c>
      <c r="B575" s="5" t="str">
        <f ca="1">IFERROR(__xludf.DUMMYFUNCTION("""COMPUTED_VALUE"""),"Латкин")</f>
        <v>Латкин</v>
      </c>
      <c r="C575" s="5" t="str">
        <f ca="1">IFERROR(__xludf.DUMMYFUNCTION("""COMPUTED_VALUE"""),"Даниил")</f>
        <v>Даниил</v>
      </c>
      <c r="D575" s="5" t="str">
        <f ca="1">IFERROR(__xludf.DUMMYFUNCTION("""COMPUTED_VALUE"""),"Максимович")</f>
        <v>Максимович</v>
      </c>
      <c r="E575" s="5" t="str">
        <f ca="1">IFERROR(__xludf.DUMMYFUNCTION("""COMPUTED_VALUE"""),"Команда №3868")</f>
        <v>Команда №3868</v>
      </c>
      <c r="F575" s="6" t="str">
        <f ca="1">IFERROR(__xludf.DUMMYFUNCTION("""COMPUTED_VALUE"""),"Система автоматизации ""Умный дом""")</f>
        <v>Система автоматизации "Умный дом"</v>
      </c>
      <c r="G575" s="7">
        <f ca="1">IFERROR(__xludf.DUMMYFUNCTION("""COMPUTED_VALUE"""),100)</f>
        <v>100</v>
      </c>
    </row>
    <row r="576" spans="1:7" ht="13.2" x14ac:dyDescent="0.25">
      <c r="A576" s="5">
        <f ca="1">IFERROR(__xludf.DUMMYFUNCTION("""COMPUTED_VALUE"""),674)</f>
        <v>674</v>
      </c>
      <c r="B576" s="5" t="str">
        <f ca="1">IFERROR(__xludf.DUMMYFUNCTION("""COMPUTED_VALUE"""),"Леонтьева")</f>
        <v>Леонтьева</v>
      </c>
      <c r="C576" s="5" t="str">
        <f ca="1">IFERROR(__xludf.DUMMYFUNCTION("""COMPUTED_VALUE"""),"Екатерина")</f>
        <v>Екатерина</v>
      </c>
      <c r="D576" s="5" t="str">
        <f ca="1">IFERROR(__xludf.DUMMYFUNCTION("""COMPUTED_VALUE"""),"Михайловна")</f>
        <v>Михайловна</v>
      </c>
      <c r="E576" s="5" t="str">
        <f ca="1">IFERROR(__xludf.DUMMYFUNCTION("""COMPUTED_VALUE"""),"Команда №3868")</f>
        <v>Команда №3868</v>
      </c>
      <c r="F576" s="6" t="str">
        <f ca="1">IFERROR(__xludf.DUMMYFUNCTION("""COMPUTED_VALUE"""),"Система автоматизации ""Умный дом""")</f>
        <v>Система автоматизации "Умный дом"</v>
      </c>
      <c r="G576" s="7">
        <f ca="1">IFERROR(__xludf.DUMMYFUNCTION("""COMPUTED_VALUE"""),100)</f>
        <v>100</v>
      </c>
    </row>
    <row r="577" spans="1:7" ht="13.2" x14ac:dyDescent="0.25">
      <c r="A577" s="5">
        <f ca="1">IFERROR(__xludf.DUMMYFUNCTION("""COMPUTED_VALUE"""),1081)</f>
        <v>1081</v>
      </c>
      <c r="B577" s="5" t="str">
        <f ca="1">IFERROR(__xludf.DUMMYFUNCTION("""COMPUTED_VALUE"""),"Служеникина")</f>
        <v>Служеникина</v>
      </c>
      <c r="C577" s="5" t="str">
        <f ca="1">IFERROR(__xludf.DUMMYFUNCTION("""COMPUTED_VALUE"""),"Елена")</f>
        <v>Елена</v>
      </c>
      <c r="D577" s="5" t="str">
        <f ca="1">IFERROR(__xludf.DUMMYFUNCTION("""COMPUTED_VALUE"""),"Юрьевна")</f>
        <v>Юрьевна</v>
      </c>
      <c r="E577" s="5" t="str">
        <f ca="1">IFERROR(__xludf.DUMMYFUNCTION("""COMPUTED_VALUE"""),"Команда №3868")</f>
        <v>Команда №3868</v>
      </c>
      <c r="F577" s="6" t="str">
        <f ca="1">IFERROR(__xludf.DUMMYFUNCTION("""COMPUTED_VALUE"""),"Система автоматизации ""Умный дом""")</f>
        <v>Система автоматизации "Умный дом"</v>
      </c>
      <c r="G577" s="7">
        <f ca="1">IFERROR(__xludf.DUMMYFUNCTION("""COMPUTED_VALUE"""),100)</f>
        <v>100</v>
      </c>
    </row>
    <row r="578" spans="1:7" ht="13.2" x14ac:dyDescent="0.25">
      <c r="A578" s="5">
        <f ca="1">IFERROR(__xludf.DUMMYFUNCTION("""COMPUTED_VALUE"""),1291)</f>
        <v>1291</v>
      </c>
      <c r="B578" s="5" t="str">
        <f ca="1">IFERROR(__xludf.DUMMYFUNCTION("""COMPUTED_VALUE"""),"Чичугин")</f>
        <v>Чичугин</v>
      </c>
      <c r="C578" s="5" t="str">
        <f ca="1">IFERROR(__xludf.DUMMYFUNCTION("""COMPUTED_VALUE"""),"Владимир")</f>
        <v>Владимир</v>
      </c>
      <c r="D578" s="5" t="str">
        <f ca="1">IFERROR(__xludf.DUMMYFUNCTION("""COMPUTED_VALUE"""),"Васильевич")</f>
        <v>Васильевич</v>
      </c>
      <c r="E578" s="5" t="str">
        <f ca="1">IFERROR(__xludf.DUMMYFUNCTION("""COMPUTED_VALUE"""),"Команда №3868")</f>
        <v>Команда №3868</v>
      </c>
      <c r="F578" s="6" t="str">
        <f ca="1">IFERROR(__xludf.DUMMYFUNCTION("""COMPUTED_VALUE"""),"Система автоматизации ""Умный дом""")</f>
        <v>Система автоматизации "Умный дом"</v>
      </c>
      <c r="G578" s="7">
        <f ca="1">IFERROR(__xludf.DUMMYFUNCTION("""COMPUTED_VALUE"""),100)</f>
        <v>100</v>
      </c>
    </row>
    <row r="579" spans="1:7" ht="13.2" x14ac:dyDescent="0.25">
      <c r="A579" s="5">
        <f ca="1">IFERROR(__xludf.DUMMYFUNCTION("""COMPUTED_VALUE"""),464)</f>
        <v>464</v>
      </c>
      <c r="B579" s="5" t="str">
        <f ca="1">IFERROR(__xludf.DUMMYFUNCTION("""COMPUTED_VALUE"""),"Ильиных")</f>
        <v>Ильиных</v>
      </c>
      <c r="C579" s="5" t="str">
        <f ca="1">IFERROR(__xludf.DUMMYFUNCTION("""COMPUTED_VALUE"""),"Максим")</f>
        <v>Максим</v>
      </c>
      <c r="D579" s="5" t="str">
        <f ca="1">IFERROR(__xludf.DUMMYFUNCTION("""COMPUTED_VALUE"""),"Олегович")</f>
        <v>Олегович</v>
      </c>
      <c r="E579" s="5" t="str">
        <f ca="1">IFERROR(__xludf.DUMMYFUNCTION("""COMPUTED_VALUE"""),"Команда №3874")</f>
        <v>Команда №3874</v>
      </c>
      <c r="F579" s="6" t="str">
        <f ca="1">IFERROR(__xludf.DUMMYFUNCTION("""COMPUTED_VALUE"""),"Разработка сайта музея Л.Н. Когана")</f>
        <v>Разработка сайта музея Л.Н. Когана</v>
      </c>
      <c r="G579" s="7">
        <f ca="1">IFERROR(__xludf.DUMMYFUNCTION("""COMPUTED_VALUE"""),88)</f>
        <v>88</v>
      </c>
    </row>
    <row r="580" spans="1:7" ht="13.2" x14ac:dyDescent="0.25">
      <c r="A580" s="5">
        <f ca="1">IFERROR(__xludf.DUMMYFUNCTION("""COMPUTED_VALUE"""),555)</f>
        <v>555</v>
      </c>
      <c r="B580" s="5" t="str">
        <f ca="1">IFERROR(__xludf.DUMMYFUNCTION("""COMPUTED_VALUE"""),"Коломиец")</f>
        <v>Коломиец</v>
      </c>
      <c r="C580" s="5" t="str">
        <f ca="1">IFERROR(__xludf.DUMMYFUNCTION("""COMPUTED_VALUE"""),"Ангелина")</f>
        <v>Ангелина</v>
      </c>
      <c r="D580" s="5" t="str">
        <f ca="1">IFERROR(__xludf.DUMMYFUNCTION("""COMPUTED_VALUE"""),"Олеговна")</f>
        <v>Олеговна</v>
      </c>
      <c r="E580" s="5" t="str">
        <f ca="1">IFERROR(__xludf.DUMMYFUNCTION("""COMPUTED_VALUE"""),"Команда №3874")</f>
        <v>Команда №3874</v>
      </c>
      <c r="F580" s="6" t="str">
        <f ca="1">IFERROR(__xludf.DUMMYFUNCTION("""COMPUTED_VALUE"""),"Разработка сайта музея Л.Н. Когана")</f>
        <v>Разработка сайта музея Л.Н. Когана</v>
      </c>
      <c r="G580" s="7">
        <f ca="1">IFERROR(__xludf.DUMMYFUNCTION("""COMPUTED_VALUE"""),88)</f>
        <v>88</v>
      </c>
    </row>
    <row r="581" spans="1:7" ht="13.2" x14ac:dyDescent="0.25">
      <c r="A581" s="5">
        <f ca="1">IFERROR(__xludf.DUMMYFUNCTION("""COMPUTED_VALUE"""),1044)</f>
        <v>1044</v>
      </c>
      <c r="B581" s="5" t="str">
        <f ca="1">IFERROR(__xludf.DUMMYFUNCTION("""COMPUTED_VALUE"""),"Свалов")</f>
        <v>Свалов</v>
      </c>
      <c r="C581" s="5" t="str">
        <f ca="1">IFERROR(__xludf.DUMMYFUNCTION("""COMPUTED_VALUE"""),"Максим")</f>
        <v>Максим</v>
      </c>
      <c r="D581" s="5" t="str">
        <f ca="1">IFERROR(__xludf.DUMMYFUNCTION("""COMPUTED_VALUE"""),"Андреевич")</f>
        <v>Андреевич</v>
      </c>
      <c r="E581" s="5" t="str">
        <f ca="1">IFERROR(__xludf.DUMMYFUNCTION("""COMPUTED_VALUE"""),"Команда №3874")</f>
        <v>Команда №3874</v>
      </c>
      <c r="F581" s="6" t="str">
        <f ca="1">IFERROR(__xludf.DUMMYFUNCTION("""COMPUTED_VALUE"""),"Разработка сайта музея Л.Н. Когана")</f>
        <v>Разработка сайта музея Л.Н. Когана</v>
      </c>
      <c r="G581" s="7">
        <f ca="1">IFERROR(__xludf.DUMMYFUNCTION("""COMPUTED_VALUE"""),88)</f>
        <v>88</v>
      </c>
    </row>
    <row r="582" spans="1:7" ht="13.2" x14ac:dyDescent="0.25">
      <c r="A582" s="5">
        <f ca="1">IFERROR(__xludf.DUMMYFUNCTION("""COMPUTED_VALUE"""),1158)</f>
        <v>1158</v>
      </c>
      <c r="B582" s="5" t="str">
        <f ca="1">IFERROR(__xludf.DUMMYFUNCTION("""COMPUTED_VALUE"""),"Ткачев")</f>
        <v>Ткачев</v>
      </c>
      <c r="C582" s="5" t="str">
        <f ca="1">IFERROR(__xludf.DUMMYFUNCTION("""COMPUTED_VALUE"""),"Никита")</f>
        <v>Никита</v>
      </c>
      <c r="D582" s="5" t="str">
        <f ca="1">IFERROR(__xludf.DUMMYFUNCTION("""COMPUTED_VALUE"""),"Олегович")</f>
        <v>Олегович</v>
      </c>
      <c r="E582" s="5" t="str">
        <f ca="1">IFERROR(__xludf.DUMMYFUNCTION("""COMPUTED_VALUE"""),"Команда №3874")</f>
        <v>Команда №3874</v>
      </c>
      <c r="F582" s="6" t="str">
        <f ca="1">IFERROR(__xludf.DUMMYFUNCTION("""COMPUTED_VALUE"""),"Разработка сайта музея Л.Н. Когана")</f>
        <v>Разработка сайта музея Л.Н. Когана</v>
      </c>
      <c r="G582" s="7">
        <f ca="1">IFERROR(__xludf.DUMMYFUNCTION("""COMPUTED_VALUE"""),88)</f>
        <v>88</v>
      </c>
    </row>
    <row r="583" spans="1:7" ht="13.2" x14ac:dyDescent="0.25">
      <c r="A583" s="5">
        <f ca="1">IFERROR(__xludf.DUMMYFUNCTION("""COMPUTED_VALUE"""),1247)</f>
        <v>1247</v>
      </c>
      <c r="B583" s="5" t="str">
        <f ca="1">IFERROR(__xludf.DUMMYFUNCTION("""COMPUTED_VALUE"""),"Хвалыбов")</f>
        <v>Хвалыбов</v>
      </c>
      <c r="C583" s="5" t="str">
        <f ca="1">IFERROR(__xludf.DUMMYFUNCTION("""COMPUTED_VALUE"""),"Роман")</f>
        <v>Роман</v>
      </c>
      <c r="D583" s="5" t="str">
        <f ca="1">IFERROR(__xludf.DUMMYFUNCTION("""COMPUTED_VALUE"""),"Алексеевич")</f>
        <v>Алексеевич</v>
      </c>
      <c r="E583" s="5" t="str">
        <f ca="1">IFERROR(__xludf.DUMMYFUNCTION("""COMPUTED_VALUE"""),"Команда №3874")</f>
        <v>Команда №3874</v>
      </c>
      <c r="F583" s="6" t="str">
        <f ca="1">IFERROR(__xludf.DUMMYFUNCTION("""COMPUTED_VALUE"""),"Разработка сайта музея Л.Н. Когана")</f>
        <v>Разработка сайта музея Л.Н. Когана</v>
      </c>
      <c r="G583" s="7">
        <f ca="1">IFERROR(__xludf.DUMMYFUNCTION("""COMPUTED_VALUE"""),88)</f>
        <v>88</v>
      </c>
    </row>
    <row r="584" spans="1:7" ht="26.4" x14ac:dyDescent="0.25">
      <c r="A584" s="5">
        <f ca="1">IFERROR(__xludf.DUMMYFUNCTION("""COMPUTED_VALUE"""),290)</f>
        <v>290</v>
      </c>
      <c r="B584" s="5" t="str">
        <f ca="1">IFERROR(__xludf.DUMMYFUNCTION("""COMPUTED_VALUE"""),"Грязнов")</f>
        <v>Грязнов</v>
      </c>
      <c r="C584" s="5" t="str">
        <f ca="1">IFERROR(__xludf.DUMMYFUNCTION("""COMPUTED_VALUE"""),"Дмитрий")</f>
        <v>Дмитрий</v>
      </c>
      <c r="D584" s="5" t="str">
        <f ca="1">IFERROR(__xludf.DUMMYFUNCTION("""COMPUTED_VALUE"""),"Александрович")</f>
        <v>Александрович</v>
      </c>
      <c r="E584" s="5" t="str">
        <f ca="1">IFERROR(__xludf.DUMMYFUNCTION("""COMPUTED_VALUE"""),"Команда №3880")</f>
        <v>Команда №3880</v>
      </c>
      <c r="F584" s="6" t="str">
        <f ca="1">IFERROR(__xludf.DUMMYFUNCTION("""COMPUTED_VALUE"""),"Разработка веб-сервиса агрегатора образовательных игр")</f>
        <v>Разработка веб-сервиса агрегатора образовательных игр</v>
      </c>
      <c r="G584" s="7">
        <f ca="1">IFERROR(__xludf.DUMMYFUNCTION("""COMPUTED_VALUE"""),85)</f>
        <v>85</v>
      </c>
    </row>
    <row r="585" spans="1:7" ht="26.4" x14ac:dyDescent="0.25">
      <c r="A585" s="5">
        <f ca="1">IFERROR(__xludf.DUMMYFUNCTION("""COMPUTED_VALUE"""),377)</f>
        <v>377</v>
      </c>
      <c r="B585" s="5" t="str">
        <f ca="1">IFERROR(__xludf.DUMMYFUNCTION("""COMPUTED_VALUE"""),"Ермоленко")</f>
        <v>Ермоленко</v>
      </c>
      <c r="C585" s="5" t="str">
        <f ca="1">IFERROR(__xludf.DUMMYFUNCTION("""COMPUTED_VALUE"""),"Дмитрий")</f>
        <v>Дмитрий</v>
      </c>
      <c r="D585" s="5" t="str">
        <f ca="1">IFERROR(__xludf.DUMMYFUNCTION("""COMPUTED_VALUE"""),"Денисович")</f>
        <v>Денисович</v>
      </c>
      <c r="E585" s="5" t="str">
        <f ca="1">IFERROR(__xludf.DUMMYFUNCTION("""COMPUTED_VALUE"""),"Команда №3880")</f>
        <v>Команда №3880</v>
      </c>
      <c r="F585" s="6" t="str">
        <f ca="1">IFERROR(__xludf.DUMMYFUNCTION("""COMPUTED_VALUE"""),"Разработка веб-сервиса агрегатора образовательных игр")</f>
        <v>Разработка веб-сервиса агрегатора образовательных игр</v>
      </c>
      <c r="G585" s="7">
        <f ca="1">IFERROR(__xludf.DUMMYFUNCTION("""COMPUTED_VALUE"""),85)</f>
        <v>85</v>
      </c>
    </row>
    <row r="586" spans="1:7" ht="26.4" x14ac:dyDescent="0.25">
      <c r="A586" s="5">
        <f ca="1">IFERROR(__xludf.DUMMYFUNCTION("""COMPUTED_VALUE"""),684)</f>
        <v>684</v>
      </c>
      <c r="B586" s="5" t="str">
        <f ca="1">IFERROR(__xludf.DUMMYFUNCTION("""COMPUTED_VALUE"""),"Логинов")</f>
        <v>Логинов</v>
      </c>
      <c r="C586" s="5" t="str">
        <f ca="1">IFERROR(__xludf.DUMMYFUNCTION("""COMPUTED_VALUE"""),"Лев")</f>
        <v>Лев</v>
      </c>
      <c r="D586" s="5" t="str">
        <f ca="1">IFERROR(__xludf.DUMMYFUNCTION("""COMPUTED_VALUE"""),"Андреевич")</f>
        <v>Андреевич</v>
      </c>
      <c r="E586" s="5" t="str">
        <f ca="1">IFERROR(__xludf.DUMMYFUNCTION("""COMPUTED_VALUE"""),"Команда №3880")</f>
        <v>Команда №3880</v>
      </c>
      <c r="F586" s="6" t="str">
        <f ca="1">IFERROR(__xludf.DUMMYFUNCTION("""COMPUTED_VALUE"""),"Разработка веб-сервиса агрегатора образовательных игр")</f>
        <v>Разработка веб-сервиса агрегатора образовательных игр</v>
      </c>
      <c r="G586" s="7">
        <f ca="1">IFERROR(__xludf.DUMMYFUNCTION("""COMPUTED_VALUE"""),85)</f>
        <v>85</v>
      </c>
    </row>
    <row r="587" spans="1:7" ht="26.4" x14ac:dyDescent="0.25">
      <c r="A587" s="5">
        <f ca="1">IFERROR(__xludf.DUMMYFUNCTION("""COMPUTED_VALUE"""),946)</f>
        <v>946</v>
      </c>
      <c r="B587" s="5" t="str">
        <f ca="1">IFERROR(__xludf.DUMMYFUNCTION("""COMPUTED_VALUE"""),"Пономарёв")</f>
        <v>Пономарёв</v>
      </c>
      <c r="C587" s="5" t="str">
        <f ca="1">IFERROR(__xludf.DUMMYFUNCTION("""COMPUTED_VALUE"""),"Александр")</f>
        <v>Александр</v>
      </c>
      <c r="D587" s="5" t="str">
        <f ca="1">IFERROR(__xludf.DUMMYFUNCTION("""COMPUTED_VALUE"""),"Игоревич")</f>
        <v>Игоревич</v>
      </c>
      <c r="E587" s="5" t="str">
        <f ca="1">IFERROR(__xludf.DUMMYFUNCTION("""COMPUTED_VALUE"""),"Команда №3880")</f>
        <v>Команда №3880</v>
      </c>
      <c r="F587" s="6" t="str">
        <f ca="1">IFERROR(__xludf.DUMMYFUNCTION("""COMPUTED_VALUE"""),"Разработка веб-сервиса агрегатора образовательных игр")</f>
        <v>Разработка веб-сервиса агрегатора образовательных игр</v>
      </c>
      <c r="G587" s="7">
        <f ca="1">IFERROR(__xludf.DUMMYFUNCTION("""COMPUTED_VALUE"""),85)</f>
        <v>85</v>
      </c>
    </row>
    <row r="588" spans="1:7" ht="26.4" x14ac:dyDescent="0.25">
      <c r="A588" s="5">
        <f ca="1">IFERROR(__xludf.DUMMYFUNCTION("""COMPUTED_VALUE"""),613)</f>
        <v>613</v>
      </c>
      <c r="B588" s="5" t="str">
        <f ca="1">IFERROR(__xludf.DUMMYFUNCTION("""COMPUTED_VALUE"""),"Кропотин")</f>
        <v>Кропотин</v>
      </c>
      <c r="C588" s="5" t="str">
        <f ca="1">IFERROR(__xludf.DUMMYFUNCTION("""COMPUTED_VALUE"""),"Иван")</f>
        <v>Иван</v>
      </c>
      <c r="D588" s="5" t="str">
        <f ca="1">IFERROR(__xludf.DUMMYFUNCTION("""COMPUTED_VALUE"""),"Дмитриевич")</f>
        <v>Дмитриевич</v>
      </c>
      <c r="E588" s="5" t="str">
        <f ca="1">IFERROR(__xludf.DUMMYFUNCTION("""COMPUTED_VALUE"""),"Команда №3888")</f>
        <v>Команда №3888</v>
      </c>
      <c r="F588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588" s="7">
        <f ca="1">IFERROR(__xludf.DUMMYFUNCTION("""COMPUTED_VALUE"""),92)</f>
        <v>92</v>
      </c>
    </row>
    <row r="589" spans="1:7" ht="26.4" x14ac:dyDescent="0.25">
      <c r="A589" s="5">
        <f ca="1">IFERROR(__xludf.DUMMYFUNCTION("""COMPUTED_VALUE"""),715)</f>
        <v>715</v>
      </c>
      <c r="B589" s="5" t="str">
        <f ca="1">IFERROR(__xludf.DUMMYFUNCTION("""COMPUTED_VALUE"""),"Макарова")</f>
        <v>Макарова</v>
      </c>
      <c r="C589" s="5" t="str">
        <f ca="1">IFERROR(__xludf.DUMMYFUNCTION("""COMPUTED_VALUE"""),"Владислава")</f>
        <v>Владислава</v>
      </c>
      <c r="D589" s="5" t="str">
        <f ca="1">IFERROR(__xludf.DUMMYFUNCTION("""COMPUTED_VALUE"""),"Алексеевна")</f>
        <v>Алексеевна</v>
      </c>
      <c r="E589" s="5" t="str">
        <f ca="1">IFERROR(__xludf.DUMMYFUNCTION("""COMPUTED_VALUE"""),"Команда №3888")</f>
        <v>Команда №3888</v>
      </c>
      <c r="F589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589" s="7">
        <f ca="1">IFERROR(__xludf.DUMMYFUNCTION("""COMPUTED_VALUE"""),92)</f>
        <v>92</v>
      </c>
    </row>
    <row r="590" spans="1:7" ht="26.4" x14ac:dyDescent="0.25">
      <c r="A590" s="5">
        <f ca="1">IFERROR(__xludf.DUMMYFUNCTION("""COMPUTED_VALUE"""),739)</f>
        <v>739</v>
      </c>
      <c r="B590" s="5" t="str">
        <f ca="1">IFERROR(__xludf.DUMMYFUNCTION("""COMPUTED_VALUE"""),"Матвеева")</f>
        <v>Матвеева</v>
      </c>
      <c r="C590" s="5" t="str">
        <f ca="1">IFERROR(__xludf.DUMMYFUNCTION("""COMPUTED_VALUE"""),"Полина")</f>
        <v>Полина</v>
      </c>
      <c r="D590" s="5" t="str">
        <f ca="1">IFERROR(__xludf.DUMMYFUNCTION("""COMPUTED_VALUE"""),"Валерьевна")</f>
        <v>Валерьевна</v>
      </c>
      <c r="E590" s="5" t="str">
        <f ca="1">IFERROR(__xludf.DUMMYFUNCTION("""COMPUTED_VALUE"""),"Команда №3888")</f>
        <v>Команда №3888</v>
      </c>
      <c r="F590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590" s="7">
        <f ca="1">IFERROR(__xludf.DUMMYFUNCTION("""COMPUTED_VALUE"""),92)</f>
        <v>92</v>
      </c>
    </row>
    <row r="591" spans="1:7" ht="26.4" x14ac:dyDescent="0.25">
      <c r="A591" s="5">
        <f ca="1">IFERROR(__xludf.DUMMYFUNCTION("""COMPUTED_VALUE"""),1075)</f>
        <v>1075</v>
      </c>
      <c r="B591" s="5" t="str">
        <f ca="1">IFERROR(__xludf.DUMMYFUNCTION("""COMPUTED_VALUE"""),"Скоморохова")</f>
        <v>Скоморохова</v>
      </c>
      <c r="C591" s="5" t="str">
        <f ca="1">IFERROR(__xludf.DUMMYFUNCTION("""COMPUTED_VALUE"""),"Виктория")</f>
        <v>Виктория</v>
      </c>
      <c r="D591" s="5" t="str">
        <f ca="1">IFERROR(__xludf.DUMMYFUNCTION("""COMPUTED_VALUE"""),"Сергеевна")</f>
        <v>Сергеевна</v>
      </c>
      <c r="E591" s="5" t="str">
        <f ca="1">IFERROR(__xludf.DUMMYFUNCTION("""COMPUTED_VALUE"""),"Команда №3888")</f>
        <v>Команда №3888</v>
      </c>
      <c r="F591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591" s="7">
        <f ca="1">IFERROR(__xludf.DUMMYFUNCTION("""COMPUTED_VALUE"""),92)</f>
        <v>92</v>
      </c>
    </row>
    <row r="592" spans="1:7" ht="26.4" x14ac:dyDescent="0.25">
      <c r="A592" s="5">
        <f ca="1">IFERROR(__xludf.DUMMYFUNCTION("""COMPUTED_VALUE"""),1368)</f>
        <v>1368</v>
      </c>
      <c r="B592" s="5" t="str">
        <f ca="1">IFERROR(__xludf.DUMMYFUNCTION("""COMPUTED_VALUE"""),"Юрченко")</f>
        <v>Юрченко</v>
      </c>
      <c r="C592" s="5" t="str">
        <f ca="1">IFERROR(__xludf.DUMMYFUNCTION("""COMPUTED_VALUE"""),"Глеб")</f>
        <v>Глеб</v>
      </c>
      <c r="D592" s="5" t="str">
        <f ca="1">IFERROR(__xludf.DUMMYFUNCTION("""COMPUTED_VALUE"""),"Сергеевич")</f>
        <v>Сергеевич</v>
      </c>
      <c r="E592" s="5" t="str">
        <f ca="1">IFERROR(__xludf.DUMMYFUNCTION("""COMPUTED_VALUE"""),"Команда №3888")</f>
        <v>Команда №3888</v>
      </c>
      <c r="F592" s="6" t="str">
        <f ca="1">IFERROR(__xludf.DUMMYFUNCTION("""COMPUTED_VALUE"""),"Создание системы расписания переговорных комнат")</f>
        <v>Создание системы расписания переговорных комнат</v>
      </c>
      <c r="G592" s="7">
        <f ca="1">IFERROR(__xludf.DUMMYFUNCTION("""COMPUTED_VALUE"""),92)</f>
        <v>92</v>
      </c>
    </row>
    <row r="593" spans="1:7" ht="39.6" x14ac:dyDescent="0.25">
      <c r="A593" s="5">
        <f ca="1">IFERROR(__xludf.DUMMYFUNCTION("""COMPUTED_VALUE"""),169)</f>
        <v>169</v>
      </c>
      <c r="B593" s="5" t="str">
        <f ca="1">IFERROR(__xludf.DUMMYFUNCTION("""COMPUTED_VALUE"""),"Ваганов")</f>
        <v>Ваганов</v>
      </c>
      <c r="C593" s="5" t="str">
        <f ca="1">IFERROR(__xludf.DUMMYFUNCTION("""COMPUTED_VALUE"""),"Владислав")</f>
        <v>Владислав</v>
      </c>
      <c r="D593" s="5" t="str">
        <f ca="1">IFERROR(__xludf.DUMMYFUNCTION("""COMPUTED_VALUE"""),"Сергеевич")</f>
        <v>Сергеевич</v>
      </c>
      <c r="E593" s="5" t="str">
        <f ca="1">IFERROR(__xludf.DUMMYFUNCTION("""COMPUTED_VALUE"""),"Команда №3897")</f>
        <v>Команда №3897</v>
      </c>
      <c r="F593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593" s="7">
        <f ca="1">IFERROR(__xludf.DUMMYFUNCTION("""COMPUTED_VALUE"""),99)</f>
        <v>99</v>
      </c>
    </row>
    <row r="594" spans="1:7" ht="39.6" x14ac:dyDescent="0.25">
      <c r="A594" s="5">
        <f ca="1">IFERROR(__xludf.DUMMYFUNCTION("""COMPUTED_VALUE"""),381)</f>
        <v>381</v>
      </c>
      <c r="B594" s="5" t="str">
        <f ca="1">IFERROR(__xludf.DUMMYFUNCTION("""COMPUTED_VALUE"""),"Ершов")</f>
        <v>Ершов</v>
      </c>
      <c r="C594" s="5" t="str">
        <f ca="1">IFERROR(__xludf.DUMMYFUNCTION("""COMPUTED_VALUE"""),"Дмитрий")</f>
        <v>Дмитрий</v>
      </c>
      <c r="D594" s="5" t="str">
        <f ca="1">IFERROR(__xludf.DUMMYFUNCTION("""COMPUTED_VALUE"""),"Витальевич")</f>
        <v>Витальевич</v>
      </c>
      <c r="E594" s="5" t="str">
        <f ca="1">IFERROR(__xludf.DUMMYFUNCTION("""COMPUTED_VALUE"""),"Команда №3897")</f>
        <v>Команда №3897</v>
      </c>
      <c r="F594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594" s="7">
        <f ca="1">IFERROR(__xludf.DUMMYFUNCTION("""COMPUTED_VALUE"""),99)</f>
        <v>99</v>
      </c>
    </row>
    <row r="595" spans="1:7" ht="39.6" x14ac:dyDescent="0.25">
      <c r="A595" s="5">
        <f ca="1">IFERROR(__xludf.DUMMYFUNCTION("""COMPUTED_VALUE"""),955)</f>
        <v>955</v>
      </c>
      <c r="B595" s="5" t="str">
        <f ca="1">IFERROR(__xludf.DUMMYFUNCTION("""COMPUTED_VALUE"""),"Попович")</f>
        <v>Попович</v>
      </c>
      <c r="C595" s="5" t="str">
        <f ca="1">IFERROR(__xludf.DUMMYFUNCTION("""COMPUTED_VALUE"""),"Иван")</f>
        <v>Иван</v>
      </c>
      <c r="D595" s="5" t="str">
        <f ca="1">IFERROR(__xludf.DUMMYFUNCTION("""COMPUTED_VALUE"""),"Алексеевич")</f>
        <v>Алексеевич</v>
      </c>
      <c r="E595" s="5" t="str">
        <f ca="1">IFERROR(__xludf.DUMMYFUNCTION("""COMPUTED_VALUE"""),"Команда №3897")</f>
        <v>Команда №3897</v>
      </c>
      <c r="F595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595" s="7">
        <f ca="1">IFERROR(__xludf.DUMMYFUNCTION("""COMPUTED_VALUE"""),99)</f>
        <v>99</v>
      </c>
    </row>
    <row r="596" spans="1:7" ht="13.2" x14ac:dyDescent="0.25">
      <c r="A596" s="5">
        <f ca="1">IFERROR(__xludf.DUMMYFUNCTION("""COMPUTED_VALUE"""),403)</f>
        <v>403</v>
      </c>
      <c r="B596" s="5" t="str">
        <f ca="1">IFERROR(__xludf.DUMMYFUNCTION("""COMPUTED_VALUE"""),"Загвоздин")</f>
        <v>Загвоздин</v>
      </c>
      <c r="C596" s="5" t="str">
        <f ca="1">IFERROR(__xludf.DUMMYFUNCTION("""COMPUTED_VALUE"""),"Денис")</f>
        <v>Денис</v>
      </c>
      <c r="D596" s="5" t="str">
        <f ca="1">IFERROR(__xludf.DUMMYFUNCTION("""COMPUTED_VALUE"""),"Сергеевич")</f>
        <v>Сергеевич</v>
      </c>
      <c r="E596" s="5" t="str">
        <f ca="1">IFERROR(__xludf.DUMMYFUNCTION("""COMPUTED_VALUE"""),"Команда №3898")</f>
        <v>Команда №3898</v>
      </c>
      <c r="F596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596" s="7">
        <f ca="1">IFERROR(__xludf.DUMMYFUNCTION("""COMPUTED_VALUE"""),85)</f>
        <v>85</v>
      </c>
    </row>
    <row r="597" spans="1:7" ht="13.2" x14ac:dyDescent="0.25">
      <c r="A597" s="5">
        <f ca="1">IFERROR(__xludf.DUMMYFUNCTION("""COMPUTED_VALUE"""),1210)</f>
        <v>1210</v>
      </c>
      <c r="B597" s="5" t="str">
        <f ca="1">IFERROR(__xludf.DUMMYFUNCTION("""COMPUTED_VALUE"""),"Федоров")</f>
        <v>Федоров</v>
      </c>
      <c r="C597" s="5" t="str">
        <f ca="1">IFERROR(__xludf.DUMMYFUNCTION("""COMPUTED_VALUE"""),"Семен")</f>
        <v>Семен</v>
      </c>
      <c r="D597" s="5" t="str">
        <f ca="1">IFERROR(__xludf.DUMMYFUNCTION("""COMPUTED_VALUE"""),"Алексеевич")</f>
        <v>Алексеевич</v>
      </c>
      <c r="E597" s="5" t="str">
        <f ca="1">IFERROR(__xludf.DUMMYFUNCTION("""COMPUTED_VALUE"""),"Команда №3898")</f>
        <v>Команда №3898</v>
      </c>
      <c r="F597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597" s="7">
        <f ca="1">IFERROR(__xludf.DUMMYFUNCTION("""COMPUTED_VALUE"""),85)</f>
        <v>85</v>
      </c>
    </row>
    <row r="598" spans="1:7" ht="13.2" x14ac:dyDescent="0.25">
      <c r="A598" s="5">
        <f ca="1">IFERROR(__xludf.DUMMYFUNCTION("""COMPUTED_VALUE"""),1374)</f>
        <v>1374</v>
      </c>
      <c r="B598" s="5" t="str">
        <f ca="1">IFERROR(__xludf.DUMMYFUNCTION("""COMPUTED_VALUE"""),"Язовских")</f>
        <v>Язовских</v>
      </c>
      <c r="C598" s="5" t="str">
        <f ca="1">IFERROR(__xludf.DUMMYFUNCTION("""COMPUTED_VALUE"""),"Елена")</f>
        <v>Елена</v>
      </c>
      <c r="D598" s="5" t="str">
        <f ca="1">IFERROR(__xludf.DUMMYFUNCTION("""COMPUTED_VALUE"""),"Александровна")</f>
        <v>Александровна</v>
      </c>
      <c r="E598" s="5" t="str">
        <f ca="1">IFERROR(__xludf.DUMMYFUNCTION("""COMPUTED_VALUE"""),"Команда №3898")</f>
        <v>Команда №3898</v>
      </c>
      <c r="F598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598" s="7">
        <f ca="1">IFERROR(__xludf.DUMMYFUNCTION("""COMPUTED_VALUE"""),85)</f>
        <v>85</v>
      </c>
    </row>
    <row r="599" spans="1:7" ht="26.4" x14ac:dyDescent="0.25">
      <c r="A599" s="5">
        <f ca="1">IFERROR(__xludf.DUMMYFUNCTION("""COMPUTED_VALUE"""),36)</f>
        <v>36</v>
      </c>
      <c r="B599" s="5" t="str">
        <f ca="1">IFERROR(__xludf.DUMMYFUNCTION("""COMPUTED_VALUE"""),"Андреенко")</f>
        <v>Андреенко</v>
      </c>
      <c r="C599" s="5" t="str">
        <f ca="1">IFERROR(__xludf.DUMMYFUNCTION("""COMPUTED_VALUE"""),"Никита")</f>
        <v>Никита</v>
      </c>
      <c r="D599" s="5" t="str">
        <f ca="1">IFERROR(__xludf.DUMMYFUNCTION("""COMPUTED_VALUE"""),"Денисович")</f>
        <v>Денисович</v>
      </c>
      <c r="E599" s="5" t="str">
        <f ca="1">IFERROR(__xludf.DUMMYFUNCTION("""COMPUTED_VALUE"""),"Команда №3902")</f>
        <v>Команда №3902</v>
      </c>
      <c r="F599" s="6" t="str">
        <f ca="1">IFERROR(__xludf.DUMMYFUNCTION("""COMPUTED_VALUE"""),"Создание игрового ПО для ПК в жанре экшен адвентюре.")</f>
        <v>Создание игрового ПО для ПК в жанре экшен адвентюре.</v>
      </c>
      <c r="G599" s="7">
        <f ca="1">IFERROR(__xludf.DUMMYFUNCTION("""COMPUTED_VALUE"""),70)</f>
        <v>70</v>
      </c>
    </row>
    <row r="600" spans="1:7" ht="26.4" x14ac:dyDescent="0.25">
      <c r="A600" s="5">
        <f ca="1">IFERROR(__xludf.DUMMYFUNCTION("""COMPUTED_VALUE"""),651)</f>
        <v>651</v>
      </c>
      <c r="B600" s="5" t="str">
        <f ca="1">IFERROR(__xludf.DUMMYFUNCTION("""COMPUTED_VALUE"""),"Кутявин")</f>
        <v>Кутявин</v>
      </c>
      <c r="C600" s="5" t="str">
        <f ca="1">IFERROR(__xludf.DUMMYFUNCTION("""COMPUTED_VALUE"""),"Данил")</f>
        <v>Данил</v>
      </c>
      <c r="D600" s="5" t="str">
        <f ca="1">IFERROR(__xludf.DUMMYFUNCTION("""COMPUTED_VALUE"""),"Сергеевич")</f>
        <v>Сергеевич</v>
      </c>
      <c r="E600" s="5" t="str">
        <f ca="1">IFERROR(__xludf.DUMMYFUNCTION("""COMPUTED_VALUE"""),"Команда №3902")</f>
        <v>Команда №3902</v>
      </c>
      <c r="F600" s="6" t="str">
        <f ca="1">IFERROR(__xludf.DUMMYFUNCTION("""COMPUTED_VALUE"""),"Создание игрового ПО для ПК в жанре экшен адвентюре.")</f>
        <v>Создание игрового ПО для ПК в жанре экшен адвентюре.</v>
      </c>
      <c r="G600" s="7">
        <f ca="1">IFERROR(__xludf.DUMMYFUNCTION("""COMPUTED_VALUE"""),70)</f>
        <v>70</v>
      </c>
    </row>
    <row r="601" spans="1:7" ht="26.4" x14ac:dyDescent="0.25">
      <c r="A601" s="5">
        <f ca="1">IFERROR(__xludf.DUMMYFUNCTION("""COMPUTED_VALUE"""),699)</f>
        <v>699</v>
      </c>
      <c r="B601" s="5" t="str">
        <f ca="1">IFERROR(__xludf.DUMMYFUNCTION("""COMPUTED_VALUE"""),"Лысенков")</f>
        <v>Лысенков</v>
      </c>
      <c r="C601" s="5" t="str">
        <f ca="1">IFERROR(__xludf.DUMMYFUNCTION("""COMPUTED_VALUE"""),"Максим")</f>
        <v>Максим</v>
      </c>
      <c r="D601" s="5" t="str">
        <f ca="1">IFERROR(__xludf.DUMMYFUNCTION("""COMPUTED_VALUE"""),"Олегович")</f>
        <v>Олегович</v>
      </c>
      <c r="E601" s="5" t="str">
        <f ca="1">IFERROR(__xludf.DUMMYFUNCTION("""COMPUTED_VALUE"""),"Команда №3902")</f>
        <v>Команда №3902</v>
      </c>
      <c r="F601" s="6" t="str">
        <f ca="1">IFERROR(__xludf.DUMMYFUNCTION("""COMPUTED_VALUE"""),"Создание игрового ПО для ПК в жанре экшен адвентюре.")</f>
        <v>Создание игрового ПО для ПК в жанре экшен адвентюре.</v>
      </c>
      <c r="G601" s="7">
        <f ca="1">IFERROR(__xludf.DUMMYFUNCTION("""COMPUTED_VALUE"""),70)</f>
        <v>70</v>
      </c>
    </row>
    <row r="602" spans="1:7" ht="26.4" x14ac:dyDescent="0.25">
      <c r="A602" s="5">
        <f ca="1">IFERROR(__xludf.DUMMYFUNCTION("""COMPUTED_VALUE"""),1172)</f>
        <v>1172</v>
      </c>
      <c r="B602" s="5" t="str">
        <f ca="1">IFERROR(__xludf.DUMMYFUNCTION("""COMPUTED_VALUE"""),"Трибушко")</f>
        <v>Трибушко</v>
      </c>
      <c r="C602" s="5" t="str">
        <f ca="1">IFERROR(__xludf.DUMMYFUNCTION("""COMPUTED_VALUE"""),"Данил")</f>
        <v>Данил</v>
      </c>
      <c r="D602" s="5" t="str">
        <f ca="1">IFERROR(__xludf.DUMMYFUNCTION("""COMPUTED_VALUE"""),"Денисович")</f>
        <v>Денисович</v>
      </c>
      <c r="E602" s="5" t="str">
        <f ca="1">IFERROR(__xludf.DUMMYFUNCTION("""COMPUTED_VALUE"""),"Команда №3902")</f>
        <v>Команда №3902</v>
      </c>
      <c r="F602" s="6" t="str">
        <f ca="1">IFERROR(__xludf.DUMMYFUNCTION("""COMPUTED_VALUE"""),"Создание игрового ПО для ПК в жанре экшен адвентюре.")</f>
        <v>Создание игрового ПО для ПК в жанре экшен адвентюре.</v>
      </c>
      <c r="G602" s="7">
        <f ca="1">IFERROR(__xludf.DUMMYFUNCTION("""COMPUTED_VALUE"""),70)</f>
        <v>70</v>
      </c>
    </row>
    <row r="603" spans="1:7" ht="26.4" x14ac:dyDescent="0.25">
      <c r="A603" s="5">
        <f ca="1">IFERROR(__xludf.DUMMYFUNCTION("""COMPUTED_VALUE"""),1308)</f>
        <v>1308</v>
      </c>
      <c r="B603" s="5" t="str">
        <f ca="1">IFERROR(__xludf.DUMMYFUNCTION("""COMPUTED_VALUE"""),"Шамшурина")</f>
        <v>Шамшурина</v>
      </c>
      <c r="C603" s="5" t="str">
        <f ca="1">IFERROR(__xludf.DUMMYFUNCTION("""COMPUTED_VALUE"""),"Элиана")</f>
        <v>Элиана</v>
      </c>
      <c r="D603" s="5" t="str">
        <f ca="1">IFERROR(__xludf.DUMMYFUNCTION("""COMPUTED_VALUE"""),"Алексеевна")</f>
        <v>Алексеевна</v>
      </c>
      <c r="E603" s="5" t="str">
        <f ca="1">IFERROR(__xludf.DUMMYFUNCTION("""COMPUTED_VALUE"""),"Команда №3902")</f>
        <v>Команда №3902</v>
      </c>
      <c r="F603" s="6" t="str">
        <f ca="1">IFERROR(__xludf.DUMMYFUNCTION("""COMPUTED_VALUE"""),"Создание игрового ПО для ПК в жанре экшен адвентюре.")</f>
        <v>Создание игрового ПО для ПК в жанре экшен адвентюре.</v>
      </c>
      <c r="G603" s="7">
        <f ca="1">IFERROR(__xludf.DUMMYFUNCTION("""COMPUTED_VALUE"""),70)</f>
        <v>70</v>
      </c>
    </row>
    <row r="604" spans="1:7" ht="26.4" x14ac:dyDescent="0.25">
      <c r="A604" s="5">
        <f ca="1">IFERROR(__xludf.DUMMYFUNCTION("""COMPUTED_VALUE"""),142)</f>
        <v>142</v>
      </c>
      <c r="B604" s="5" t="str">
        <f ca="1">IFERROR(__xludf.DUMMYFUNCTION("""COMPUTED_VALUE"""),"Борисова")</f>
        <v>Борисова</v>
      </c>
      <c r="C604" s="5" t="str">
        <f ca="1">IFERROR(__xludf.DUMMYFUNCTION("""COMPUTED_VALUE"""),"Мария")</f>
        <v>Мария</v>
      </c>
      <c r="D604" s="5" t="str">
        <f ca="1">IFERROR(__xludf.DUMMYFUNCTION("""COMPUTED_VALUE"""),"Дмитриевна")</f>
        <v>Дмитриевна</v>
      </c>
      <c r="E604" s="5" t="str">
        <f ca="1">IFERROR(__xludf.DUMMYFUNCTION("""COMPUTED_VALUE"""),"Команда №3908")</f>
        <v>Команда №3908</v>
      </c>
      <c r="F604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04" s="7">
        <f ca="1">IFERROR(__xludf.DUMMYFUNCTION("""COMPUTED_VALUE"""),55)</f>
        <v>55</v>
      </c>
    </row>
    <row r="605" spans="1:7" ht="26.4" x14ac:dyDescent="0.25">
      <c r="A605" s="5">
        <f ca="1">IFERROR(__xludf.DUMMYFUNCTION("""COMPUTED_VALUE"""),184)</f>
        <v>184</v>
      </c>
      <c r="B605" s="5" t="str">
        <f ca="1">IFERROR(__xludf.DUMMYFUNCTION("""COMPUTED_VALUE"""),"Ватлецов")</f>
        <v>Ватлецов</v>
      </c>
      <c r="C605" s="5" t="str">
        <f ca="1">IFERROR(__xludf.DUMMYFUNCTION("""COMPUTED_VALUE"""),"Семен")</f>
        <v>Семен</v>
      </c>
      <c r="D605" s="5" t="str">
        <f ca="1">IFERROR(__xludf.DUMMYFUNCTION("""COMPUTED_VALUE"""),"Александрович")</f>
        <v>Александрович</v>
      </c>
      <c r="E605" s="5" t="str">
        <f ca="1">IFERROR(__xludf.DUMMYFUNCTION("""COMPUTED_VALUE"""),"Команда №3908")</f>
        <v>Команда №3908</v>
      </c>
      <c r="F605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05" s="7">
        <f ca="1">IFERROR(__xludf.DUMMYFUNCTION("""COMPUTED_VALUE"""),55)</f>
        <v>55</v>
      </c>
    </row>
    <row r="606" spans="1:7" ht="26.4" x14ac:dyDescent="0.25">
      <c r="A606" s="5">
        <f ca="1">IFERROR(__xludf.DUMMYFUNCTION("""COMPUTED_VALUE"""),383)</f>
        <v>383</v>
      </c>
      <c r="B606" s="5" t="str">
        <f ca="1">IFERROR(__xludf.DUMMYFUNCTION("""COMPUTED_VALUE"""),"Ефанова")</f>
        <v>Ефанова</v>
      </c>
      <c r="C606" s="5" t="str">
        <f ca="1">IFERROR(__xludf.DUMMYFUNCTION("""COMPUTED_VALUE"""),"Алёна")</f>
        <v>Алёна</v>
      </c>
      <c r="D606" s="5" t="str">
        <f ca="1">IFERROR(__xludf.DUMMYFUNCTION("""COMPUTED_VALUE"""),"Владимировна")</f>
        <v>Владимировна</v>
      </c>
      <c r="E606" s="5" t="str">
        <f ca="1">IFERROR(__xludf.DUMMYFUNCTION("""COMPUTED_VALUE"""),"Команда №3908")</f>
        <v>Команда №3908</v>
      </c>
      <c r="F606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06" s="7">
        <f ca="1">IFERROR(__xludf.DUMMYFUNCTION("""COMPUTED_VALUE"""),55)</f>
        <v>55</v>
      </c>
    </row>
    <row r="607" spans="1:7" ht="26.4" x14ac:dyDescent="0.25">
      <c r="A607" s="5">
        <f ca="1">IFERROR(__xludf.DUMMYFUNCTION("""COMPUTED_VALUE"""),532)</f>
        <v>532</v>
      </c>
      <c r="B607" s="5" t="str">
        <f ca="1">IFERROR(__xludf.DUMMYFUNCTION("""COMPUTED_VALUE"""),"Кобылкина")</f>
        <v>Кобылкина</v>
      </c>
      <c r="C607" s="5" t="str">
        <f ca="1">IFERROR(__xludf.DUMMYFUNCTION("""COMPUTED_VALUE"""),"Наталья")</f>
        <v>Наталья</v>
      </c>
      <c r="D607" s="5" t="str">
        <f ca="1">IFERROR(__xludf.DUMMYFUNCTION("""COMPUTED_VALUE"""),"Алексеевна")</f>
        <v>Алексеевна</v>
      </c>
      <c r="E607" s="5" t="str">
        <f ca="1">IFERROR(__xludf.DUMMYFUNCTION("""COMPUTED_VALUE"""),"Команда №3908")</f>
        <v>Команда №3908</v>
      </c>
      <c r="F607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07" s="7">
        <f ca="1">IFERROR(__xludf.DUMMYFUNCTION("""COMPUTED_VALUE"""),55)</f>
        <v>55</v>
      </c>
    </row>
    <row r="608" spans="1:7" ht="26.4" x14ac:dyDescent="0.25">
      <c r="A608" s="5">
        <f ca="1">IFERROR(__xludf.DUMMYFUNCTION("""COMPUTED_VALUE"""),957)</f>
        <v>957</v>
      </c>
      <c r="B608" s="5" t="str">
        <f ca="1">IFERROR(__xludf.DUMMYFUNCTION("""COMPUTED_VALUE"""),"Порицкий")</f>
        <v>Порицкий</v>
      </c>
      <c r="C608" s="5" t="str">
        <f ca="1">IFERROR(__xludf.DUMMYFUNCTION("""COMPUTED_VALUE"""),"Егор")</f>
        <v>Егор</v>
      </c>
      <c r="D608" s="5" t="str">
        <f ca="1">IFERROR(__xludf.DUMMYFUNCTION("""COMPUTED_VALUE"""),"Андреевич")</f>
        <v>Андреевич</v>
      </c>
      <c r="E608" s="5" t="str">
        <f ca="1">IFERROR(__xludf.DUMMYFUNCTION("""COMPUTED_VALUE"""),"Команда №3908")</f>
        <v>Команда №3908</v>
      </c>
      <c r="F608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08" s="7">
        <f ca="1">IFERROR(__xludf.DUMMYFUNCTION("""COMPUTED_VALUE"""),55)</f>
        <v>55</v>
      </c>
    </row>
    <row r="609" spans="1:7" ht="13.2" x14ac:dyDescent="0.25">
      <c r="A609" s="5">
        <f ca="1">IFERROR(__xludf.DUMMYFUNCTION("""COMPUTED_VALUE"""),132)</f>
        <v>132</v>
      </c>
      <c r="B609" s="5" t="str">
        <f ca="1">IFERROR(__xludf.DUMMYFUNCTION("""COMPUTED_VALUE"""),"Бобылев")</f>
        <v>Бобылев</v>
      </c>
      <c r="C609" s="5" t="str">
        <f ca="1">IFERROR(__xludf.DUMMYFUNCTION("""COMPUTED_VALUE"""),"Тимофей")</f>
        <v>Тимофей</v>
      </c>
      <c r="D609" s="5" t="str">
        <f ca="1">IFERROR(__xludf.DUMMYFUNCTION("""COMPUTED_VALUE"""),"Владимирович")</f>
        <v>Владимирович</v>
      </c>
      <c r="E609" s="5" t="str">
        <f ca="1">IFERROR(__xludf.DUMMYFUNCTION("""COMPUTED_VALUE"""),"Команда №3916")</f>
        <v>Команда №3916</v>
      </c>
      <c r="F609" s="6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G609" s="7">
        <f ca="1">IFERROR(__xludf.DUMMYFUNCTION("""COMPUTED_VALUE"""),96)</f>
        <v>96</v>
      </c>
    </row>
    <row r="610" spans="1:7" ht="13.2" x14ac:dyDescent="0.25">
      <c r="A610" s="5">
        <f ca="1">IFERROR(__xludf.DUMMYFUNCTION("""COMPUTED_VALUE"""),241)</f>
        <v>241</v>
      </c>
      <c r="B610" s="5" t="str">
        <f ca="1">IFERROR(__xludf.DUMMYFUNCTION("""COMPUTED_VALUE"""),"Галкин")</f>
        <v>Галкин</v>
      </c>
      <c r="C610" s="5" t="str">
        <f ca="1">IFERROR(__xludf.DUMMYFUNCTION("""COMPUTED_VALUE"""),"Даниил")</f>
        <v>Даниил</v>
      </c>
      <c r="D610" s="5" t="str">
        <f ca="1">IFERROR(__xludf.DUMMYFUNCTION("""COMPUTED_VALUE"""),"Романович")</f>
        <v>Романович</v>
      </c>
      <c r="E610" s="5" t="str">
        <f ca="1">IFERROR(__xludf.DUMMYFUNCTION("""COMPUTED_VALUE"""),"Команда №3916")</f>
        <v>Команда №3916</v>
      </c>
      <c r="F610" s="6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G610" s="7">
        <f ca="1">IFERROR(__xludf.DUMMYFUNCTION("""COMPUTED_VALUE"""),96)</f>
        <v>96</v>
      </c>
    </row>
    <row r="611" spans="1:7" ht="13.2" x14ac:dyDescent="0.25">
      <c r="A611" s="5">
        <f ca="1">IFERROR(__xludf.DUMMYFUNCTION("""COMPUTED_VALUE"""),737)</f>
        <v>737</v>
      </c>
      <c r="B611" s="5" t="str">
        <f ca="1">IFERROR(__xludf.DUMMYFUNCTION("""COMPUTED_VALUE"""),"Матвеев")</f>
        <v>Матвеев</v>
      </c>
      <c r="C611" s="5" t="str">
        <f ca="1">IFERROR(__xludf.DUMMYFUNCTION("""COMPUTED_VALUE"""),"Андрей")</f>
        <v>Андрей</v>
      </c>
      <c r="D611" s="5" t="str">
        <f ca="1">IFERROR(__xludf.DUMMYFUNCTION("""COMPUTED_VALUE"""),"Александрович")</f>
        <v>Александрович</v>
      </c>
      <c r="E611" s="5" t="str">
        <f ca="1">IFERROR(__xludf.DUMMYFUNCTION("""COMPUTED_VALUE"""),"Команда №3916")</f>
        <v>Команда №3916</v>
      </c>
      <c r="F611" s="6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G611" s="7">
        <f ca="1">IFERROR(__xludf.DUMMYFUNCTION("""COMPUTED_VALUE"""),96)</f>
        <v>96</v>
      </c>
    </row>
    <row r="612" spans="1:7" ht="13.2" x14ac:dyDescent="0.25">
      <c r="A612" s="5">
        <f ca="1">IFERROR(__xludf.DUMMYFUNCTION("""COMPUTED_VALUE"""),1029)</f>
        <v>1029</v>
      </c>
      <c r="B612" s="5" t="str">
        <f ca="1">IFERROR(__xludf.DUMMYFUNCTION("""COMPUTED_VALUE"""),"Сальников")</f>
        <v>Сальников</v>
      </c>
      <c r="C612" s="5" t="str">
        <f ca="1">IFERROR(__xludf.DUMMYFUNCTION("""COMPUTED_VALUE"""),"Сергей")</f>
        <v>Сергей</v>
      </c>
      <c r="D612" s="5" t="str">
        <f ca="1">IFERROR(__xludf.DUMMYFUNCTION("""COMPUTED_VALUE"""),"Андреевич")</f>
        <v>Андреевич</v>
      </c>
      <c r="E612" s="5" t="str">
        <f ca="1">IFERROR(__xludf.DUMMYFUNCTION("""COMPUTED_VALUE"""),"Команда №3916")</f>
        <v>Команда №3916</v>
      </c>
      <c r="F612" s="6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G612" s="7">
        <f ca="1">IFERROR(__xludf.DUMMYFUNCTION("""COMPUTED_VALUE"""),96)</f>
        <v>96</v>
      </c>
    </row>
    <row r="613" spans="1:7" ht="13.2" x14ac:dyDescent="0.25">
      <c r="A613" s="5">
        <f ca="1">IFERROR(__xludf.DUMMYFUNCTION("""COMPUTED_VALUE"""),1239)</f>
        <v>1239</v>
      </c>
      <c r="B613" s="5" t="str">
        <f ca="1">IFERROR(__xludf.DUMMYFUNCTION("""COMPUTED_VALUE"""),"Халикулова")</f>
        <v>Халикулова</v>
      </c>
      <c r="C613" s="5" t="str">
        <f ca="1">IFERROR(__xludf.DUMMYFUNCTION("""COMPUTED_VALUE"""),"Лилия")</f>
        <v>Лилия</v>
      </c>
      <c r="D613" s="5" t="str">
        <f ca="1">IFERROR(__xludf.DUMMYFUNCTION("""COMPUTED_VALUE"""),"Алишеровна")</f>
        <v>Алишеровна</v>
      </c>
      <c r="E613" s="5" t="str">
        <f ca="1">IFERROR(__xludf.DUMMYFUNCTION("""COMPUTED_VALUE"""),"Команда №3916")</f>
        <v>Команда №3916</v>
      </c>
      <c r="F613" s="6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G613" s="7">
        <f ca="1">IFERROR(__xludf.DUMMYFUNCTION("""COMPUTED_VALUE"""),96)</f>
        <v>96</v>
      </c>
    </row>
    <row r="614" spans="1:7" ht="13.2" x14ac:dyDescent="0.25">
      <c r="A614" s="5">
        <f ca="1">IFERROR(__xludf.DUMMYFUNCTION("""COMPUTED_VALUE"""),1336)</f>
        <v>1336</v>
      </c>
      <c r="B614" s="5" t="str">
        <f ca="1">IFERROR(__xludf.DUMMYFUNCTION("""COMPUTED_VALUE"""),"Шишкин")</f>
        <v>Шишкин</v>
      </c>
      <c r="C614" s="5" t="str">
        <f ca="1">IFERROR(__xludf.DUMMYFUNCTION("""COMPUTED_VALUE"""),"Денис")</f>
        <v>Денис</v>
      </c>
      <c r="D614" s="5" t="str">
        <f ca="1">IFERROR(__xludf.DUMMYFUNCTION("""COMPUTED_VALUE"""),"Сергеевич")</f>
        <v>Сергеевич</v>
      </c>
      <c r="E614" s="5" t="str">
        <f ca="1">IFERROR(__xludf.DUMMYFUNCTION("""COMPUTED_VALUE"""),"Команда №3916")</f>
        <v>Команда №3916</v>
      </c>
      <c r="F614" s="6" t="str">
        <f ca="1">IFERROR(__xludf.DUMMYFUNCTION("""COMPUTED_VALUE"""),"Создание игрового ПО для ПК в жанре квест.")</f>
        <v>Создание игрового ПО для ПК в жанре квест.</v>
      </c>
      <c r="G614" s="7">
        <f ca="1">IFERROR(__xludf.DUMMYFUNCTION("""COMPUTED_VALUE"""),96)</f>
        <v>96</v>
      </c>
    </row>
    <row r="615" spans="1:7" ht="39.6" x14ac:dyDescent="0.25">
      <c r="A615" s="5">
        <f ca="1">IFERROR(__xludf.DUMMYFUNCTION("""COMPUTED_VALUE"""),774)</f>
        <v>774</v>
      </c>
      <c r="B615" s="5" t="str">
        <f ca="1">IFERROR(__xludf.DUMMYFUNCTION("""COMPUTED_VALUE"""),"Могильникова")</f>
        <v>Могильникова</v>
      </c>
      <c r="C615" s="5" t="str">
        <f ca="1">IFERROR(__xludf.DUMMYFUNCTION("""COMPUTED_VALUE"""),"Софья")</f>
        <v>Софья</v>
      </c>
      <c r="D615" s="5" t="str">
        <f ca="1">IFERROR(__xludf.DUMMYFUNCTION("""COMPUTED_VALUE"""),"Андреевна")</f>
        <v>Андреевна</v>
      </c>
      <c r="E615" s="5" t="str">
        <f ca="1">IFERROR(__xludf.DUMMYFUNCTION("""COMPUTED_VALUE"""),"Команда №3920")</f>
        <v>Команда №3920</v>
      </c>
      <c r="F615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615" s="7">
        <f ca="1">IFERROR(__xludf.DUMMYFUNCTION("""COMPUTED_VALUE"""),100)</f>
        <v>100</v>
      </c>
    </row>
    <row r="616" spans="1:7" ht="39.6" x14ac:dyDescent="0.25">
      <c r="A616" s="5">
        <f ca="1">IFERROR(__xludf.DUMMYFUNCTION("""COMPUTED_VALUE"""),787)</f>
        <v>787</v>
      </c>
      <c r="B616" s="5" t="str">
        <f ca="1">IFERROR(__xludf.DUMMYFUNCTION("""COMPUTED_VALUE"""),"Мосин")</f>
        <v>Мосин</v>
      </c>
      <c r="C616" s="5" t="str">
        <f ca="1">IFERROR(__xludf.DUMMYFUNCTION("""COMPUTED_VALUE"""),"Дмитрий")</f>
        <v>Дмитрий</v>
      </c>
      <c r="D616" s="5" t="str">
        <f ca="1">IFERROR(__xludf.DUMMYFUNCTION("""COMPUTED_VALUE"""),"Сергеевич")</f>
        <v>Сергеевич</v>
      </c>
      <c r="E616" s="5" t="str">
        <f ca="1">IFERROR(__xludf.DUMMYFUNCTION("""COMPUTED_VALUE"""),"Команда №3920")</f>
        <v>Команда №3920</v>
      </c>
      <c r="F616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616" s="7">
        <f ca="1">IFERROR(__xludf.DUMMYFUNCTION("""COMPUTED_VALUE"""),100)</f>
        <v>100</v>
      </c>
    </row>
    <row r="617" spans="1:7" ht="39.6" x14ac:dyDescent="0.25">
      <c r="A617" s="5">
        <f ca="1">IFERROR(__xludf.DUMMYFUNCTION("""COMPUTED_VALUE"""),862)</f>
        <v>862</v>
      </c>
      <c r="B617" s="5" t="str">
        <f ca="1">IFERROR(__xludf.DUMMYFUNCTION("""COMPUTED_VALUE"""),"Носкова")</f>
        <v>Носкова</v>
      </c>
      <c r="C617" s="5" t="str">
        <f ca="1">IFERROR(__xludf.DUMMYFUNCTION("""COMPUTED_VALUE"""),"Дарья")</f>
        <v>Дарья</v>
      </c>
      <c r="D617" s="5" t="str">
        <f ca="1">IFERROR(__xludf.DUMMYFUNCTION("""COMPUTED_VALUE"""),"Николаевна")</f>
        <v>Николаевна</v>
      </c>
      <c r="E617" s="5" t="str">
        <f ca="1">IFERROR(__xludf.DUMMYFUNCTION("""COMPUTED_VALUE"""),"Команда №3920")</f>
        <v>Команда №3920</v>
      </c>
      <c r="F617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617" s="7">
        <f ca="1">IFERROR(__xludf.DUMMYFUNCTION("""COMPUTED_VALUE"""),100)</f>
        <v>100</v>
      </c>
    </row>
    <row r="618" spans="1:7" ht="39.6" x14ac:dyDescent="0.25">
      <c r="A618" s="5">
        <f ca="1">IFERROR(__xludf.DUMMYFUNCTION("""COMPUTED_VALUE"""),1301)</f>
        <v>1301</v>
      </c>
      <c r="B618" s="5" t="str">
        <f ca="1">IFERROR(__xludf.DUMMYFUNCTION("""COMPUTED_VALUE"""),"Шабалин")</f>
        <v>Шабалин</v>
      </c>
      <c r="C618" s="5" t="str">
        <f ca="1">IFERROR(__xludf.DUMMYFUNCTION("""COMPUTED_VALUE"""),"Дмитрий")</f>
        <v>Дмитрий</v>
      </c>
      <c r="D618" s="5" t="str">
        <f ca="1">IFERROR(__xludf.DUMMYFUNCTION("""COMPUTED_VALUE"""),"Михайлович")</f>
        <v>Михайлович</v>
      </c>
      <c r="E618" s="5" t="str">
        <f ca="1">IFERROR(__xludf.DUMMYFUNCTION("""COMPUTED_VALUE"""),"Команда №3920")</f>
        <v>Команда №3920</v>
      </c>
      <c r="F618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618" s="7">
        <f ca="1">IFERROR(__xludf.DUMMYFUNCTION("""COMPUTED_VALUE"""),100)</f>
        <v>100</v>
      </c>
    </row>
    <row r="619" spans="1:7" ht="26.4" x14ac:dyDescent="0.25">
      <c r="A619" s="5">
        <f ca="1">IFERROR(__xludf.DUMMYFUNCTION("""COMPUTED_VALUE"""),156)</f>
        <v>156</v>
      </c>
      <c r="B619" s="5" t="str">
        <f ca="1">IFERROR(__xludf.DUMMYFUNCTION("""COMPUTED_VALUE"""),"Буравов")</f>
        <v>Буравов</v>
      </c>
      <c r="C619" s="5" t="str">
        <f ca="1">IFERROR(__xludf.DUMMYFUNCTION("""COMPUTED_VALUE"""),"Андрей")</f>
        <v>Андрей</v>
      </c>
      <c r="D619" s="5" t="str">
        <f ca="1">IFERROR(__xludf.DUMMYFUNCTION("""COMPUTED_VALUE"""),"Александрович")</f>
        <v>Александрович</v>
      </c>
      <c r="E619" s="5" t="str">
        <f ca="1">IFERROR(__xludf.DUMMYFUNCTION("""COMPUTED_VALUE"""),"Команда №3926")</f>
        <v>Команда №3926</v>
      </c>
      <c r="F619" s="6" t="str">
        <f ca="1">IFERROR(__xludf.DUMMYFUNCTION("""COMPUTED_VALUE"""),"Разработка мобильного приложения для механиков. Автосервис.")</f>
        <v>Разработка мобильного приложения для механиков. Автосервис.</v>
      </c>
      <c r="G619" s="7">
        <f ca="1">IFERROR(__xludf.DUMMYFUNCTION("""COMPUTED_VALUE"""),85)</f>
        <v>85</v>
      </c>
    </row>
    <row r="620" spans="1:7" ht="26.4" x14ac:dyDescent="0.25">
      <c r="A620" s="5">
        <f ca="1">IFERROR(__xludf.DUMMYFUNCTION("""COMPUTED_VALUE"""),160)</f>
        <v>160</v>
      </c>
      <c r="B620" s="5" t="str">
        <f ca="1">IFERROR(__xludf.DUMMYFUNCTION("""COMPUTED_VALUE"""),"Бут")</f>
        <v>Бут</v>
      </c>
      <c r="C620" s="5" t="str">
        <f ca="1">IFERROR(__xludf.DUMMYFUNCTION("""COMPUTED_VALUE"""),"Данил")</f>
        <v>Данил</v>
      </c>
      <c r="D620" s="5" t="str">
        <f ca="1">IFERROR(__xludf.DUMMYFUNCTION("""COMPUTED_VALUE"""),"Игоревич")</f>
        <v>Игоревич</v>
      </c>
      <c r="E620" s="5" t="str">
        <f ca="1">IFERROR(__xludf.DUMMYFUNCTION("""COMPUTED_VALUE"""),"Команда №3926")</f>
        <v>Команда №3926</v>
      </c>
      <c r="F620" s="6" t="str">
        <f ca="1">IFERROR(__xludf.DUMMYFUNCTION("""COMPUTED_VALUE"""),"Разработка мобильного приложения для механиков. Автосервис.")</f>
        <v>Разработка мобильного приложения для механиков. Автосервис.</v>
      </c>
      <c r="G620" s="7">
        <f ca="1">IFERROR(__xludf.DUMMYFUNCTION("""COMPUTED_VALUE"""),85)</f>
        <v>85</v>
      </c>
    </row>
    <row r="621" spans="1:7" ht="26.4" x14ac:dyDescent="0.25">
      <c r="A621" s="5">
        <f ca="1">IFERROR(__xludf.DUMMYFUNCTION("""COMPUTED_VALUE"""),569)</f>
        <v>569</v>
      </c>
      <c r="B621" s="5" t="str">
        <f ca="1">IFERROR(__xludf.DUMMYFUNCTION("""COMPUTED_VALUE"""),"Коновалов")</f>
        <v>Коновалов</v>
      </c>
      <c r="C621" s="5" t="str">
        <f ca="1">IFERROR(__xludf.DUMMYFUNCTION("""COMPUTED_VALUE"""),"Тимур")</f>
        <v>Тимур</v>
      </c>
      <c r="D621" s="5" t="str">
        <f ca="1">IFERROR(__xludf.DUMMYFUNCTION("""COMPUTED_VALUE"""),"Артёмович")</f>
        <v>Артёмович</v>
      </c>
      <c r="E621" s="5" t="str">
        <f ca="1">IFERROR(__xludf.DUMMYFUNCTION("""COMPUTED_VALUE"""),"Команда №3926")</f>
        <v>Команда №3926</v>
      </c>
      <c r="F621" s="6" t="str">
        <f ca="1">IFERROR(__xludf.DUMMYFUNCTION("""COMPUTED_VALUE"""),"Разработка мобильного приложения для механиков. Автосервис.")</f>
        <v>Разработка мобильного приложения для механиков. Автосервис.</v>
      </c>
      <c r="G621" s="7">
        <f ca="1">IFERROR(__xludf.DUMMYFUNCTION("""COMPUTED_VALUE"""),85)</f>
        <v>85</v>
      </c>
    </row>
    <row r="622" spans="1:7" ht="26.4" x14ac:dyDescent="0.25">
      <c r="A622" s="5">
        <f ca="1">IFERROR(__xludf.DUMMYFUNCTION("""COMPUTED_VALUE"""),1021)</f>
        <v>1021</v>
      </c>
      <c r="B622" s="5" t="str">
        <f ca="1">IFERROR(__xludf.DUMMYFUNCTION("""COMPUTED_VALUE"""),"Савеня")</f>
        <v>Савеня</v>
      </c>
      <c r="C622" s="5" t="str">
        <f ca="1">IFERROR(__xludf.DUMMYFUNCTION("""COMPUTED_VALUE"""),"Владислав")</f>
        <v>Владислав</v>
      </c>
      <c r="D622" s="5" t="str">
        <f ca="1">IFERROR(__xludf.DUMMYFUNCTION("""COMPUTED_VALUE"""),"Владимирович")</f>
        <v>Владимирович</v>
      </c>
      <c r="E622" s="5" t="str">
        <f ca="1">IFERROR(__xludf.DUMMYFUNCTION("""COMPUTED_VALUE"""),"Команда №3926")</f>
        <v>Команда №3926</v>
      </c>
      <c r="F622" s="6" t="str">
        <f ca="1">IFERROR(__xludf.DUMMYFUNCTION("""COMPUTED_VALUE"""),"Разработка мобильного приложения для механиков. Автосервис.")</f>
        <v>Разработка мобильного приложения для механиков. Автосервис.</v>
      </c>
      <c r="G622" s="7">
        <f ca="1">IFERROR(__xludf.DUMMYFUNCTION("""COMPUTED_VALUE"""),85)</f>
        <v>85</v>
      </c>
    </row>
    <row r="623" spans="1:7" ht="26.4" x14ac:dyDescent="0.25">
      <c r="A623" s="5">
        <f ca="1">IFERROR(__xludf.DUMMYFUNCTION("""COMPUTED_VALUE"""),164)</f>
        <v>164</v>
      </c>
      <c r="B623" s="5" t="str">
        <f ca="1">IFERROR(__xludf.DUMMYFUNCTION("""COMPUTED_VALUE"""),"Быков")</f>
        <v>Быков</v>
      </c>
      <c r="C623" s="5" t="str">
        <f ca="1">IFERROR(__xludf.DUMMYFUNCTION("""COMPUTED_VALUE"""),"Никита")</f>
        <v>Никита</v>
      </c>
      <c r="D623" s="5" t="str">
        <f ca="1">IFERROR(__xludf.DUMMYFUNCTION("""COMPUTED_VALUE"""),"Александрович")</f>
        <v>Александрович</v>
      </c>
      <c r="E623" s="5" t="str">
        <f ca="1">IFERROR(__xludf.DUMMYFUNCTION("""COMPUTED_VALUE"""),"Команда №3928")</f>
        <v>Команда №3928</v>
      </c>
      <c r="F623" s="6" t="str">
        <f ca="1">IFERROR(__xludf.DUMMYFUNCTION("""COMPUTED_VALUE"""),"Улучшение уже существующей модели прогнозирование телесмотрения")</f>
        <v>Улучшение уже существующей модели прогнозирование телесмотрения</v>
      </c>
      <c r="G623" s="7">
        <f ca="1">IFERROR(__xludf.DUMMYFUNCTION("""COMPUTED_VALUE"""),94)</f>
        <v>94</v>
      </c>
    </row>
    <row r="624" spans="1:7" ht="26.4" x14ac:dyDescent="0.25">
      <c r="A624" s="5">
        <f ca="1">IFERROR(__xludf.DUMMYFUNCTION("""COMPUTED_VALUE"""),391)</f>
        <v>391</v>
      </c>
      <c r="B624" s="5" t="str">
        <f ca="1">IFERROR(__xludf.DUMMYFUNCTION("""COMPUTED_VALUE"""),"Жиентаев")</f>
        <v>Жиентаев</v>
      </c>
      <c r="C624" s="5" t="str">
        <f ca="1">IFERROR(__xludf.DUMMYFUNCTION("""COMPUTED_VALUE"""),"Рустам")</f>
        <v>Рустам</v>
      </c>
      <c r="D624" s="5" t="str">
        <f ca="1">IFERROR(__xludf.DUMMYFUNCTION("""COMPUTED_VALUE"""),"Асылбекович")</f>
        <v>Асылбекович</v>
      </c>
      <c r="E624" s="5" t="str">
        <f ca="1">IFERROR(__xludf.DUMMYFUNCTION("""COMPUTED_VALUE"""),"Команда №3928")</f>
        <v>Команда №3928</v>
      </c>
      <c r="F624" s="6" t="str">
        <f ca="1">IFERROR(__xludf.DUMMYFUNCTION("""COMPUTED_VALUE"""),"Улучшение уже существующей модели прогнозирование телесмотрения")</f>
        <v>Улучшение уже существующей модели прогнозирование телесмотрения</v>
      </c>
      <c r="G624" s="7">
        <f ca="1">IFERROR(__xludf.DUMMYFUNCTION("""COMPUTED_VALUE"""),94)</f>
        <v>94</v>
      </c>
    </row>
    <row r="625" spans="1:7" ht="26.4" x14ac:dyDescent="0.25">
      <c r="A625" s="5">
        <f ca="1">IFERROR(__xludf.DUMMYFUNCTION("""COMPUTED_VALUE"""),928)</f>
        <v>928</v>
      </c>
      <c r="B625" s="5" t="str">
        <f ca="1">IFERROR(__xludf.DUMMYFUNCTION("""COMPUTED_VALUE"""),"Петровский")</f>
        <v>Петровский</v>
      </c>
      <c r="C625" s="5" t="str">
        <f ca="1">IFERROR(__xludf.DUMMYFUNCTION("""COMPUTED_VALUE"""),"Павел")</f>
        <v>Павел</v>
      </c>
      <c r="D625" s="5" t="str">
        <f ca="1">IFERROR(__xludf.DUMMYFUNCTION("""COMPUTED_VALUE"""),"Сергеевич")</f>
        <v>Сергеевич</v>
      </c>
      <c r="E625" s="5" t="str">
        <f ca="1">IFERROR(__xludf.DUMMYFUNCTION("""COMPUTED_VALUE"""),"Команда №3928")</f>
        <v>Команда №3928</v>
      </c>
      <c r="F625" s="6" t="str">
        <f ca="1">IFERROR(__xludf.DUMMYFUNCTION("""COMPUTED_VALUE"""),"Улучшение уже существующей модели прогнозирование телесмотрения")</f>
        <v>Улучшение уже существующей модели прогнозирование телесмотрения</v>
      </c>
      <c r="G625" s="7">
        <f ca="1">IFERROR(__xludf.DUMMYFUNCTION("""COMPUTED_VALUE"""),94)</f>
        <v>94</v>
      </c>
    </row>
    <row r="626" spans="1:7" ht="26.4" x14ac:dyDescent="0.25">
      <c r="A626" s="5">
        <f ca="1">IFERROR(__xludf.DUMMYFUNCTION("""COMPUTED_VALUE"""),593)</f>
        <v>593</v>
      </c>
      <c r="B626" s="5" t="str">
        <f ca="1">IFERROR(__xludf.DUMMYFUNCTION("""COMPUTED_VALUE"""),"Костарева")</f>
        <v>Костарева</v>
      </c>
      <c r="C626" s="5" t="str">
        <f ca="1">IFERROR(__xludf.DUMMYFUNCTION("""COMPUTED_VALUE"""),"Анна")</f>
        <v>Анна</v>
      </c>
      <c r="D626" s="5" t="str">
        <f ca="1">IFERROR(__xludf.DUMMYFUNCTION("""COMPUTED_VALUE"""),"Денисовна")</f>
        <v>Денисовна</v>
      </c>
      <c r="E626" s="5" t="str">
        <f ca="1">IFERROR(__xludf.DUMMYFUNCTION("""COMPUTED_VALUE"""),"Команда №3938")</f>
        <v>Команда №3938</v>
      </c>
      <c r="F626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26" s="7">
        <f ca="1">IFERROR(__xludf.DUMMYFUNCTION("""COMPUTED_VALUE"""),85)</f>
        <v>85</v>
      </c>
    </row>
    <row r="627" spans="1:7" ht="26.4" x14ac:dyDescent="0.25">
      <c r="A627" s="5">
        <f ca="1">IFERROR(__xludf.DUMMYFUNCTION("""COMPUTED_VALUE"""),745)</f>
        <v>745</v>
      </c>
      <c r="B627" s="5" t="str">
        <f ca="1">IFERROR(__xludf.DUMMYFUNCTION("""COMPUTED_VALUE"""),"Межин")</f>
        <v>Межин</v>
      </c>
      <c r="C627" s="5" t="str">
        <f ca="1">IFERROR(__xludf.DUMMYFUNCTION("""COMPUTED_VALUE"""),"Матвей")</f>
        <v>Матвей</v>
      </c>
      <c r="D627" s="5" t="str">
        <f ca="1">IFERROR(__xludf.DUMMYFUNCTION("""COMPUTED_VALUE"""),"Евгеньевич")</f>
        <v>Евгеньевич</v>
      </c>
      <c r="E627" s="5" t="str">
        <f ca="1">IFERROR(__xludf.DUMMYFUNCTION("""COMPUTED_VALUE"""),"Команда №3938")</f>
        <v>Команда №3938</v>
      </c>
      <c r="F627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27" s="7">
        <f ca="1">IFERROR(__xludf.DUMMYFUNCTION("""COMPUTED_VALUE"""),85)</f>
        <v>85</v>
      </c>
    </row>
    <row r="628" spans="1:7" ht="26.4" x14ac:dyDescent="0.25">
      <c r="A628" s="5">
        <f ca="1">IFERROR(__xludf.DUMMYFUNCTION("""COMPUTED_VALUE"""),865)</f>
        <v>865</v>
      </c>
      <c r="B628" s="5" t="str">
        <f ca="1">IFERROR(__xludf.DUMMYFUNCTION("""COMPUTED_VALUE"""),"Нурмухаметова")</f>
        <v>Нурмухаметова</v>
      </c>
      <c r="C628" s="5" t="str">
        <f ca="1">IFERROR(__xludf.DUMMYFUNCTION("""COMPUTED_VALUE"""),"Екатерина")</f>
        <v>Екатерина</v>
      </c>
      <c r="D628" s="5" t="str">
        <f ca="1">IFERROR(__xludf.DUMMYFUNCTION("""COMPUTED_VALUE"""),"Раулевна")</f>
        <v>Раулевна</v>
      </c>
      <c r="E628" s="5" t="str">
        <f ca="1">IFERROR(__xludf.DUMMYFUNCTION("""COMPUTED_VALUE"""),"Команда №3938")</f>
        <v>Команда №3938</v>
      </c>
      <c r="F628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28" s="7">
        <f ca="1">IFERROR(__xludf.DUMMYFUNCTION("""COMPUTED_VALUE"""),85)</f>
        <v>85</v>
      </c>
    </row>
    <row r="629" spans="1:7" ht="26.4" x14ac:dyDescent="0.25">
      <c r="A629" s="5">
        <f ca="1">IFERROR(__xludf.DUMMYFUNCTION("""COMPUTED_VALUE"""),1264)</f>
        <v>1264</v>
      </c>
      <c r="B629" s="5" t="str">
        <f ca="1">IFERROR(__xludf.DUMMYFUNCTION("""COMPUTED_VALUE"""),"Хярмасте")</f>
        <v>Хярмасте</v>
      </c>
      <c r="C629" s="5" t="str">
        <f ca="1">IFERROR(__xludf.DUMMYFUNCTION("""COMPUTED_VALUE"""),"Даниил")</f>
        <v>Даниил</v>
      </c>
      <c r="D629" s="5" t="str">
        <f ca="1">IFERROR(__xludf.DUMMYFUNCTION("""COMPUTED_VALUE"""),"Андрусович")</f>
        <v>Андрусович</v>
      </c>
      <c r="E629" s="5" t="str">
        <f ca="1">IFERROR(__xludf.DUMMYFUNCTION("""COMPUTED_VALUE"""),"Команда №3938")</f>
        <v>Команда №3938</v>
      </c>
      <c r="F629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29" s="7">
        <f ca="1">IFERROR(__xludf.DUMMYFUNCTION("""COMPUTED_VALUE"""),85)</f>
        <v>85</v>
      </c>
    </row>
    <row r="630" spans="1:7" ht="26.4" x14ac:dyDescent="0.25">
      <c r="A630" s="5">
        <f ca="1">IFERROR(__xludf.DUMMYFUNCTION("""COMPUTED_VALUE"""),553)</f>
        <v>553</v>
      </c>
      <c r="B630" s="5" t="str">
        <f ca="1">IFERROR(__xludf.DUMMYFUNCTION("""COMPUTED_VALUE"""),"Колов")</f>
        <v>Колов</v>
      </c>
      <c r="C630" s="5" t="str">
        <f ca="1">IFERROR(__xludf.DUMMYFUNCTION("""COMPUTED_VALUE"""),"Егор")</f>
        <v>Егор</v>
      </c>
      <c r="D630" s="5" t="str">
        <f ca="1">IFERROR(__xludf.DUMMYFUNCTION("""COMPUTED_VALUE"""),"Олегович")</f>
        <v>Олегович</v>
      </c>
      <c r="E630" s="5" t="str">
        <f ca="1">IFERROR(__xludf.DUMMYFUNCTION("""COMPUTED_VALUE"""),"Команда №3942")</f>
        <v>Команда №3942</v>
      </c>
      <c r="F630" s="6" t="str">
        <f ca="1">IFERROR(__xludf.DUMMYFUNCTION("""COMPUTED_VALUE"""),"Создание игрового ПО для ПК в в мультижанровом стиле.")</f>
        <v>Создание игрового ПО для ПК в в мультижанровом стиле.</v>
      </c>
      <c r="G630" s="7">
        <f ca="1">IFERROR(__xludf.DUMMYFUNCTION("""COMPUTED_VALUE"""),97)</f>
        <v>97</v>
      </c>
    </row>
    <row r="631" spans="1:7" ht="26.4" x14ac:dyDescent="0.25">
      <c r="A631" s="5">
        <f ca="1">IFERROR(__xludf.DUMMYFUNCTION("""COMPUTED_VALUE"""),615)</f>
        <v>615</v>
      </c>
      <c r="B631" s="5" t="str">
        <f ca="1">IFERROR(__xludf.DUMMYFUNCTION("""COMPUTED_VALUE"""),"Крусь")</f>
        <v>Крусь</v>
      </c>
      <c r="C631" s="5" t="str">
        <f ca="1">IFERROR(__xludf.DUMMYFUNCTION("""COMPUTED_VALUE"""),"Полина")</f>
        <v>Полина</v>
      </c>
      <c r="D631" s="5" t="str">
        <f ca="1">IFERROR(__xludf.DUMMYFUNCTION("""COMPUTED_VALUE"""),"Евгеньевна")</f>
        <v>Евгеньевна</v>
      </c>
      <c r="E631" s="5" t="str">
        <f ca="1">IFERROR(__xludf.DUMMYFUNCTION("""COMPUTED_VALUE"""),"Команда №3942")</f>
        <v>Команда №3942</v>
      </c>
      <c r="F631" s="6" t="str">
        <f ca="1">IFERROR(__xludf.DUMMYFUNCTION("""COMPUTED_VALUE"""),"Создание игрового ПО для ПК в в мультижанровом стиле.")</f>
        <v>Создание игрового ПО для ПК в в мультижанровом стиле.</v>
      </c>
      <c r="G631" s="7">
        <f ca="1">IFERROR(__xludf.DUMMYFUNCTION("""COMPUTED_VALUE"""),97)</f>
        <v>97</v>
      </c>
    </row>
    <row r="632" spans="1:7" ht="26.4" x14ac:dyDescent="0.25">
      <c r="A632" s="5">
        <f ca="1">IFERROR(__xludf.DUMMYFUNCTION("""COMPUTED_VALUE"""),868)</f>
        <v>868</v>
      </c>
      <c r="B632" s="5" t="str">
        <f ca="1">IFERROR(__xludf.DUMMYFUNCTION("""COMPUTED_VALUE"""),"Обухов")</f>
        <v>Обухов</v>
      </c>
      <c r="C632" s="5" t="str">
        <f ca="1">IFERROR(__xludf.DUMMYFUNCTION("""COMPUTED_VALUE"""),"Даниил")</f>
        <v>Даниил</v>
      </c>
      <c r="D632" s="5" t="str">
        <f ca="1">IFERROR(__xludf.DUMMYFUNCTION("""COMPUTED_VALUE"""),"Александрович")</f>
        <v>Александрович</v>
      </c>
      <c r="E632" s="5" t="str">
        <f ca="1">IFERROR(__xludf.DUMMYFUNCTION("""COMPUTED_VALUE"""),"Команда №3942")</f>
        <v>Команда №3942</v>
      </c>
      <c r="F632" s="6" t="str">
        <f ca="1">IFERROR(__xludf.DUMMYFUNCTION("""COMPUTED_VALUE"""),"Создание игрового ПО для ПК в в мультижанровом стиле.")</f>
        <v>Создание игрового ПО для ПК в в мультижанровом стиле.</v>
      </c>
      <c r="G632" s="7">
        <f ca="1">IFERROR(__xludf.DUMMYFUNCTION("""COMPUTED_VALUE"""),97)</f>
        <v>97</v>
      </c>
    </row>
    <row r="633" spans="1:7" ht="26.4" x14ac:dyDescent="0.25">
      <c r="A633" s="5">
        <f ca="1">IFERROR(__xludf.DUMMYFUNCTION("""COMPUTED_VALUE"""),900)</f>
        <v>900</v>
      </c>
      <c r="B633" s="5" t="str">
        <f ca="1">IFERROR(__xludf.DUMMYFUNCTION("""COMPUTED_VALUE"""),"Панов")</f>
        <v>Панов</v>
      </c>
      <c r="C633" s="5" t="str">
        <f ca="1">IFERROR(__xludf.DUMMYFUNCTION("""COMPUTED_VALUE"""),"Александр")</f>
        <v>Александр</v>
      </c>
      <c r="D633" s="5" t="str">
        <f ca="1">IFERROR(__xludf.DUMMYFUNCTION("""COMPUTED_VALUE"""),"Георгиевич")</f>
        <v>Георгиевич</v>
      </c>
      <c r="E633" s="5" t="str">
        <f ca="1">IFERROR(__xludf.DUMMYFUNCTION("""COMPUTED_VALUE"""),"Команда №3942")</f>
        <v>Команда №3942</v>
      </c>
      <c r="F633" s="6" t="str">
        <f ca="1">IFERROR(__xludf.DUMMYFUNCTION("""COMPUTED_VALUE"""),"Создание игрового ПО для ПК в в мультижанровом стиле.")</f>
        <v>Создание игрового ПО для ПК в в мультижанровом стиле.</v>
      </c>
      <c r="G633" s="7">
        <f ca="1">IFERROR(__xludf.DUMMYFUNCTION("""COMPUTED_VALUE"""),97)</f>
        <v>97</v>
      </c>
    </row>
    <row r="634" spans="1:7" ht="26.4" x14ac:dyDescent="0.25">
      <c r="A634" s="5">
        <f ca="1">IFERROR(__xludf.DUMMYFUNCTION("""COMPUTED_VALUE"""),1380)</f>
        <v>1380</v>
      </c>
      <c r="B634" s="5" t="str">
        <f ca="1">IFERROR(__xludf.DUMMYFUNCTION("""COMPUTED_VALUE"""),"Якутин")</f>
        <v>Якутин</v>
      </c>
      <c r="C634" s="5" t="str">
        <f ca="1">IFERROR(__xludf.DUMMYFUNCTION("""COMPUTED_VALUE"""),"Сергей")</f>
        <v>Сергей</v>
      </c>
      <c r="D634" s="5" t="str">
        <f ca="1">IFERROR(__xludf.DUMMYFUNCTION("""COMPUTED_VALUE"""),"Александрович")</f>
        <v>Александрович</v>
      </c>
      <c r="E634" s="5" t="str">
        <f ca="1">IFERROR(__xludf.DUMMYFUNCTION("""COMPUTED_VALUE"""),"Команда №3942")</f>
        <v>Команда №3942</v>
      </c>
      <c r="F634" s="6" t="str">
        <f ca="1">IFERROR(__xludf.DUMMYFUNCTION("""COMPUTED_VALUE"""),"Создание игрового ПО для ПК в в мультижанровом стиле.")</f>
        <v>Создание игрового ПО для ПК в в мультижанровом стиле.</v>
      </c>
      <c r="G634" s="7">
        <f ca="1">IFERROR(__xludf.DUMMYFUNCTION("""COMPUTED_VALUE"""),97)</f>
        <v>97</v>
      </c>
    </row>
    <row r="635" spans="1:7" ht="26.4" x14ac:dyDescent="0.25">
      <c r="A635" s="5">
        <f ca="1">IFERROR(__xludf.DUMMYFUNCTION("""COMPUTED_VALUE"""),141)</f>
        <v>141</v>
      </c>
      <c r="B635" s="5" t="str">
        <f ca="1">IFERROR(__xludf.DUMMYFUNCTION("""COMPUTED_VALUE"""),"Борискина")</f>
        <v>Борискина</v>
      </c>
      <c r="C635" s="5" t="str">
        <f ca="1">IFERROR(__xludf.DUMMYFUNCTION("""COMPUTED_VALUE"""),"Анастасия")</f>
        <v>Анастасия</v>
      </c>
      <c r="D635" s="5" t="str">
        <f ca="1">IFERROR(__xludf.DUMMYFUNCTION("""COMPUTED_VALUE"""),"Дмитриевна")</f>
        <v>Дмитриевна</v>
      </c>
      <c r="E635" s="5" t="str">
        <f ca="1">IFERROR(__xludf.DUMMYFUNCTION("""COMPUTED_VALUE"""),"Команда №3943")</f>
        <v>Команда №3943</v>
      </c>
      <c r="F635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35" s="7">
        <f ca="1">IFERROR(__xludf.DUMMYFUNCTION("""COMPUTED_VALUE"""),100)</f>
        <v>100</v>
      </c>
    </row>
    <row r="636" spans="1:7" ht="26.4" x14ac:dyDescent="0.25">
      <c r="A636" s="5">
        <f ca="1">IFERROR(__xludf.DUMMYFUNCTION("""COMPUTED_VALUE"""),713)</f>
        <v>713</v>
      </c>
      <c r="B636" s="5" t="str">
        <f ca="1">IFERROR(__xludf.DUMMYFUNCTION("""COMPUTED_VALUE"""),"Макаров")</f>
        <v>Макаров</v>
      </c>
      <c r="C636" s="5" t="str">
        <f ca="1">IFERROR(__xludf.DUMMYFUNCTION("""COMPUTED_VALUE"""),"Иван")</f>
        <v>Иван</v>
      </c>
      <c r="D636" s="5" t="str">
        <f ca="1">IFERROR(__xludf.DUMMYFUNCTION("""COMPUTED_VALUE"""),"Сергеевич")</f>
        <v>Сергеевич</v>
      </c>
      <c r="E636" s="5" t="str">
        <f ca="1">IFERROR(__xludf.DUMMYFUNCTION("""COMPUTED_VALUE"""),"Команда №3943")</f>
        <v>Команда №3943</v>
      </c>
      <c r="F636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36" s="7">
        <f ca="1">IFERROR(__xludf.DUMMYFUNCTION("""COMPUTED_VALUE"""),100)</f>
        <v>100</v>
      </c>
    </row>
    <row r="637" spans="1:7" ht="26.4" x14ac:dyDescent="0.25">
      <c r="A637" s="5">
        <f ca="1">IFERROR(__xludf.DUMMYFUNCTION("""COMPUTED_VALUE"""),758)</f>
        <v>758</v>
      </c>
      <c r="B637" s="5" t="str">
        <f ca="1">IFERROR(__xludf.DUMMYFUNCTION("""COMPUTED_VALUE"""),"Меркулов")</f>
        <v>Меркулов</v>
      </c>
      <c r="C637" s="5" t="str">
        <f ca="1">IFERROR(__xludf.DUMMYFUNCTION("""COMPUTED_VALUE"""),"Андрей")</f>
        <v>Андрей</v>
      </c>
      <c r="D637" s="5" t="str">
        <f ca="1">IFERROR(__xludf.DUMMYFUNCTION("""COMPUTED_VALUE"""),"Владимирович")</f>
        <v>Владимирович</v>
      </c>
      <c r="E637" s="5" t="str">
        <f ca="1">IFERROR(__xludf.DUMMYFUNCTION("""COMPUTED_VALUE"""),"Команда №3943")</f>
        <v>Команда №3943</v>
      </c>
      <c r="F637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37" s="7">
        <f ca="1">IFERROR(__xludf.DUMMYFUNCTION("""COMPUTED_VALUE"""),100)</f>
        <v>100</v>
      </c>
    </row>
    <row r="638" spans="1:7" ht="26.4" x14ac:dyDescent="0.25">
      <c r="A638" s="5">
        <f ca="1">IFERROR(__xludf.DUMMYFUNCTION("""COMPUTED_VALUE"""),1074)</f>
        <v>1074</v>
      </c>
      <c r="B638" s="5" t="str">
        <f ca="1">IFERROR(__xludf.DUMMYFUNCTION("""COMPUTED_VALUE"""),"Сковородников")</f>
        <v>Сковородников</v>
      </c>
      <c r="C638" s="5" t="str">
        <f ca="1">IFERROR(__xludf.DUMMYFUNCTION("""COMPUTED_VALUE"""),"Даниил")</f>
        <v>Даниил</v>
      </c>
      <c r="D638" s="5" t="str">
        <f ca="1">IFERROR(__xludf.DUMMYFUNCTION("""COMPUTED_VALUE"""),"Александрович")</f>
        <v>Александрович</v>
      </c>
      <c r="E638" s="5" t="str">
        <f ca="1">IFERROR(__xludf.DUMMYFUNCTION("""COMPUTED_VALUE"""),"Команда №3943")</f>
        <v>Команда №3943</v>
      </c>
      <c r="F638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638" s="7">
        <f ca="1">IFERROR(__xludf.DUMMYFUNCTION("""COMPUTED_VALUE"""),100)</f>
        <v>100</v>
      </c>
    </row>
    <row r="639" spans="1:7" ht="26.4" x14ac:dyDescent="0.25">
      <c r="A639" s="5">
        <f ca="1">IFERROR(__xludf.DUMMYFUNCTION("""COMPUTED_VALUE"""),66)</f>
        <v>66</v>
      </c>
      <c r="B639" s="5" t="str">
        <f ca="1">IFERROR(__xludf.DUMMYFUNCTION("""COMPUTED_VALUE"""),"Ахаимов")</f>
        <v>Ахаимов</v>
      </c>
      <c r="C639" s="5" t="str">
        <f ca="1">IFERROR(__xludf.DUMMYFUNCTION("""COMPUTED_VALUE"""),"Павел")</f>
        <v>Павел</v>
      </c>
      <c r="D639" s="5" t="str">
        <f ca="1">IFERROR(__xludf.DUMMYFUNCTION("""COMPUTED_VALUE"""),"Геннадьевич")</f>
        <v>Геннадьевич</v>
      </c>
      <c r="E639" s="5" t="str">
        <f ca="1">IFERROR(__xludf.DUMMYFUNCTION("""COMPUTED_VALUE"""),"Команда №3952")</f>
        <v>Команда №3952</v>
      </c>
      <c r="F639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639" s="7">
        <f ca="1">IFERROR(__xludf.DUMMYFUNCTION("""COMPUTED_VALUE"""),85)</f>
        <v>85</v>
      </c>
    </row>
    <row r="640" spans="1:7" ht="26.4" x14ac:dyDescent="0.25">
      <c r="A640" s="5">
        <f ca="1">IFERROR(__xludf.DUMMYFUNCTION("""COMPUTED_VALUE"""),332)</f>
        <v>332</v>
      </c>
      <c r="B640" s="5" t="str">
        <f ca="1">IFERROR(__xludf.DUMMYFUNCTION("""COMPUTED_VALUE"""),"Дорджеев")</f>
        <v>Дорджеев</v>
      </c>
      <c r="C640" s="5" t="str">
        <f ca="1">IFERROR(__xludf.DUMMYFUNCTION("""COMPUTED_VALUE"""),"Денис")</f>
        <v>Денис</v>
      </c>
      <c r="D640" s="5" t="str">
        <f ca="1">IFERROR(__xludf.DUMMYFUNCTION("""COMPUTED_VALUE"""),"Владимирович")</f>
        <v>Владимирович</v>
      </c>
      <c r="E640" s="5" t="str">
        <f ca="1">IFERROR(__xludf.DUMMYFUNCTION("""COMPUTED_VALUE"""),"Команда №3952")</f>
        <v>Команда №3952</v>
      </c>
      <c r="F640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640" s="7">
        <f ca="1">IFERROR(__xludf.DUMMYFUNCTION("""COMPUTED_VALUE"""),85)</f>
        <v>85</v>
      </c>
    </row>
    <row r="641" spans="1:7" ht="26.4" x14ac:dyDescent="0.25">
      <c r="A641" s="5">
        <f ca="1">IFERROR(__xludf.DUMMYFUNCTION("""COMPUTED_VALUE"""),639)</f>
        <v>639</v>
      </c>
      <c r="B641" s="5" t="str">
        <f ca="1">IFERROR(__xludf.DUMMYFUNCTION("""COMPUTED_VALUE"""),"Кулешов")</f>
        <v>Кулешов</v>
      </c>
      <c r="C641" s="5" t="str">
        <f ca="1">IFERROR(__xludf.DUMMYFUNCTION("""COMPUTED_VALUE"""),"Илья")</f>
        <v>Илья</v>
      </c>
      <c r="D641" s="5" t="str">
        <f ca="1">IFERROR(__xludf.DUMMYFUNCTION("""COMPUTED_VALUE"""),"Сергеевич")</f>
        <v>Сергеевич</v>
      </c>
      <c r="E641" s="5" t="str">
        <f ca="1">IFERROR(__xludf.DUMMYFUNCTION("""COMPUTED_VALUE"""),"Команда №3952")</f>
        <v>Команда №3952</v>
      </c>
      <c r="F641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641" s="7">
        <f ca="1">IFERROR(__xludf.DUMMYFUNCTION("""COMPUTED_VALUE"""),85)</f>
        <v>85</v>
      </c>
    </row>
    <row r="642" spans="1:7" ht="39.6" x14ac:dyDescent="0.25">
      <c r="A642" s="5">
        <f ca="1">IFERROR(__xludf.DUMMYFUNCTION("""COMPUTED_VALUE"""),559)</f>
        <v>559</v>
      </c>
      <c r="B642" s="5" t="str">
        <f ca="1">IFERROR(__xludf.DUMMYFUNCTION("""COMPUTED_VALUE"""),"Колчанов")</f>
        <v>Колчанов</v>
      </c>
      <c r="C642" s="5" t="str">
        <f ca="1">IFERROR(__xludf.DUMMYFUNCTION("""COMPUTED_VALUE"""),"Константин")</f>
        <v>Константин</v>
      </c>
      <c r="D642" s="5" t="str">
        <f ca="1">IFERROR(__xludf.DUMMYFUNCTION("""COMPUTED_VALUE"""),"Викторович")</f>
        <v>Викторович</v>
      </c>
      <c r="E642" s="5" t="str">
        <f ca="1">IFERROR(__xludf.DUMMYFUNCTION("""COMPUTED_VALUE"""),"Команда №3954")</f>
        <v>Команда №3954</v>
      </c>
      <c r="F642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642" s="7">
        <f ca="1">IFERROR(__xludf.DUMMYFUNCTION("""COMPUTED_VALUE"""),85)</f>
        <v>85</v>
      </c>
    </row>
    <row r="643" spans="1:7" ht="39.6" x14ac:dyDescent="0.25">
      <c r="A643" s="5">
        <f ca="1">IFERROR(__xludf.DUMMYFUNCTION("""COMPUTED_VALUE"""),571)</f>
        <v>571</v>
      </c>
      <c r="B643" s="5" t="str">
        <f ca="1">IFERROR(__xludf.DUMMYFUNCTION("""COMPUTED_VALUE"""),"Кононов")</f>
        <v>Кононов</v>
      </c>
      <c r="C643" s="5" t="str">
        <f ca="1">IFERROR(__xludf.DUMMYFUNCTION("""COMPUTED_VALUE"""),"Савелий")</f>
        <v>Савелий</v>
      </c>
      <c r="D643" s="5" t="str">
        <f ca="1">IFERROR(__xludf.DUMMYFUNCTION("""COMPUTED_VALUE"""),"Иванович")</f>
        <v>Иванович</v>
      </c>
      <c r="E643" s="5" t="str">
        <f ca="1">IFERROR(__xludf.DUMMYFUNCTION("""COMPUTED_VALUE"""),"Команда №3954")</f>
        <v>Команда №3954</v>
      </c>
      <c r="F643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643" s="7">
        <f ca="1">IFERROR(__xludf.DUMMYFUNCTION("""COMPUTED_VALUE"""),85)</f>
        <v>85</v>
      </c>
    </row>
    <row r="644" spans="1:7" ht="39.6" x14ac:dyDescent="0.25">
      <c r="A644" s="5">
        <f ca="1">IFERROR(__xludf.DUMMYFUNCTION("""COMPUTED_VALUE"""),914)</f>
        <v>914</v>
      </c>
      <c r="B644" s="5" t="str">
        <f ca="1">IFERROR(__xludf.DUMMYFUNCTION("""COMPUTED_VALUE"""),"Перепелкин")</f>
        <v>Перепелкин</v>
      </c>
      <c r="C644" s="5" t="str">
        <f ca="1">IFERROR(__xludf.DUMMYFUNCTION("""COMPUTED_VALUE"""),"Владимир")</f>
        <v>Владимир</v>
      </c>
      <c r="D644" s="5" t="str">
        <f ca="1">IFERROR(__xludf.DUMMYFUNCTION("""COMPUTED_VALUE"""),"Александрович")</f>
        <v>Александрович</v>
      </c>
      <c r="E644" s="5" t="str">
        <f ca="1">IFERROR(__xludf.DUMMYFUNCTION("""COMPUTED_VALUE"""),"Команда №3954")</f>
        <v>Команда №3954</v>
      </c>
      <c r="F644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644" s="7">
        <f ca="1">IFERROR(__xludf.DUMMYFUNCTION("""COMPUTED_VALUE"""),85)</f>
        <v>85</v>
      </c>
    </row>
    <row r="645" spans="1:7" ht="39.6" x14ac:dyDescent="0.25">
      <c r="A645" s="5">
        <f ca="1">IFERROR(__xludf.DUMMYFUNCTION("""COMPUTED_VALUE"""),1059)</f>
        <v>1059</v>
      </c>
      <c r="B645" s="5" t="str">
        <f ca="1">IFERROR(__xludf.DUMMYFUNCTION("""COMPUTED_VALUE"""),"Серов")</f>
        <v>Серов</v>
      </c>
      <c r="C645" s="5" t="str">
        <f ca="1">IFERROR(__xludf.DUMMYFUNCTION("""COMPUTED_VALUE"""),"Алексей")</f>
        <v>Алексей</v>
      </c>
      <c r="D645" s="5" t="str">
        <f ca="1">IFERROR(__xludf.DUMMYFUNCTION("""COMPUTED_VALUE"""),"Алексеевич")</f>
        <v>Алексеевич</v>
      </c>
      <c r="E645" s="5" t="str">
        <f ca="1">IFERROR(__xludf.DUMMYFUNCTION("""COMPUTED_VALUE"""),"Команда №3954")</f>
        <v>Команда №3954</v>
      </c>
      <c r="F645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645" s="7">
        <f ca="1">IFERROR(__xludf.DUMMYFUNCTION("""COMPUTED_VALUE"""),85)</f>
        <v>85</v>
      </c>
    </row>
    <row r="646" spans="1:7" ht="39.6" x14ac:dyDescent="0.25">
      <c r="A646" s="5">
        <f ca="1">IFERROR(__xludf.DUMMYFUNCTION("""COMPUTED_VALUE"""),1084)</f>
        <v>1084</v>
      </c>
      <c r="B646" s="5" t="str">
        <f ca="1">IFERROR(__xludf.DUMMYFUNCTION("""COMPUTED_VALUE"""),"Смирнов")</f>
        <v>Смирнов</v>
      </c>
      <c r="C646" s="5" t="str">
        <f ca="1">IFERROR(__xludf.DUMMYFUNCTION("""COMPUTED_VALUE"""),"Игорь")</f>
        <v>Игорь</v>
      </c>
      <c r="D646" s="5" t="str">
        <f ca="1">IFERROR(__xludf.DUMMYFUNCTION("""COMPUTED_VALUE"""),"Сергеевич")</f>
        <v>Сергеевич</v>
      </c>
      <c r="E646" s="5" t="str">
        <f ca="1">IFERROR(__xludf.DUMMYFUNCTION("""COMPUTED_VALUE"""),"Команда №3954")</f>
        <v>Команда №3954</v>
      </c>
      <c r="F646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646" s="7">
        <f ca="1">IFERROR(__xludf.DUMMYFUNCTION("""COMPUTED_VALUE"""),85)</f>
        <v>85</v>
      </c>
    </row>
    <row r="647" spans="1:7" ht="26.4" x14ac:dyDescent="0.25">
      <c r="A647" s="5">
        <f ca="1">IFERROR(__xludf.DUMMYFUNCTION("""COMPUTED_VALUE"""),105)</f>
        <v>105</v>
      </c>
      <c r="B647" s="5" t="str">
        <f ca="1">IFERROR(__xludf.DUMMYFUNCTION("""COMPUTED_VALUE"""),"Безбородов")</f>
        <v>Безбородов</v>
      </c>
      <c r="C647" s="5" t="str">
        <f ca="1">IFERROR(__xludf.DUMMYFUNCTION("""COMPUTED_VALUE"""),"Павел")</f>
        <v>Павел</v>
      </c>
      <c r="D647" s="5" t="str">
        <f ca="1">IFERROR(__xludf.DUMMYFUNCTION("""COMPUTED_VALUE"""),"Андреевич")</f>
        <v>Андреевич</v>
      </c>
      <c r="E647" s="5" t="str">
        <f ca="1">IFERROR(__xludf.DUMMYFUNCTION("""COMPUTED_VALUE"""),"Команда №3957")</f>
        <v>Команда №3957</v>
      </c>
      <c r="F647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47" s="7">
        <f ca="1">IFERROR(__xludf.DUMMYFUNCTION("""COMPUTED_VALUE"""),98)</f>
        <v>98</v>
      </c>
    </row>
    <row r="648" spans="1:7" ht="26.4" x14ac:dyDescent="0.25">
      <c r="A648" s="5">
        <f ca="1">IFERROR(__xludf.DUMMYFUNCTION("""COMPUTED_VALUE"""),466)</f>
        <v>466</v>
      </c>
      <c r="B648" s="5" t="str">
        <f ca="1">IFERROR(__xludf.DUMMYFUNCTION("""COMPUTED_VALUE"""),"Иманкулов")</f>
        <v>Иманкулов</v>
      </c>
      <c r="C648" s="5" t="str">
        <f ca="1">IFERROR(__xludf.DUMMYFUNCTION("""COMPUTED_VALUE"""),"Артур")</f>
        <v>Артур</v>
      </c>
      <c r="D648" s="5" t="str">
        <f ca="1">IFERROR(__xludf.DUMMYFUNCTION("""COMPUTED_VALUE"""),"Александрович")</f>
        <v>Александрович</v>
      </c>
      <c r="E648" s="5" t="str">
        <f ca="1">IFERROR(__xludf.DUMMYFUNCTION("""COMPUTED_VALUE"""),"Команда №3957")</f>
        <v>Команда №3957</v>
      </c>
      <c r="F648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48" s="7">
        <f ca="1">IFERROR(__xludf.DUMMYFUNCTION("""COMPUTED_VALUE"""),98)</f>
        <v>98</v>
      </c>
    </row>
    <row r="649" spans="1:7" ht="26.4" x14ac:dyDescent="0.25">
      <c r="A649" s="5">
        <f ca="1">IFERROR(__xludf.DUMMYFUNCTION("""COMPUTED_VALUE"""),969)</f>
        <v>969</v>
      </c>
      <c r="B649" s="5" t="str">
        <f ca="1">IFERROR(__xludf.DUMMYFUNCTION("""COMPUTED_VALUE"""),"Проханов")</f>
        <v>Проханов</v>
      </c>
      <c r="C649" s="5" t="str">
        <f ca="1">IFERROR(__xludf.DUMMYFUNCTION("""COMPUTED_VALUE"""),"Георгий")</f>
        <v>Георгий</v>
      </c>
      <c r="D649" s="5" t="str">
        <f ca="1">IFERROR(__xludf.DUMMYFUNCTION("""COMPUTED_VALUE"""),"Олегович")</f>
        <v>Олегович</v>
      </c>
      <c r="E649" s="5" t="str">
        <f ca="1">IFERROR(__xludf.DUMMYFUNCTION("""COMPUTED_VALUE"""),"Команда №3957")</f>
        <v>Команда №3957</v>
      </c>
      <c r="F649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49" s="7">
        <f ca="1">IFERROR(__xludf.DUMMYFUNCTION("""COMPUTED_VALUE"""),98)</f>
        <v>98</v>
      </c>
    </row>
    <row r="650" spans="1:7" ht="26.4" x14ac:dyDescent="0.25">
      <c r="A650" s="5">
        <f ca="1">IFERROR(__xludf.DUMMYFUNCTION("""COMPUTED_VALUE"""),1255)</f>
        <v>1255</v>
      </c>
      <c r="B650" s="5" t="str">
        <f ca="1">IFERROR(__xludf.DUMMYFUNCTION("""COMPUTED_VALUE"""),"Хомуськов")</f>
        <v>Хомуськов</v>
      </c>
      <c r="C650" s="5" t="str">
        <f ca="1">IFERROR(__xludf.DUMMYFUNCTION("""COMPUTED_VALUE"""),"Арсений")</f>
        <v>Арсений</v>
      </c>
      <c r="D650" s="5" t="str">
        <f ca="1">IFERROR(__xludf.DUMMYFUNCTION("""COMPUTED_VALUE"""),"Иванович")</f>
        <v>Иванович</v>
      </c>
      <c r="E650" s="5" t="str">
        <f ca="1">IFERROR(__xludf.DUMMYFUNCTION("""COMPUTED_VALUE"""),"Команда №3957")</f>
        <v>Команда №3957</v>
      </c>
      <c r="F650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50" s="7">
        <f ca="1">IFERROR(__xludf.DUMMYFUNCTION("""COMPUTED_VALUE"""),98)</f>
        <v>98</v>
      </c>
    </row>
    <row r="651" spans="1:7" ht="26.4" x14ac:dyDescent="0.25">
      <c r="A651" s="5">
        <f ca="1">IFERROR(__xludf.DUMMYFUNCTION("""COMPUTED_VALUE"""),1256)</f>
        <v>1256</v>
      </c>
      <c r="B651" s="5" t="str">
        <f ca="1">IFERROR(__xludf.DUMMYFUNCTION("""COMPUTED_VALUE"""),"Худорожкова")</f>
        <v>Худорожкова</v>
      </c>
      <c r="C651" s="5" t="str">
        <f ca="1">IFERROR(__xludf.DUMMYFUNCTION("""COMPUTED_VALUE"""),"Екатерина")</f>
        <v>Екатерина</v>
      </c>
      <c r="D651" s="5" t="str">
        <f ca="1">IFERROR(__xludf.DUMMYFUNCTION("""COMPUTED_VALUE"""),"Дмитриевна")</f>
        <v>Дмитриевна</v>
      </c>
      <c r="E651" s="5" t="str">
        <f ca="1">IFERROR(__xludf.DUMMYFUNCTION("""COMPUTED_VALUE"""),"Команда №3957")</f>
        <v>Команда №3957</v>
      </c>
      <c r="F651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51" s="7">
        <f ca="1">IFERROR(__xludf.DUMMYFUNCTION("""COMPUTED_VALUE"""),98)</f>
        <v>98</v>
      </c>
    </row>
    <row r="652" spans="1:7" ht="13.2" x14ac:dyDescent="0.25">
      <c r="A652" s="5">
        <f ca="1">IFERROR(__xludf.DUMMYFUNCTION("""COMPUTED_VALUE"""),316)</f>
        <v>316</v>
      </c>
      <c r="B652" s="5" t="str">
        <f ca="1">IFERROR(__xludf.DUMMYFUNCTION("""COMPUTED_VALUE"""),"Джигиль")</f>
        <v>Джигиль</v>
      </c>
      <c r="C652" s="5" t="str">
        <f ca="1">IFERROR(__xludf.DUMMYFUNCTION("""COMPUTED_VALUE"""),"Максим")</f>
        <v>Максим</v>
      </c>
      <c r="D652" s="5" t="str">
        <f ca="1">IFERROR(__xludf.DUMMYFUNCTION("""COMPUTED_VALUE"""),"Алексеевич")</f>
        <v>Алексеевич</v>
      </c>
      <c r="E652" s="5" t="str">
        <f ca="1">IFERROR(__xludf.DUMMYFUNCTION("""COMPUTED_VALUE"""),"Команда №3958")</f>
        <v>Команда №3958</v>
      </c>
      <c r="F652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652" s="7">
        <f ca="1">IFERROR(__xludf.DUMMYFUNCTION("""COMPUTED_VALUE"""),98)</f>
        <v>98</v>
      </c>
    </row>
    <row r="653" spans="1:7" ht="13.2" x14ac:dyDescent="0.25">
      <c r="A653" s="5">
        <f ca="1">IFERROR(__xludf.DUMMYFUNCTION("""COMPUTED_VALUE"""),611)</f>
        <v>611</v>
      </c>
      <c r="B653" s="5" t="str">
        <f ca="1">IFERROR(__xludf.DUMMYFUNCTION("""COMPUTED_VALUE"""),"Кривоногов")</f>
        <v>Кривоногов</v>
      </c>
      <c r="C653" s="5" t="str">
        <f ca="1">IFERROR(__xludf.DUMMYFUNCTION("""COMPUTED_VALUE"""),"Илья")</f>
        <v>Илья</v>
      </c>
      <c r="D653" s="5" t="str">
        <f ca="1">IFERROR(__xludf.DUMMYFUNCTION("""COMPUTED_VALUE"""),"Владимирович")</f>
        <v>Владимирович</v>
      </c>
      <c r="E653" s="5" t="str">
        <f ca="1">IFERROR(__xludf.DUMMYFUNCTION("""COMPUTED_VALUE"""),"Команда №3958")</f>
        <v>Команда №3958</v>
      </c>
      <c r="F653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653" s="7">
        <f ca="1">IFERROR(__xludf.DUMMYFUNCTION("""COMPUTED_VALUE"""),98)</f>
        <v>98</v>
      </c>
    </row>
    <row r="654" spans="1:7" ht="13.2" x14ac:dyDescent="0.25">
      <c r="A654" s="5">
        <f ca="1">IFERROR(__xludf.DUMMYFUNCTION("""COMPUTED_VALUE"""),708)</f>
        <v>708</v>
      </c>
      <c r="B654" s="5" t="str">
        <f ca="1">IFERROR(__xludf.DUMMYFUNCTION("""COMPUTED_VALUE"""),"Майкенов")</f>
        <v>Майкенов</v>
      </c>
      <c r="C654" s="5" t="str">
        <f ca="1">IFERROR(__xludf.DUMMYFUNCTION("""COMPUTED_VALUE"""),"Максут")</f>
        <v>Максут</v>
      </c>
      <c r="D654" s="5" t="str">
        <f ca="1">IFERROR(__xludf.DUMMYFUNCTION("""COMPUTED_VALUE"""),"Суиндыкович")</f>
        <v>Суиндыкович</v>
      </c>
      <c r="E654" s="5" t="str">
        <f ca="1">IFERROR(__xludf.DUMMYFUNCTION("""COMPUTED_VALUE"""),"Команда №3958")</f>
        <v>Команда №3958</v>
      </c>
      <c r="F654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654" s="7">
        <f ca="1">IFERROR(__xludf.DUMMYFUNCTION("""COMPUTED_VALUE"""),98)</f>
        <v>98</v>
      </c>
    </row>
    <row r="655" spans="1:7" ht="13.2" x14ac:dyDescent="0.25">
      <c r="A655" s="5">
        <f ca="1">IFERROR(__xludf.DUMMYFUNCTION("""COMPUTED_VALUE"""),728)</f>
        <v>728</v>
      </c>
      <c r="B655" s="5" t="str">
        <f ca="1">IFERROR(__xludf.DUMMYFUNCTION("""COMPUTED_VALUE"""),"Марков")</f>
        <v>Марков</v>
      </c>
      <c r="C655" s="5" t="str">
        <f ca="1">IFERROR(__xludf.DUMMYFUNCTION("""COMPUTED_VALUE"""),"Виктор")</f>
        <v>Виктор</v>
      </c>
      <c r="D655" s="5" t="str">
        <f ca="1">IFERROR(__xludf.DUMMYFUNCTION("""COMPUTED_VALUE"""),"Андреевич")</f>
        <v>Андреевич</v>
      </c>
      <c r="E655" s="5" t="str">
        <f ca="1">IFERROR(__xludf.DUMMYFUNCTION("""COMPUTED_VALUE"""),"Команда №3958")</f>
        <v>Команда №3958</v>
      </c>
      <c r="F655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655" s="7">
        <f ca="1">IFERROR(__xludf.DUMMYFUNCTION("""COMPUTED_VALUE"""),98)</f>
        <v>98</v>
      </c>
    </row>
    <row r="656" spans="1:7" ht="13.2" x14ac:dyDescent="0.25">
      <c r="A656" s="5">
        <f ca="1">IFERROR(__xludf.DUMMYFUNCTION("""COMPUTED_VALUE"""),1151)</f>
        <v>1151</v>
      </c>
      <c r="B656" s="5" t="str">
        <f ca="1">IFERROR(__xludf.DUMMYFUNCTION("""COMPUTED_VALUE"""),"Терещенко")</f>
        <v>Терещенко</v>
      </c>
      <c r="C656" s="5" t="str">
        <f ca="1">IFERROR(__xludf.DUMMYFUNCTION("""COMPUTED_VALUE"""),"Макар")</f>
        <v>Макар</v>
      </c>
      <c r="D656" s="5" t="str">
        <f ca="1">IFERROR(__xludf.DUMMYFUNCTION("""COMPUTED_VALUE"""),"Валерьевич")</f>
        <v>Валерьевич</v>
      </c>
      <c r="E656" s="5" t="str">
        <f ca="1">IFERROR(__xludf.DUMMYFUNCTION("""COMPUTED_VALUE"""),"Команда №3958")</f>
        <v>Команда №3958</v>
      </c>
      <c r="F656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656" s="7">
        <f ca="1">IFERROR(__xludf.DUMMYFUNCTION("""COMPUTED_VALUE"""),98)</f>
        <v>98</v>
      </c>
    </row>
    <row r="657" spans="1:7" ht="39.6" x14ac:dyDescent="0.25">
      <c r="A657" s="5">
        <f ca="1">IFERROR(__xludf.DUMMYFUNCTION("""COMPUTED_VALUE"""),373)</f>
        <v>373</v>
      </c>
      <c r="B657" s="5" t="str">
        <f ca="1">IFERROR(__xludf.DUMMYFUNCTION("""COMPUTED_VALUE"""),"Ермаков")</f>
        <v>Ермаков</v>
      </c>
      <c r="C657" s="5" t="str">
        <f ca="1">IFERROR(__xludf.DUMMYFUNCTION("""COMPUTED_VALUE"""),"Денис")</f>
        <v>Денис</v>
      </c>
      <c r="D657" s="5" t="str">
        <f ca="1">IFERROR(__xludf.DUMMYFUNCTION("""COMPUTED_VALUE"""),"Александрович")</f>
        <v>Александрович</v>
      </c>
      <c r="E657" s="5" t="str">
        <f ca="1">IFERROR(__xludf.DUMMYFUNCTION("""COMPUTED_VALUE"""),"Команда №3959")</f>
        <v>Команда №3959</v>
      </c>
      <c r="F657" s="6" t="str">
        <f ca="1">IFERROR(__xludf.DUMMYFUNCTION("""COMPUTED_VALUE"""),"Разработка алгоритма, позволяющего обнаружить фейковые сайты в публичном доступе")</f>
        <v>Разработка алгоритма, позволяющего обнаружить фейковые сайты в публичном доступе</v>
      </c>
      <c r="G657" s="7">
        <f ca="1">IFERROR(__xludf.DUMMYFUNCTION("""COMPUTED_VALUE"""),98)</f>
        <v>98</v>
      </c>
    </row>
    <row r="658" spans="1:7" ht="39.6" x14ac:dyDescent="0.25">
      <c r="A658" s="5">
        <f ca="1">IFERROR(__xludf.DUMMYFUNCTION("""COMPUTED_VALUE"""),670)</f>
        <v>670</v>
      </c>
      <c r="B658" s="5" t="str">
        <f ca="1">IFERROR(__xludf.DUMMYFUNCTION("""COMPUTED_VALUE"""),"Лебедев")</f>
        <v>Лебедев</v>
      </c>
      <c r="C658" s="5" t="str">
        <f ca="1">IFERROR(__xludf.DUMMYFUNCTION("""COMPUTED_VALUE"""),"Артём")</f>
        <v>Артём</v>
      </c>
      <c r="D658" s="5" t="str">
        <f ca="1">IFERROR(__xludf.DUMMYFUNCTION("""COMPUTED_VALUE"""),"Викторович")</f>
        <v>Викторович</v>
      </c>
      <c r="E658" s="5" t="str">
        <f ca="1">IFERROR(__xludf.DUMMYFUNCTION("""COMPUTED_VALUE"""),"Команда №3959")</f>
        <v>Команда №3959</v>
      </c>
      <c r="F658" s="6" t="str">
        <f ca="1">IFERROR(__xludf.DUMMYFUNCTION("""COMPUTED_VALUE"""),"Разработка алгоритма, позволяющего обнаружить фейковые сайты в публичном доступе")</f>
        <v>Разработка алгоритма, позволяющего обнаружить фейковые сайты в публичном доступе</v>
      </c>
      <c r="G658" s="7">
        <f ca="1">IFERROR(__xludf.DUMMYFUNCTION("""COMPUTED_VALUE"""),98)</f>
        <v>98</v>
      </c>
    </row>
    <row r="659" spans="1:7" ht="39.6" x14ac:dyDescent="0.25">
      <c r="A659" s="5">
        <f ca="1">IFERROR(__xludf.DUMMYFUNCTION("""COMPUTED_VALUE"""),698)</f>
        <v>698</v>
      </c>
      <c r="B659" s="5" t="str">
        <f ca="1">IFERROR(__xludf.DUMMYFUNCTION("""COMPUTED_VALUE"""),"Лысенко")</f>
        <v>Лысенко</v>
      </c>
      <c r="C659" s="5" t="str">
        <f ca="1">IFERROR(__xludf.DUMMYFUNCTION("""COMPUTED_VALUE"""),"Кристина")</f>
        <v>Кристина</v>
      </c>
      <c r="D659" s="5" t="str">
        <f ca="1">IFERROR(__xludf.DUMMYFUNCTION("""COMPUTED_VALUE"""),"Павловна")</f>
        <v>Павловна</v>
      </c>
      <c r="E659" s="5" t="str">
        <f ca="1">IFERROR(__xludf.DUMMYFUNCTION("""COMPUTED_VALUE"""),"Команда №3959")</f>
        <v>Команда №3959</v>
      </c>
      <c r="F659" s="6" t="str">
        <f ca="1">IFERROR(__xludf.DUMMYFUNCTION("""COMPUTED_VALUE"""),"Разработка алгоритма, позволяющего обнаружить фейковые сайты в публичном доступе")</f>
        <v>Разработка алгоритма, позволяющего обнаружить фейковые сайты в публичном доступе</v>
      </c>
      <c r="G659" s="7">
        <f ca="1">IFERROR(__xludf.DUMMYFUNCTION("""COMPUTED_VALUE"""),98)</f>
        <v>98</v>
      </c>
    </row>
    <row r="660" spans="1:7" ht="39.6" x14ac:dyDescent="0.25">
      <c r="A660" s="5">
        <f ca="1">IFERROR(__xludf.DUMMYFUNCTION("""COMPUTED_VALUE"""),799)</f>
        <v>799</v>
      </c>
      <c r="B660" s="5" t="str">
        <f ca="1">IFERROR(__xludf.DUMMYFUNCTION("""COMPUTED_VALUE"""),"Мурыгин")</f>
        <v>Мурыгин</v>
      </c>
      <c r="C660" s="5" t="str">
        <f ca="1">IFERROR(__xludf.DUMMYFUNCTION("""COMPUTED_VALUE"""),"Константин")</f>
        <v>Константин</v>
      </c>
      <c r="D660" s="5" t="str">
        <f ca="1">IFERROR(__xludf.DUMMYFUNCTION("""COMPUTED_VALUE"""),"Александрович")</f>
        <v>Александрович</v>
      </c>
      <c r="E660" s="5" t="str">
        <f ca="1">IFERROR(__xludf.DUMMYFUNCTION("""COMPUTED_VALUE"""),"Команда №3959")</f>
        <v>Команда №3959</v>
      </c>
      <c r="F660" s="6" t="str">
        <f ca="1">IFERROR(__xludf.DUMMYFUNCTION("""COMPUTED_VALUE"""),"Разработка алгоритма, позволяющего обнаружить фейковые сайты в публичном доступе")</f>
        <v>Разработка алгоритма, позволяющего обнаружить фейковые сайты в публичном доступе</v>
      </c>
      <c r="G660" s="7">
        <f ca="1">IFERROR(__xludf.DUMMYFUNCTION("""COMPUTED_VALUE"""),98)</f>
        <v>98</v>
      </c>
    </row>
    <row r="661" spans="1:7" ht="39.6" x14ac:dyDescent="0.25">
      <c r="A661" s="5">
        <f ca="1">IFERROR(__xludf.DUMMYFUNCTION("""COMPUTED_VALUE"""),1118)</f>
        <v>1118</v>
      </c>
      <c r="B661" s="5" t="str">
        <f ca="1">IFERROR(__xludf.DUMMYFUNCTION("""COMPUTED_VALUE"""),"Степанов")</f>
        <v>Степанов</v>
      </c>
      <c r="C661" s="5" t="str">
        <f ca="1">IFERROR(__xludf.DUMMYFUNCTION("""COMPUTED_VALUE"""),"Вадим")</f>
        <v>Вадим</v>
      </c>
      <c r="D661" s="5" t="str">
        <f ca="1">IFERROR(__xludf.DUMMYFUNCTION("""COMPUTED_VALUE"""),"Витальевич")</f>
        <v>Витальевич</v>
      </c>
      <c r="E661" s="5" t="str">
        <f ca="1">IFERROR(__xludf.DUMMYFUNCTION("""COMPUTED_VALUE"""),"Команда №3959")</f>
        <v>Команда №3959</v>
      </c>
      <c r="F661" s="6" t="str">
        <f ca="1">IFERROR(__xludf.DUMMYFUNCTION("""COMPUTED_VALUE"""),"Разработка алгоритма, позволяющего обнаружить фейковые сайты в публичном доступе")</f>
        <v>Разработка алгоритма, позволяющего обнаружить фейковые сайты в публичном доступе</v>
      </c>
      <c r="G661" s="7">
        <f ca="1">IFERROR(__xludf.DUMMYFUNCTION("""COMPUTED_VALUE"""),98)</f>
        <v>98</v>
      </c>
    </row>
    <row r="662" spans="1:7" ht="26.4" x14ac:dyDescent="0.25">
      <c r="A662" s="5">
        <f ca="1">IFERROR(__xludf.DUMMYFUNCTION("""COMPUTED_VALUE"""),454)</f>
        <v>454</v>
      </c>
      <c r="B662" s="5" t="str">
        <f ca="1">IFERROR(__xludf.DUMMYFUNCTION("""COMPUTED_VALUE"""),"Иванов")</f>
        <v>Иванов</v>
      </c>
      <c r="C662" s="5" t="str">
        <f ca="1">IFERROR(__xludf.DUMMYFUNCTION("""COMPUTED_VALUE"""),"Никита")</f>
        <v>Никита</v>
      </c>
      <c r="D662" s="5" t="str">
        <f ca="1">IFERROR(__xludf.DUMMYFUNCTION("""COMPUTED_VALUE"""),"Алексеевич")</f>
        <v>Алексеевич</v>
      </c>
      <c r="E662" s="5" t="str">
        <f ca="1">IFERROR(__xludf.DUMMYFUNCTION("""COMPUTED_VALUE"""),"Команда №3964(StackTakeTeam)")</f>
        <v>Команда №3964(StackTakeTeam)</v>
      </c>
      <c r="F662" s="6" t="str">
        <f ca="1">IFERROR(__xludf.DUMMYFUNCTION("""COMPUTED_VALUE"""),"Разработка информационной системы для инвентаризации вычислительных устройств")</f>
        <v>Разработка информационной системы для инвентаризации вычислительных устройств</v>
      </c>
      <c r="G662" s="7">
        <f ca="1">IFERROR(__xludf.DUMMYFUNCTION("""COMPUTED_VALUE"""),85)</f>
        <v>85</v>
      </c>
    </row>
    <row r="663" spans="1:7" ht="26.4" x14ac:dyDescent="0.25">
      <c r="A663" s="5">
        <f ca="1">IFERROR(__xludf.DUMMYFUNCTION("""COMPUTED_VALUE"""),534)</f>
        <v>534</v>
      </c>
      <c r="B663" s="5" t="str">
        <f ca="1">IFERROR(__xludf.DUMMYFUNCTION("""COMPUTED_VALUE"""),"Коваленко")</f>
        <v>Коваленко</v>
      </c>
      <c r="C663" s="5" t="str">
        <f ca="1">IFERROR(__xludf.DUMMYFUNCTION("""COMPUTED_VALUE"""),"Даниил")</f>
        <v>Даниил</v>
      </c>
      <c r="D663" s="5" t="str">
        <f ca="1">IFERROR(__xludf.DUMMYFUNCTION("""COMPUTED_VALUE"""),"Антонович")</f>
        <v>Антонович</v>
      </c>
      <c r="E663" s="5" t="str">
        <f ca="1">IFERROR(__xludf.DUMMYFUNCTION("""COMPUTED_VALUE"""),"Команда №3964(StackTakeTeam)")</f>
        <v>Команда №3964(StackTakeTeam)</v>
      </c>
      <c r="F663" s="6" t="str">
        <f ca="1">IFERROR(__xludf.DUMMYFUNCTION("""COMPUTED_VALUE"""),"Разработка информационной системы для инвентаризации вычислительных устройств")</f>
        <v>Разработка информационной системы для инвентаризации вычислительных устройств</v>
      </c>
      <c r="G663" s="7">
        <f ca="1">IFERROR(__xludf.DUMMYFUNCTION("""COMPUTED_VALUE"""),85)</f>
        <v>85</v>
      </c>
    </row>
    <row r="664" spans="1:7" ht="26.4" x14ac:dyDescent="0.25">
      <c r="A664" s="5">
        <f ca="1">IFERROR(__xludf.DUMMYFUNCTION("""COMPUTED_VALUE"""),891)</f>
        <v>891</v>
      </c>
      <c r="B664" s="5" t="str">
        <f ca="1">IFERROR(__xludf.DUMMYFUNCTION("""COMPUTED_VALUE"""),"Ослина")</f>
        <v>Ослина</v>
      </c>
      <c r="C664" s="5" t="str">
        <f ca="1">IFERROR(__xludf.DUMMYFUNCTION("""COMPUTED_VALUE"""),"Анастасия")</f>
        <v>Анастасия</v>
      </c>
      <c r="D664" s="5" t="str">
        <f ca="1">IFERROR(__xludf.DUMMYFUNCTION("""COMPUTED_VALUE"""),"Александровна")</f>
        <v>Александровна</v>
      </c>
      <c r="E664" s="5" t="str">
        <f ca="1">IFERROR(__xludf.DUMMYFUNCTION("""COMPUTED_VALUE"""),"Команда №3964(StackTakeTeam)")</f>
        <v>Команда №3964(StackTakeTeam)</v>
      </c>
      <c r="F664" s="6" t="str">
        <f ca="1">IFERROR(__xludf.DUMMYFUNCTION("""COMPUTED_VALUE"""),"Разработка информационной системы для инвентаризации вычислительных устройств")</f>
        <v>Разработка информационной системы для инвентаризации вычислительных устройств</v>
      </c>
      <c r="G664" s="7">
        <f ca="1">IFERROR(__xludf.DUMMYFUNCTION("""COMPUTED_VALUE"""),85)</f>
        <v>85</v>
      </c>
    </row>
    <row r="665" spans="1:7" ht="26.4" x14ac:dyDescent="0.25">
      <c r="A665" s="5">
        <f ca="1">IFERROR(__xludf.DUMMYFUNCTION("""COMPUTED_VALUE"""),1108)</f>
        <v>1108</v>
      </c>
      <c r="B665" s="5" t="str">
        <f ca="1">IFERROR(__xludf.DUMMYFUNCTION("""COMPUTED_VALUE"""),"Сорвачева")</f>
        <v>Сорвачева</v>
      </c>
      <c r="C665" s="5" t="str">
        <f ca="1">IFERROR(__xludf.DUMMYFUNCTION("""COMPUTED_VALUE"""),"Екатерина")</f>
        <v>Екатерина</v>
      </c>
      <c r="D665" s="5" t="str">
        <f ca="1">IFERROR(__xludf.DUMMYFUNCTION("""COMPUTED_VALUE"""),"Станиславовна")</f>
        <v>Станиславовна</v>
      </c>
      <c r="E665" s="5" t="str">
        <f ca="1">IFERROR(__xludf.DUMMYFUNCTION("""COMPUTED_VALUE"""),"Команда №3964(StackTakeTeam)")</f>
        <v>Команда №3964(StackTakeTeam)</v>
      </c>
      <c r="F665" s="6" t="str">
        <f ca="1">IFERROR(__xludf.DUMMYFUNCTION("""COMPUTED_VALUE"""),"Разработка информационной системы для инвентаризации вычислительных устройств")</f>
        <v>Разработка информационной системы для инвентаризации вычислительных устройств</v>
      </c>
      <c r="G665" s="7">
        <f ca="1">IFERROR(__xludf.DUMMYFUNCTION("""COMPUTED_VALUE"""),85)</f>
        <v>85</v>
      </c>
    </row>
    <row r="666" spans="1:7" ht="26.4" x14ac:dyDescent="0.25">
      <c r="A666" s="5">
        <f ca="1">IFERROR(__xludf.DUMMYFUNCTION("""COMPUTED_VALUE"""),1350)</f>
        <v>1350</v>
      </c>
      <c r="B666" s="5" t="str">
        <f ca="1">IFERROR(__xludf.DUMMYFUNCTION("""COMPUTED_VALUE"""),"Шумаков")</f>
        <v>Шумаков</v>
      </c>
      <c r="C666" s="5" t="str">
        <f ca="1">IFERROR(__xludf.DUMMYFUNCTION("""COMPUTED_VALUE"""),"Глеб")</f>
        <v>Глеб</v>
      </c>
      <c r="D666" s="5" t="str">
        <f ca="1">IFERROR(__xludf.DUMMYFUNCTION("""COMPUTED_VALUE"""),"Николаевич")</f>
        <v>Николаевич</v>
      </c>
      <c r="E666" s="5" t="str">
        <f ca="1">IFERROR(__xludf.DUMMYFUNCTION("""COMPUTED_VALUE"""),"Команда №3964(StackTakeTeam)")</f>
        <v>Команда №3964(StackTakeTeam)</v>
      </c>
      <c r="F666" s="6" t="str">
        <f ca="1">IFERROR(__xludf.DUMMYFUNCTION("""COMPUTED_VALUE"""),"Разработка информационной системы для инвентаризации вычислительных устройств")</f>
        <v>Разработка информационной системы для инвентаризации вычислительных устройств</v>
      </c>
      <c r="G666" s="7">
        <f ca="1">IFERROR(__xludf.DUMMYFUNCTION("""COMPUTED_VALUE"""),85)</f>
        <v>85</v>
      </c>
    </row>
    <row r="667" spans="1:7" ht="13.2" x14ac:dyDescent="0.25">
      <c r="A667" s="5">
        <f ca="1">IFERROR(__xludf.DUMMYFUNCTION("""COMPUTED_VALUE"""),101)</f>
        <v>101</v>
      </c>
      <c r="B667" s="5" t="str">
        <f ca="1">IFERROR(__xludf.DUMMYFUNCTION("""COMPUTED_VALUE"""),"Баязитова")</f>
        <v>Баязитова</v>
      </c>
      <c r="C667" s="5" t="str">
        <f ca="1">IFERROR(__xludf.DUMMYFUNCTION("""COMPUTED_VALUE"""),"Алина")</f>
        <v>Алина</v>
      </c>
      <c r="D667" s="5" t="str">
        <f ca="1">IFERROR(__xludf.DUMMYFUNCTION("""COMPUTED_VALUE"""),"Игоревна")</f>
        <v>Игоревна</v>
      </c>
      <c r="E667" s="5" t="str">
        <f ca="1">IFERROR(__xludf.DUMMYFUNCTION("""COMPUTED_VALUE"""),"Команда №3968")</f>
        <v>Команда №3968</v>
      </c>
      <c r="F667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667" s="7">
        <f ca="1">IFERROR(__xludf.DUMMYFUNCTION("""COMPUTED_VALUE"""),85)</f>
        <v>85</v>
      </c>
    </row>
    <row r="668" spans="1:7" ht="13.2" x14ac:dyDescent="0.25">
      <c r="A668" s="5">
        <f ca="1">IFERROR(__xludf.DUMMYFUNCTION("""COMPUTED_VALUE"""),446)</f>
        <v>446</v>
      </c>
      <c r="B668" s="5" t="str">
        <f ca="1">IFERROR(__xludf.DUMMYFUNCTION("""COMPUTED_VALUE"""),"Ибатов")</f>
        <v>Ибатов</v>
      </c>
      <c r="C668" s="5" t="str">
        <f ca="1">IFERROR(__xludf.DUMMYFUNCTION("""COMPUTED_VALUE"""),"Эрнест")</f>
        <v>Эрнест</v>
      </c>
      <c r="D668" s="5" t="str">
        <f ca="1">IFERROR(__xludf.DUMMYFUNCTION("""COMPUTED_VALUE"""),"Эмильевич")</f>
        <v>Эмильевич</v>
      </c>
      <c r="E668" s="5" t="str">
        <f ca="1">IFERROR(__xludf.DUMMYFUNCTION("""COMPUTED_VALUE"""),"Команда №3968")</f>
        <v>Команда №3968</v>
      </c>
      <c r="F668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668" s="7">
        <f ca="1">IFERROR(__xludf.DUMMYFUNCTION("""COMPUTED_VALUE"""),85)</f>
        <v>85</v>
      </c>
    </row>
    <row r="669" spans="1:7" ht="13.2" x14ac:dyDescent="0.25">
      <c r="A669" s="5">
        <f ca="1">IFERROR(__xludf.DUMMYFUNCTION("""COMPUTED_VALUE"""),483)</f>
        <v>483</v>
      </c>
      <c r="B669" s="5" t="str">
        <f ca="1">IFERROR(__xludf.DUMMYFUNCTION("""COMPUTED_VALUE"""),"Казуров")</f>
        <v>Казуров</v>
      </c>
      <c r="C669" s="5" t="str">
        <f ca="1">IFERROR(__xludf.DUMMYFUNCTION("""COMPUTED_VALUE"""),"Егор")</f>
        <v>Егор</v>
      </c>
      <c r="D669" s="5" t="str">
        <f ca="1">IFERROR(__xludf.DUMMYFUNCTION("""COMPUTED_VALUE"""),"Андреевич")</f>
        <v>Андреевич</v>
      </c>
      <c r="E669" s="5" t="str">
        <f ca="1">IFERROR(__xludf.DUMMYFUNCTION("""COMPUTED_VALUE"""),"Команда №3968")</f>
        <v>Команда №3968</v>
      </c>
      <c r="F669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669" s="7">
        <f ca="1">IFERROR(__xludf.DUMMYFUNCTION("""COMPUTED_VALUE"""),85)</f>
        <v>85</v>
      </c>
    </row>
    <row r="670" spans="1:7" ht="13.2" x14ac:dyDescent="0.25">
      <c r="A670" s="5">
        <f ca="1">IFERROR(__xludf.DUMMYFUNCTION("""COMPUTED_VALUE"""),580)</f>
        <v>580</v>
      </c>
      <c r="B670" s="5" t="str">
        <f ca="1">IFERROR(__xludf.DUMMYFUNCTION("""COMPUTED_VALUE"""),"Корелина")</f>
        <v>Корелина</v>
      </c>
      <c r="C670" s="5" t="str">
        <f ca="1">IFERROR(__xludf.DUMMYFUNCTION("""COMPUTED_VALUE"""),"Дарья")</f>
        <v>Дарья</v>
      </c>
      <c r="D670" s="5" t="str">
        <f ca="1">IFERROR(__xludf.DUMMYFUNCTION("""COMPUTED_VALUE"""),"Евгеньевна")</f>
        <v>Евгеньевна</v>
      </c>
      <c r="E670" s="5" t="str">
        <f ca="1">IFERROR(__xludf.DUMMYFUNCTION("""COMPUTED_VALUE"""),"Команда №3968")</f>
        <v>Команда №3968</v>
      </c>
      <c r="F670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670" s="7">
        <f ca="1">IFERROR(__xludf.DUMMYFUNCTION("""COMPUTED_VALUE"""),85)</f>
        <v>85</v>
      </c>
    </row>
    <row r="671" spans="1:7" ht="13.2" x14ac:dyDescent="0.25">
      <c r="A671" s="5">
        <f ca="1">IFERROR(__xludf.DUMMYFUNCTION("""COMPUTED_VALUE"""),989)</f>
        <v>989</v>
      </c>
      <c r="B671" s="5" t="str">
        <f ca="1">IFERROR(__xludf.DUMMYFUNCTION("""COMPUTED_VALUE"""),"Ренев")</f>
        <v>Ренев</v>
      </c>
      <c r="C671" s="5" t="str">
        <f ca="1">IFERROR(__xludf.DUMMYFUNCTION("""COMPUTED_VALUE"""),"Глеб")</f>
        <v>Глеб</v>
      </c>
      <c r="D671" s="5" t="str">
        <f ca="1">IFERROR(__xludf.DUMMYFUNCTION("""COMPUTED_VALUE"""),"Олегович")</f>
        <v>Олегович</v>
      </c>
      <c r="E671" s="5" t="str">
        <f ca="1">IFERROR(__xludf.DUMMYFUNCTION("""COMPUTED_VALUE"""),"Команда №3968")</f>
        <v>Команда №3968</v>
      </c>
      <c r="F671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671" s="7">
        <f ca="1">IFERROR(__xludf.DUMMYFUNCTION("""COMPUTED_VALUE"""),85)</f>
        <v>85</v>
      </c>
    </row>
    <row r="672" spans="1:7" ht="39.6" x14ac:dyDescent="0.25">
      <c r="A672" s="5">
        <f ca="1">IFERROR(__xludf.DUMMYFUNCTION("""COMPUTED_VALUE"""),286)</f>
        <v>286</v>
      </c>
      <c r="B672" s="5" t="str">
        <f ca="1">IFERROR(__xludf.DUMMYFUNCTION("""COMPUTED_VALUE"""),"Громов")</f>
        <v>Громов</v>
      </c>
      <c r="C672" s="5" t="str">
        <f ca="1">IFERROR(__xludf.DUMMYFUNCTION("""COMPUTED_VALUE"""),"Николай")</f>
        <v>Николай</v>
      </c>
      <c r="D672" s="5" t="str">
        <f ca="1">IFERROR(__xludf.DUMMYFUNCTION("""COMPUTED_VALUE"""),"Валерьевич")</f>
        <v>Валерьевич</v>
      </c>
      <c r="E672" s="5" t="str">
        <f ca="1">IFERROR(__xludf.DUMMYFUNCTION("""COMPUTED_VALUE"""),"Команда №3970")</f>
        <v>Команда №3970</v>
      </c>
      <c r="F672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672" s="7">
        <f ca="1">IFERROR(__xludf.DUMMYFUNCTION("""COMPUTED_VALUE"""),85)</f>
        <v>85</v>
      </c>
    </row>
    <row r="673" spans="1:7" ht="39.6" x14ac:dyDescent="0.25">
      <c r="A673" s="5">
        <f ca="1">IFERROR(__xludf.DUMMYFUNCTION("""COMPUTED_VALUE"""),346)</f>
        <v>346</v>
      </c>
      <c r="B673" s="5" t="str">
        <f ca="1">IFERROR(__xludf.DUMMYFUNCTION("""COMPUTED_VALUE"""),"Дубровский")</f>
        <v>Дубровский</v>
      </c>
      <c r="C673" s="5" t="str">
        <f ca="1">IFERROR(__xludf.DUMMYFUNCTION("""COMPUTED_VALUE"""),"Давид")</f>
        <v>Давид</v>
      </c>
      <c r="D673" s="5" t="str">
        <f ca="1">IFERROR(__xludf.DUMMYFUNCTION("""COMPUTED_VALUE"""),"Русланович")</f>
        <v>Русланович</v>
      </c>
      <c r="E673" s="5" t="str">
        <f ca="1">IFERROR(__xludf.DUMMYFUNCTION("""COMPUTED_VALUE"""),"Команда №3970")</f>
        <v>Команда №3970</v>
      </c>
      <c r="F673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673" s="7">
        <f ca="1">IFERROR(__xludf.DUMMYFUNCTION("""COMPUTED_VALUE"""),85)</f>
        <v>85</v>
      </c>
    </row>
    <row r="674" spans="1:7" ht="39.6" x14ac:dyDescent="0.25">
      <c r="A674" s="5">
        <f ca="1">IFERROR(__xludf.DUMMYFUNCTION("""COMPUTED_VALUE"""),431)</f>
        <v>431</v>
      </c>
      <c r="B674" s="5" t="str">
        <f ca="1">IFERROR(__xludf.DUMMYFUNCTION("""COMPUTED_VALUE"""),"Земский")</f>
        <v>Земский</v>
      </c>
      <c r="C674" s="5" t="str">
        <f ca="1">IFERROR(__xludf.DUMMYFUNCTION("""COMPUTED_VALUE"""),"Егор")</f>
        <v>Егор</v>
      </c>
      <c r="D674" s="5" t="str">
        <f ca="1">IFERROR(__xludf.DUMMYFUNCTION("""COMPUTED_VALUE"""),"Романович")</f>
        <v>Романович</v>
      </c>
      <c r="E674" s="5" t="str">
        <f ca="1">IFERROR(__xludf.DUMMYFUNCTION("""COMPUTED_VALUE"""),"Команда №3970")</f>
        <v>Команда №3970</v>
      </c>
      <c r="F674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674" s="7">
        <f ca="1">IFERROR(__xludf.DUMMYFUNCTION("""COMPUTED_VALUE"""),85)</f>
        <v>85</v>
      </c>
    </row>
    <row r="675" spans="1:7" ht="39.6" x14ac:dyDescent="0.25">
      <c r="A675" s="5">
        <f ca="1">IFERROR(__xludf.DUMMYFUNCTION("""COMPUTED_VALUE"""),443)</f>
        <v>443</v>
      </c>
      <c r="B675" s="5" t="str">
        <f ca="1">IFERROR(__xludf.DUMMYFUNCTION("""COMPUTED_VALUE"""),"Зуев")</f>
        <v>Зуев</v>
      </c>
      <c r="C675" s="5" t="str">
        <f ca="1">IFERROR(__xludf.DUMMYFUNCTION("""COMPUTED_VALUE"""),"Владислав")</f>
        <v>Владислав</v>
      </c>
      <c r="D675" s="5" t="str">
        <f ca="1">IFERROR(__xludf.DUMMYFUNCTION("""COMPUTED_VALUE"""),"Анатольевич")</f>
        <v>Анатольевич</v>
      </c>
      <c r="E675" s="5" t="str">
        <f ca="1">IFERROR(__xludf.DUMMYFUNCTION("""COMPUTED_VALUE"""),"Команда №3970")</f>
        <v>Команда №3970</v>
      </c>
      <c r="F675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675" s="7">
        <f ca="1">IFERROR(__xludf.DUMMYFUNCTION("""COMPUTED_VALUE"""),85)</f>
        <v>85</v>
      </c>
    </row>
    <row r="676" spans="1:7" ht="13.2" x14ac:dyDescent="0.25">
      <c r="A676" s="5">
        <f ca="1">IFERROR(__xludf.DUMMYFUNCTION("""COMPUTED_VALUE"""),442)</f>
        <v>442</v>
      </c>
      <c r="B676" s="5" t="str">
        <f ca="1">IFERROR(__xludf.DUMMYFUNCTION("""COMPUTED_VALUE"""),"Зубов")</f>
        <v>Зубов</v>
      </c>
      <c r="C676" s="5" t="str">
        <f ca="1">IFERROR(__xludf.DUMMYFUNCTION("""COMPUTED_VALUE"""),"Алексей")</f>
        <v>Алексей</v>
      </c>
      <c r="D676" s="5" t="str">
        <f ca="1">IFERROR(__xludf.DUMMYFUNCTION("""COMPUTED_VALUE"""),"Иванович")</f>
        <v>Иванович</v>
      </c>
      <c r="E676" s="5" t="str">
        <f ca="1">IFERROR(__xludf.DUMMYFUNCTION("""COMPUTED_VALUE"""),"Команда №3971")</f>
        <v>Команда №3971</v>
      </c>
      <c r="F676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676" s="7">
        <f ca="1">IFERROR(__xludf.DUMMYFUNCTION("""COMPUTED_VALUE"""),72)</f>
        <v>72</v>
      </c>
    </row>
    <row r="677" spans="1:7" ht="13.2" x14ac:dyDescent="0.25">
      <c r="A677" s="5">
        <f ca="1">IFERROR(__xludf.DUMMYFUNCTION("""COMPUTED_VALUE"""),592)</f>
        <v>592</v>
      </c>
      <c r="B677" s="5" t="str">
        <f ca="1">IFERROR(__xludf.DUMMYFUNCTION("""COMPUTED_VALUE"""),"Костарева")</f>
        <v>Костарева</v>
      </c>
      <c r="C677" s="5" t="str">
        <f ca="1">IFERROR(__xludf.DUMMYFUNCTION("""COMPUTED_VALUE"""),"Анастасия")</f>
        <v>Анастасия</v>
      </c>
      <c r="D677" s="5" t="str">
        <f ca="1">IFERROR(__xludf.DUMMYFUNCTION("""COMPUTED_VALUE"""),"Денисовна")</f>
        <v>Денисовна</v>
      </c>
      <c r="E677" s="5" t="str">
        <f ca="1">IFERROR(__xludf.DUMMYFUNCTION("""COMPUTED_VALUE"""),"Команда №3971")</f>
        <v>Команда №3971</v>
      </c>
      <c r="F677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677" s="7">
        <f ca="1">IFERROR(__xludf.DUMMYFUNCTION("""COMPUTED_VALUE"""),72)</f>
        <v>72</v>
      </c>
    </row>
    <row r="678" spans="1:7" ht="13.2" x14ac:dyDescent="0.25">
      <c r="A678" s="5">
        <f ca="1">IFERROR(__xludf.DUMMYFUNCTION("""COMPUTED_VALUE"""),733)</f>
        <v>733</v>
      </c>
      <c r="B678" s="5" t="str">
        <f ca="1">IFERROR(__xludf.DUMMYFUNCTION("""COMPUTED_VALUE"""),"Масленников")</f>
        <v>Масленников</v>
      </c>
      <c r="C678" s="5" t="str">
        <f ca="1">IFERROR(__xludf.DUMMYFUNCTION("""COMPUTED_VALUE"""),"Дмитрий")</f>
        <v>Дмитрий</v>
      </c>
      <c r="D678" s="5" t="str">
        <f ca="1">IFERROR(__xludf.DUMMYFUNCTION("""COMPUTED_VALUE"""),"Леонидович")</f>
        <v>Леонидович</v>
      </c>
      <c r="E678" s="5" t="str">
        <f ca="1">IFERROR(__xludf.DUMMYFUNCTION("""COMPUTED_VALUE"""),"Команда №3971")</f>
        <v>Команда №3971</v>
      </c>
      <c r="F678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678" s="7">
        <f ca="1">IFERROR(__xludf.DUMMYFUNCTION("""COMPUTED_VALUE"""),72)</f>
        <v>72</v>
      </c>
    </row>
    <row r="679" spans="1:7" ht="13.2" x14ac:dyDescent="0.25">
      <c r="A679" s="5">
        <f ca="1">IFERROR(__xludf.DUMMYFUNCTION("""COMPUTED_VALUE"""),839)</f>
        <v>839</v>
      </c>
      <c r="B679" s="5" t="str">
        <f ca="1">IFERROR(__xludf.DUMMYFUNCTION("""COMPUTED_VALUE"""),"Нечаев")</f>
        <v>Нечаев</v>
      </c>
      <c r="C679" s="5" t="str">
        <f ca="1">IFERROR(__xludf.DUMMYFUNCTION("""COMPUTED_VALUE"""),"Никита")</f>
        <v>Никита</v>
      </c>
      <c r="D679" s="5" t="str">
        <f ca="1">IFERROR(__xludf.DUMMYFUNCTION("""COMPUTED_VALUE"""),"Вадимович")</f>
        <v>Вадимович</v>
      </c>
      <c r="E679" s="5" t="str">
        <f ca="1">IFERROR(__xludf.DUMMYFUNCTION("""COMPUTED_VALUE"""),"Команда №3971")</f>
        <v>Команда №3971</v>
      </c>
      <c r="F679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679" s="7">
        <f ca="1">IFERROR(__xludf.DUMMYFUNCTION("""COMPUTED_VALUE"""),72)</f>
        <v>72</v>
      </c>
    </row>
    <row r="680" spans="1:7" ht="13.2" x14ac:dyDescent="0.25">
      <c r="A680" s="5">
        <f ca="1">IFERROR(__xludf.DUMMYFUNCTION("""COMPUTED_VALUE"""),1273)</f>
        <v>1273</v>
      </c>
      <c r="B680" s="5" t="str">
        <f ca="1">IFERROR(__xludf.DUMMYFUNCTION("""COMPUTED_VALUE"""),"Чекмарев")</f>
        <v>Чекмарев</v>
      </c>
      <c r="C680" s="5" t="str">
        <f ca="1">IFERROR(__xludf.DUMMYFUNCTION("""COMPUTED_VALUE"""),"Артем")</f>
        <v>Артем</v>
      </c>
      <c r="D680" s="5" t="str">
        <f ca="1">IFERROR(__xludf.DUMMYFUNCTION("""COMPUTED_VALUE"""),"Алексеевич")</f>
        <v>Алексеевич</v>
      </c>
      <c r="E680" s="5" t="str">
        <f ca="1">IFERROR(__xludf.DUMMYFUNCTION("""COMPUTED_VALUE"""),"Команда №3971")</f>
        <v>Команда №3971</v>
      </c>
      <c r="F680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680" s="7">
        <f ca="1">IFERROR(__xludf.DUMMYFUNCTION("""COMPUTED_VALUE"""),72)</f>
        <v>72</v>
      </c>
    </row>
    <row r="681" spans="1:7" ht="26.4" x14ac:dyDescent="0.25">
      <c r="A681" s="5">
        <f ca="1">IFERROR(__xludf.DUMMYFUNCTION("""COMPUTED_VALUE"""),257)</f>
        <v>257</v>
      </c>
      <c r="B681" s="5" t="str">
        <f ca="1">IFERROR(__xludf.DUMMYFUNCTION("""COMPUTED_VALUE"""),"Гоголев")</f>
        <v>Гоголев</v>
      </c>
      <c r="C681" s="5" t="str">
        <f ca="1">IFERROR(__xludf.DUMMYFUNCTION("""COMPUTED_VALUE"""),"Артём")</f>
        <v>Артём</v>
      </c>
      <c r="D681" s="5" t="str">
        <f ca="1">IFERROR(__xludf.DUMMYFUNCTION("""COMPUTED_VALUE"""),"Андреевич")</f>
        <v>Андреевич</v>
      </c>
      <c r="E681" s="5" t="str">
        <f ca="1">IFERROR(__xludf.DUMMYFUNCTION("""COMPUTED_VALUE"""),"Команда №3975")</f>
        <v>Команда №3975</v>
      </c>
      <c r="F681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81" s="7">
        <f ca="1">IFERROR(__xludf.DUMMYFUNCTION("""COMPUTED_VALUE"""),85)</f>
        <v>85</v>
      </c>
    </row>
    <row r="682" spans="1:7" ht="26.4" x14ac:dyDescent="0.25">
      <c r="A682" s="5">
        <f ca="1">IFERROR(__xludf.DUMMYFUNCTION("""COMPUTED_VALUE"""),310)</f>
        <v>310</v>
      </c>
      <c r="B682" s="5" t="str">
        <f ca="1">IFERROR(__xludf.DUMMYFUNCTION("""COMPUTED_VALUE"""),"Демидов")</f>
        <v>Демидов</v>
      </c>
      <c r="C682" s="5" t="str">
        <f ca="1">IFERROR(__xludf.DUMMYFUNCTION("""COMPUTED_VALUE"""),"Никита")</f>
        <v>Никита</v>
      </c>
      <c r="D682" s="5" t="str">
        <f ca="1">IFERROR(__xludf.DUMMYFUNCTION("""COMPUTED_VALUE"""),"Александрович")</f>
        <v>Александрович</v>
      </c>
      <c r="E682" s="5" t="str">
        <f ca="1">IFERROR(__xludf.DUMMYFUNCTION("""COMPUTED_VALUE"""),"Команда №3975")</f>
        <v>Команда №3975</v>
      </c>
      <c r="F682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82" s="7">
        <f ca="1">IFERROR(__xludf.DUMMYFUNCTION("""COMPUTED_VALUE"""),85)</f>
        <v>85</v>
      </c>
    </row>
    <row r="683" spans="1:7" ht="26.4" x14ac:dyDescent="0.25">
      <c r="A683" s="5">
        <f ca="1">IFERROR(__xludf.DUMMYFUNCTION("""COMPUTED_VALUE"""),394)</f>
        <v>394</v>
      </c>
      <c r="B683" s="5" t="str">
        <f ca="1">IFERROR(__xludf.DUMMYFUNCTION("""COMPUTED_VALUE"""),"Жирнов")</f>
        <v>Жирнов</v>
      </c>
      <c r="C683" s="5" t="str">
        <f ca="1">IFERROR(__xludf.DUMMYFUNCTION("""COMPUTED_VALUE"""),"Владимир")</f>
        <v>Владимир</v>
      </c>
      <c r="D683" s="5" t="str">
        <f ca="1">IFERROR(__xludf.DUMMYFUNCTION("""COMPUTED_VALUE"""),"Андреевич")</f>
        <v>Андреевич</v>
      </c>
      <c r="E683" s="5" t="str">
        <f ca="1">IFERROR(__xludf.DUMMYFUNCTION("""COMPUTED_VALUE"""),"Команда №3975")</f>
        <v>Команда №3975</v>
      </c>
      <c r="F683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83" s="7">
        <f ca="1">IFERROR(__xludf.DUMMYFUNCTION("""COMPUTED_VALUE"""),85)</f>
        <v>85</v>
      </c>
    </row>
    <row r="684" spans="1:7" ht="26.4" x14ac:dyDescent="0.25">
      <c r="A684" s="5">
        <f ca="1">IFERROR(__xludf.DUMMYFUNCTION("""COMPUTED_VALUE"""),1026)</f>
        <v>1026</v>
      </c>
      <c r="B684" s="5" t="str">
        <f ca="1">IFERROR(__xludf.DUMMYFUNCTION("""COMPUTED_VALUE"""),"Садыков")</f>
        <v>Садыков</v>
      </c>
      <c r="C684" s="5" t="str">
        <f ca="1">IFERROR(__xludf.DUMMYFUNCTION("""COMPUTED_VALUE"""),"Артём")</f>
        <v>Артём</v>
      </c>
      <c r="D684" s="5" t="str">
        <f ca="1">IFERROR(__xludf.DUMMYFUNCTION("""COMPUTED_VALUE"""),"Маратович")</f>
        <v>Маратович</v>
      </c>
      <c r="E684" s="5" t="str">
        <f ca="1">IFERROR(__xludf.DUMMYFUNCTION("""COMPUTED_VALUE"""),"Команда №3975")</f>
        <v>Команда №3975</v>
      </c>
      <c r="F684" s="6" t="str">
        <f ca="1">IFERROR(__xludf.DUMMYFUNCTION("""COMPUTED_VALUE"""),"Автоматизация процесса заказа питания в школах")</f>
        <v>Автоматизация процесса заказа питания в школах</v>
      </c>
      <c r="G684" s="7">
        <f ca="1">IFERROR(__xludf.DUMMYFUNCTION("""COMPUTED_VALUE"""),85)</f>
        <v>85</v>
      </c>
    </row>
    <row r="685" spans="1:7" ht="26.4" x14ac:dyDescent="0.25">
      <c r="A685" s="5">
        <f ca="1">IFERROR(__xludf.DUMMYFUNCTION("""COMPUTED_VALUE"""),41)</f>
        <v>41</v>
      </c>
      <c r="B685" s="5" t="str">
        <f ca="1">IFERROR(__xludf.DUMMYFUNCTION("""COMPUTED_VALUE"""),"Аннамов")</f>
        <v>Аннамов</v>
      </c>
      <c r="C685" s="5" t="str">
        <f ca="1">IFERROR(__xludf.DUMMYFUNCTION("""COMPUTED_VALUE"""),"Александр")</f>
        <v>Александр</v>
      </c>
      <c r="D685" s="5" t="str">
        <f ca="1">IFERROR(__xludf.DUMMYFUNCTION("""COMPUTED_VALUE"""),"Викторович")</f>
        <v>Викторович</v>
      </c>
      <c r="E685" s="5" t="str">
        <f ca="1">IFERROR(__xludf.DUMMYFUNCTION("""COMPUTED_VALUE"""),"Команда №3980")</f>
        <v>Команда №3980</v>
      </c>
      <c r="F685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85" s="7">
        <f ca="1">IFERROR(__xludf.DUMMYFUNCTION("""COMPUTED_VALUE"""),41)</f>
        <v>41</v>
      </c>
    </row>
    <row r="686" spans="1:7" ht="26.4" x14ac:dyDescent="0.25">
      <c r="A686" s="5">
        <f ca="1">IFERROR(__xludf.DUMMYFUNCTION("""COMPUTED_VALUE"""),367)</f>
        <v>367</v>
      </c>
      <c r="B686" s="5" t="str">
        <f ca="1">IFERROR(__xludf.DUMMYFUNCTION("""COMPUTED_VALUE"""),"Ентин")</f>
        <v>Ентин</v>
      </c>
      <c r="C686" s="5" t="str">
        <f ca="1">IFERROR(__xludf.DUMMYFUNCTION("""COMPUTED_VALUE"""),"Андрей")</f>
        <v>Андрей</v>
      </c>
      <c r="D686" s="5" t="str">
        <f ca="1">IFERROR(__xludf.DUMMYFUNCTION("""COMPUTED_VALUE"""),"Дмитриевич")</f>
        <v>Дмитриевич</v>
      </c>
      <c r="E686" s="5" t="str">
        <f ca="1">IFERROR(__xludf.DUMMYFUNCTION("""COMPUTED_VALUE"""),"Команда №3980")</f>
        <v>Команда №3980</v>
      </c>
      <c r="F686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86" s="7">
        <f ca="1">IFERROR(__xludf.DUMMYFUNCTION("""COMPUTED_VALUE"""),41)</f>
        <v>41</v>
      </c>
    </row>
    <row r="687" spans="1:7" ht="26.4" x14ac:dyDescent="0.25">
      <c r="A687" s="5">
        <f ca="1">IFERROR(__xludf.DUMMYFUNCTION("""COMPUTED_VALUE"""),397)</f>
        <v>397</v>
      </c>
      <c r="B687" s="5" t="str">
        <f ca="1">IFERROR(__xludf.DUMMYFUNCTION("""COMPUTED_VALUE"""),"Журавлёв")</f>
        <v>Журавлёв</v>
      </c>
      <c r="C687" s="5" t="str">
        <f ca="1">IFERROR(__xludf.DUMMYFUNCTION("""COMPUTED_VALUE"""),"Михаил")</f>
        <v>Михаил</v>
      </c>
      <c r="D687" s="5" t="str">
        <f ca="1">IFERROR(__xludf.DUMMYFUNCTION("""COMPUTED_VALUE"""),"Эдуардович")</f>
        <v>Эдуардович</v>
      </c>
      <c r="E687" s="5" t="str">
        <f ca="1">IFERROR(__xludf.DUMMYFUNCTION("""COMPUTED_VALUE"""),"Команда №3980")</f>
        <v>Команда №3980</v>
      </c>
      <c r="F687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87" s="7">
        <f ca="1">IFERROR(__xludf.DUMMYFUNCTION("""COMPUTED_VALUE"""),41)</f>
        <v>41</v>
      </c>
    </row>
    <row r="688" spans="1:7" ht="26.4" x14ac:dyDescent="0.25">
      <c r="A688" s="5">
        <f ca="1">IFERROR(__xludf.DUMMYFUNCTION("""COMPUTED_VALUE"""),494)</f>
        <v>494</v>
      </c>
      <c r="B688" s="5" t="str">
        <f ca="1">IFERROR(__xludf.DUMMYFUNCTION("""COMPUTED_VALUE"""),"Каратаев")</f>
        <v>Каратаев</v>
      </c>
      <c r="C688" s="5" t="str">
        <f ca="1">IFERROR(__xludf.DUMMYFUNCTION("""COMPUTED_VALUE"""),"Роман")</f>
        <v>Роман</v>
      </c>
      <c r="D688" s="5" t="str">
        <f ca="1">IFERROR(__xludf.DUMMYFUNCTION("""COMPUTED_VALUE"""),"Андреевич")</f>
        <v>Андреевич</v>
      </c>
      <c r="E688" s="5" t="str">
        <f ca="1">IFERROR(__xludf.DUMMYFUNCTION("""COMPUTED_VALUE"""),"Команда №3980")</f>
        <v>Команда №3980</v>
      </c>
      <c r="F688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88" s="7">
        <f ca="1">IFERROR(__xludf.DUMMYFUNCTION("""COMPUTED_VALUE"""),41)</f>
        <v>41</v>
      </c>
    </row>
    <row r="689" spans="1:7" ht="26.4" x14ac:dyDescent="0.25">
      <c r="A689" s="5">
        <f ca="1">IFERROR(__xludf.DUMMYFUNCTION("""COMPUTED_VALUE"""),647)</f>
        <v>647</v>
      </c>
      <c r="B689" s="5" t="str">
        <f ca="1">IFERROR(__xludf.DUMMYFUNCTION("""COMPUTED_VALUE"""),"Курбоналиев")</f>
        <v>Курбоналиев</v>
      </c>
      <c r="C689" s="5" t="str">
        <f ca="1">IFERROR(__xludf.DUMMYFUNCTION("""COMPUTED_VALUE"""),"Шерали")</f>
        <v>Шерали</v>
      </c>
      <c r="D689" s="5" t="str">
        <f ca="1">IFERROR(__xludf.DUMMYFUNCTION("""COMPUTED_VALUE"""),"Азизуллоевич")</f>
        <v>Азизуллоевич</v>
      </c>
      <c r="E689" s="5" t="str">
        <f ca="1">IFERROR(__xludf.DUMMYFUNCTION("""COMPUTED_VALUE"""),"Команда №3980")</f>
        <v>Команда №3980</v>
      </c>
      <c r="F689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689" s="7">
        <f ca="1">IFERROR(__xludf.DUMMYFUNCTION("""COMPUTED_VALUE"""),41)</f>
        <v>41</v>
      </c>
    </row>
    <row r="690" spans="1:7" ht="26.4" x14ac:dyDescent="0.25">
      <c r="A690" s="5">
        <f ca="1">IFERROR(__xludf.DUMMYFUNCTION("""COMPUTED_VALUE"""),192)</f>
        <v>192</v>
      </c>
      <c r="B690" s="5" t="str">
        <f ca="1">IFERROR(__xludf.DUMMYFUNCTION("""COMPUTED_VALUE"""),"Верещагин")</f>
        <v>Верещагин</v>
      </c>
      <c r="C690" s="5" t="str">
        <f ca="1">IFERROR(__xludf.DUMMYFUNCTION("""COMPUTED_VALUE"""),"Дмитрий")</f>
        <v>Дмитрий</v>
      </c>
      <c r="D690" s="5" t="str">
        <f ca="1">IFERROR(__xludf.DUMMYFUNCTION("""COMPUTED_VALUE"""),"Александрович")</f>
        <v>Александрович</v>
      </c>
      <c r="E690" s="5" t="str">
        <f ca="1">IFERROR(__xludf.DUMMYFUNCTION("""COMPUTED_VALUE"""),"Команда №3982")</f>
        <v>Команда №3982</v>
      </c>
      <c r="F690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690" s="7">
        <f ca="1">IFERROR(__xludf.DUMMYFUNCTION("""COMPUTED_VALUE"""),0)</f>
        <v>0</v>
      </c>
    </row>
    <row r="691" spans="1:7" ht="26.4" x14ac:dyDescent="0.25">
      <c r="A691" s="5">
        <f ca="1">IFERROR(__xludf.DUMMYFUNCTION("""COMPUTED_VALUE"""),488)</f>
        <v>488</v>
      </c>
      <c r="B691" s="5" t="str">
        <f ca="1">IFERROR(__xludf.DUMMYFUNCTION("""COMPUTED_VALUE"""),"Каминский")</f>
        <v>Каминский</v>
      </c>
      <c r="C691" s="5" t="str">
        <f ca="1">IFERROR(__xludf.DUMMYFUNCTION("""COMPUTED_VALUE"""),"Андрей")</f>
        <v>Андрей</v>
      </c>
      <c r="D691" s="5" t="str">
        <f ca="1">IFERROR(__xludf.DUMMYFUNCTION("""COMPUTED_VALUE"""),"Михайлович")</f>
        <v>Михайлович</v>
      </c>
      <c r="E691" s="5" t="str">
        <f ca="1">IFERROR(__xludf.DUMMYFUNCTION("""COMPUTED_VALUE"""),"Команда №3982")</f>
        <v>Команда №3982</v>
      </c>
      <c r="F691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691" s="7">
        <f ca="1">IFERROR(__xludf.DUMMYFUNCTION("""COMPUTED_VALUE"""),0)</f>
        <v>0</v>
      </c>
    </row>
    <row r="692" spans="1:7" ht="26.4" x14ac:dyDescent="0.25">
      <c r="A692" s="5">
        <f ca="1">IFERROR(__xludf.DUMMYFUNCTION("""COMPUTED_VALUE"""),575)</f>
        <v>575</v>
      </c>
      <c r="B692" s="5" t="str">
        <f ca="1">IFERROR(__xludf.DUMMYFUNCTION("""COMPUTED_VALUE"""),"Копейкин")</f>
        <v>Копейкин</v>
      </c>
      <c r="C692" s="5" t="str">
        <f ca="1">IFERROR(__xludf.DUMMYFUNCTION("""COMPUTED_VALUE"""),"Юрий")</f>
        <v>Юрий</v>
      </c>
      <c r="D692" s="5" t="str">
        <f ca="1">IFERROR(__xludf.DUMMYFUNCTION("""COMPUTED_VALUE"""),"Андреевич")</f>
        <v>Андреевич</v>
      </c>
      <c r="E692" s="5" t="str">
        <f ca="1">IFERROR(__xludf.DUMMYFUNCTION("""COMPUTED_VALUE"""),"Команда №3982")</f>
        <v>Команда №3982</v>
      </c>
      <c r="F692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692" s="7">
        <f ca="1">IFERROR(__xludf.DUMMYFUNCTION("""COMPUTED_VALUE"""),0)</f>
        <v>0</v>
      </c>
    </row>
    <row r="693" spans="1:7" ht="26.4" x14ac:dyDescent="0.25">
      <c r="A693" s="5">
        <f ca="1">IFERROR(__xludf.DUMMYFUNCTION("""COMPUTED_VALUE"""),840)</f>
        <v>840</v>
      </c>
      <c r="B693" s="5" t="str">
        <f ca="1">IFERROR(__xludf.DUMMYFUNCTION("""COMPUTED_VALUE"""),"Нечаев")</f>
        <v>Нечаев</v>
      </c>
      <c r="C693" s="5" t="str">
        <f ca="1">IFERROR(__xludf.DUMMYFUNCTION("""COMPUTED_VALUE"""),"Данил")</f>
        <v>Данил</v>
      </c>
      <c r="D693" s="5" t="str">
        <f ca="1">IFERROR(__xludf.DUMMYFUNCTION("""COMPUTED_VALUE"""),"Ильич")</f>
        <v>Ильич</v>
      </c>
      <c r="E693" s="5" t="str">
        <f ca="1">IFERROR(__xludf.DUMMYFUNCTION("""COMPUTED_VALUE"""),"Команда №3982")</f>
        <v>Команда №3982</v>
      </c>
      <c r="F693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693" s="7">
        <f ca="1">IFERROR(__xludf.DUMMYFUNCTION("""COMPUTED_VALUE"""),0)</f>
        <v>0</v>
      </c>
    </row>
    <row r="694" spans="1:7" ht="26.4" x14ac:dyDescent="0.25">
      <c r="A694" s="5">
        <f ca="1">IFERROR(__xludf.DUMMYFUNCTION("""COMPUTED_VALUE"""),1129)</f>
        <v>1129</v>
      </c>
      <c r="B694" s="5" t="str">
        <f ca="1">IFERROR(__xludf.DUMMYFUNCTION("""COMPUTED_VALUE"""),"Супрун")</f>
        <v>Супрун</v>
      </c>
      <c r="C694" s="5" t="str">
        <f ca="1">IFERROR(__xludf.DUMMYFUNCTION("""COMPUTED_VALUE"""),"Владимир")</f>
        <v>Владимир</v>
      </c>
      <c r="D694" s="5" t="str">
        <f ca="1">IFERROR(__xludf.DUMMYFUNCTION("""COMPUTED_VALUE"""),"Александрович")</f>
        <v>Александрович</v>
      </c>
      <c r="E694" s="5" t="str">
        <f ca="1">IFERROR(__xludf.DUMMYFUNCTION("""COMPUTED_VALUE"""),"Команда №3982")</f>
        <v>Команда №3982</v>
      </c>
      <c r="F694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694" s="7">
        <f ca="1">IFERROR(__xludf.DUMMYFUNCTION("""COMPUTED_VALUE"""),0)</f>
        <v>0</v>
      </c>
    </row>
    <row r="695" spans="1:7" ht="13.2" x14ac:dyDescent="0.25">
      <c r="A695" s="5">
        <f ca="1">IFERROR(__xludf.DUMMYFUNCTION("""COMPUTED_VALUE"""),147)</f>
        <v>147</v>
      </c>
      <c r="B695" s="5" t="str">
        <f ca="1">IFERROR(__xludf.DUMMYFUNCTION("""COMPUTED_VALUE"""),"Борщевская")</f>
        <v>Борщевская</v>
      </c>
      <c r="C695" s="5" t="str">
        <f ca="1">IFERROR(__xludf.DUMMYFUNCTION("""COMPUTED_VALUE"""),"Жанна")</f>
        <v>Жанна</v>
      </c>
      <c r="D695" s="5" t="str">
        <f ca="1">IFERROR(__xludf.DUMMYFUNCTION("""COMPUTED_VALUE"""),"Александровна")</f>
        <v>Александровна</v>
      </c>
      <c r="E695" s="5" t="str">
        <f ca="1">IFERROR(__xludf.DUMMYFUNCTION("""COMPUTED_VALUE"""),"Команда №3983")</f>
        <v>Команда №3983</v>
      </c>
      <c r="F695" s="6" t="str">
        <f ca="1">IFERROR(__xludf.DUMMYFUNCTION("""COMPUTED_VALUE"""),"Создание игрового ПО для ПК в жанре аркада.")</f>
        <v>Создание игрового ПО для ПК в жанре аркада.</v>
      </c>
      <c r="G695" s="7">
        <f ca="1">IFERROR(__xludf.DUMMYFUNCTION("""COMPUTED_VALUE"""),99)</f>
        <v>99</v>
      </c>
    </row>
    <row r="696" spans="1:7" ht="13.2" x14ac:dyDescent="0.25">
      <c r="A696" s="5">
        <f ca="1">IFERROR(__xludf.DUMMYFUNCTION("""COMPUTED_VALUE"""),175)</f>
        <v>175</v>
      </c>
      <c r="B696" s="5" t="str">
        <f ca="1">IFERROR(__xludf.DUMMYFUNCTION("""COMPUTED_VALUE"""),"Варлаков")</f>
        <v>Варлаков</v>
      </c>
      <c r="C696" s="5" t="str">
        <f ca="1">IFERROR(__xludf.DUMMYFUNCTION("""COMPUTED_VALUE"""),"Владислав")</f>
        <v>Владислав</v>
      </c>
      <c r="D696" s="5" t="str">
        <f ca="1">IFERROR(__xludf.DUMMYFUNCTION("""COMPUTED_VALUE"""),"Витальевич")</f>
        <v>Витальевич</v>
      </c>
      <c r="E696" s="5" t="str">
        <f ca="1">IFERROR(__xludf.DUMMYFUNCTION("""COMPUTED_VALUE"""),"Команда №3983")</f>
        <v>Команда №3983</v>
      </c>
      <c r="F696" s="6" t="str">
        <f ca="1">IFERROR(__xludf.DUMMYFUNCTION("""COMPUTED_VALUE"""),"Создание игрового ПО для ПК в жанре аркада.")</f>
        <v>Создание игрового ПО для ПК в жанре аркада.</v>
      </c>
      <c r="G696" s="7">
        <f ca="1">IFERROR(__xludf.DUMMYFUNCTION("""COMPUTED_VALUE"""),99)</f>
        <v>99</v>
      </c>
    </row>
    <row r="697" spans="1:7" ht="13.2" x14ac:dyDescent="0.25">
      <c r="A697" s="5">
        <f ca="1">IFERROR(__xludf.DUMMYFUNCTION("""COMPUTED_VALUE"""),313)</f>
        <v>313</v>
      </c>
      <c r="B697" s="5" t="str">
        <f ca="1">IFERROR(__xludf.DUMMYFUNCTION("""COMPUTED_VALUE"""),"Денисова")</f>
        <v>Денисова</v>
      </c>
      <c r="C697" s="5" t="str">
        <f ca="1">IFERROR(__xludf.DUMMYFUNCTION("""COMPUTED_VALUE"""),"Дарья")</f>
        <v>Дарья</v>
      </c>
      <c r="D697" s="5" t="str">
        <f ca="1">IFERROR(__xludf.DUMMYFUNCTION("""COMPUTED_VALUE"""),"Станиславовна")</f>
        <v>Станиславовна</v>
      </c>
      <c r="E697" s="5" t="str">
        <f ca="1">IFERROR(__xludf.DUMMYFUNCTION("""COMPUTED_VALUE"""),"Команда №3983")</f>
        <v>Команда №3983</v>
      </c>
      <c r="F697" s="6" t="str">
        <f ca="1">IFERROR(__xludf.DUMMYFUNCTION("""COMPUTED_VALUE"""),"Создание игрового ПО для ПК в жанре аркада.")</f>
        <v>Создание игрового ПО для ПК в жанре аркада.</v>
      </c>
      <c r="G697" s="7">
        <f ca="1">IFERROR(__xludf.DUMMYFUNCTION("""COMPUTED_VALUE"""),99)</f>
        <v>99</v>
      </c>
    </row>
    <row r="698" spans="1:7" ht="13.2" x14ac:dyDescent="0.25">
      <c r="A698" s="5">
        <f ca="1">IFERROR(__xludf.DUMMYFUNCTION("""COMPUTED_VALUE"""),402)</f>
        <v>402</v>
      </c>
      <c r="B698" s="5" t="str">
        <f ca="1">IFERROR(__xludf.DUMMYFUNCTION("""COMPUTED_VALUE"""),"Завьялова")</f>
        <v>Завьялова</v>
      </c>
      <c r="C698" s="5" t="str">
        <f ca="1">IFERROR(__xludf.DUMMYFUNCTION("""COMPUTED_VALUE"""),"Анастасия")</f>
        <v>Анастасия</v>
      </c>
      <c r="D698" s="5" t="str">
        <f ca="1">IFERROR(__xludf.DUMMYFUNCTION("""COMPUTED_VALUE"""),"Олеговна")</f>
        <v>Олеговна</v>
      </c>
      <c r="E698" s="5" t="str">
        <f ca="1">IFERROR(__xludf.DUMMYFUNCTION("""COMPUTED_VALUE"""),"Команда №3983")</f>
        <v>Команда №3983</v>
      </c>
      <c r="F698" s="6" t="str">
        <f ca="1">IFERROR(__xludf.DUMMYFUNCTION("""COMPUTED_VALUE"""),"Создание игрового ПО для ПК в жанре аркада.")</f>
        <v>Создание игрового ПО для ПК в жанре аркада.</v>
      </c>
      <c r="G698" s="7">
        <f ca="1">IFERROR(__xludf.DUMMYFUNCTION("""COMPUTED_VALUE"""),99)</f>
        <v>99</v>
      </c>
    </row>
    <row r="699" spans="1:7" ht="13.2" x14ac:dyDescent="0.25">
      <c r="A699" s="5">
        <f ca="1">IFERROR(__xludf.DUMMYFUNCTION("""COMPUTED_VALUE"""),782)</f>
        <v>782</v>
      </c>
      <c r="B699" s="5" t="str">
        <f ca="1">IFERROR(__xludf.DUMMYFUNCTION("""COMPUTED_VALUE"""),"Морозов")</f>
        <v>Морозов</v>
      </c>
      <c r="C699" s="5" t="str">
        <f ca="1">IFERROR(__xludf.DUMMYFUNCTION("""COMPUTED_VALUE"""),"Кирилл")</f>
        <v>Кирилл</v>
      </c>
      <c r="D699" s="5" t="str">
        <f ca="1">IFERROR(__xludf.DUMMYFUNCTION("""COMPUTED_VALUE"""),"Сергеевич")</f>
        <v>Сергеевич</v>
      </c>
      <c r="E699" s="5" t="str">
        <f ca="1">IFERROR(__xludf.DUMMYFUNCTION("""COMPUTED_VALUE"""),"Команда №3983")</f>
        <v>Команда №3983</v>
      </c>
      <c r="F699" s="6" t="str">
        <f ca="1">IFERROR(__xludf.DUMMYFUNCTION("""COMPUTED_VALUE"""),"Создание игрового ПО для ПК в жанре аркада.")</f>
        <v>Создание игрового ПО для ПК в жанре аркада.</v>
      </c>
      <c r="G699" s="7">
        <f ca="1">IFERROR(__xludf.DUMMYFUNCTION("""COMPUTED_VALUE"""),99)</f>
        <v>99</v>
      </c>
    </row>
    <row r="700" spans="1:7" ht="39.6" x14ac:dyDescent="0.25">
      <c r="A700" s="5">
        <f ca="1">IFERROR(__xludf.DUMMYFUNCTION("""COMPUTED_VALUE"""),216)</f>
        <v>216</v>
      </c>
      <c r="B700" s="5" t="str">
        <f ca="1">IFERROR(__xludf.DUMMYFUNCTION("""COMPUTED_VALUE"""),"Волосникова")</f>
        <v>Волосникова</v>
      </c>
      <c r="C700" s="5" t="str">
        <f ca="1">IFERROR(__xludf.DUMMYFUNCTION("""COMPUTED_VALUE"""),"Ксения")</f>
        <v>Ксения</v>
      </c>
      <c r="D700" s="5" t="str">
        <f ca="1">IFERROR(__xludf.DUMMYFUNCTION("""COMPUTED_VALUE"""),"Павловна")</f>
        <v>Павловна</v>
      </c>
      <c r="E700" s="5" t="str">
        <f ca="1">IFERROR(__xludf.DUMMYFUNCTION("""COMPUTED_VALUE"""),"Команда №3984")</f>
        <v>Команда №3984</v>
      </c>
      <c r="F700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00" s="7">
        <f ca="1">IFERROR(__xludf.DUMMYFUNCTION("""COMPUTED_VALUE"""),85)</f>
        <v>85</v>
      </c>
    </row>
    <row r="701" spans="1:7" ht="39.6" x14ac:dyDescent="0.25">
      <c r="A701" s="5">
        <f ca="1">IFERROR(__xludf.DUMMYFUNCTION("""COMPUTED_VALUE"""),645)</f>
        <v>645</v>
      </c>
      <c r="B701" s="5" t="str">
        <f ca="1">IFERROR(__xludf.DUMMYFUNCTION("""COMPUTED_VALUE"""),"Купцова")</f>
        <v>Купцова</v>
      </c>
      <c r="C701" s="5" t="str">
        <f ca="1">IFERROR(__xludf.DUMMYFUNCTION("""COMPUTED_VALUE"""),"Арина")</f>
        <v>Арина</v>
      </c>
      <c r="D701" s="5" t="str">
        <f ca="1">IFERROR(__xludf.DUMMYFUNCTION("""COMPUTED_VALUE"""),"Валерьевна")</f>
        <v>Валерьевна</v>
      </c>
      <c r="E701" s="5" t="str">
        <f ca="1">IFERROR(__xludf.DUMMYFUNCTION("""COMPUTED_VALUE"""),"Команда №3984")</f>
        <v>Команда №3984</v>
      </c>
      <c r="F701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01" s="7">
        <f ca="1">IFERROR(__xludf.DUMMYFUNCTION("""COMPUTED_VALUE"""),85)</f>
        <v>85</v>
      </c>
    </row>
    <row r="702" spans="1:7" ht="39.6" x14ac:dyDescent="0.25">
      <c r="A702" s="5">
        <f ca="1">IFERROR(__xludf.DUMMYFUNCTION("""COMPUTED_VALUE"""),663)</f>
        <v>663</v>
      </c>
      <c r="B702" s="5" t="str">
        <f ca="1">IFERROR(__xludf.DUMMYFUNCTION("""COMPUTED_VALUE"""),"Ларина")</f>
        <v>Ларина</v>
      </c>
      <c r="C702" s="5" t="str">
        <f ca="1">IFERROR(__xludf.DUMMYFUNCTION("""COMPUTED_VALUE"""),"Ирина")</f>
        <v>Ирина</v>
      </c>
      <c r="D702" s="5" t="str">
        <f ca="1">IFERROR(__xludf.DUMMYFUNCTION("""COMPUTED_VALUE"""),"Васильевна")</f>
        <v>Васильевна</v>
      </c>
      <c r="E702" s="5" t="str">
        <f ca="1">IFERROR(__xludf.DUMMYFUNCTION("""COMPUTED_VALUE"""),"Команда №3984")</f>
        <v>Команда №3984</v>
      </c>
      <c r="F702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02" s="7">
        <f ca="1">IFERROR(__xludf.DUMMYFUNCTION("""COMPUTED_VALUE"""),85)</f>
        <v>85</v>
      </c>
    </row>
    <row r="703" spans="1:7" ht="39.6" x14ac:dyDescent="0.25">
      <c r="A703" s="5">
        <f ca="1">IFERROR(__xludf.DUMMYFUNCTION("""COMPUTED_VALUE"""),788)</f>
        <v>788</v>
      </c>
      <c r="B703" s="5" t="str">
        <f ca="1">IFERROR(__xludf.DUMMYFUNCTION("""COMPUTED_VALUE"""),"Мосина")</f>
        <v>Мосина</v>
      </c>
      <c r="C703" s="5" t="str">
        <f ca="1">IFERROR(__xludf.DUMMYFUNCTION("""COMPUTED_VALUE"""),"Яна")</f>
        <v>Яна</v>
      </c>
      <c r="D703" s="5" t="str">
        <f ca="1">IFERROR(__xludf.DUMMYFUNCTION("""COMPUTED_VALUE"""),"Алексеевна")</f>
        <v>Алексеевна</v>
      </c>
      <c r="E703" s="5" t="str">
        <f ca="1">IFERROR(__xludf.DUMMYFUNCTION("""COMPUTED_VALUE"""),"Команда №3984")</f>
        <v>Команда №3984</v>
      </c>
      <c r="F703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03" s="7">
        <f ca="1">IFERROR(__xludf.DUMMYFUNCTION("""COMPUTED_VALUE"""),85)</f>
        <v>85</v>
      </c>
    </row>
    <row r="704" spans="1:7" ht="39.6" x14ac:dyDescent="0.25">
      <c r="A704" s="5">
        <f ca="1">IFERROR(__xludf.DUMMYFUNCTION("""COMPUTED_VALUE"""),1163)</f>
        <v>1163</v>
      </c>
      <c r="B704" s="5" t="str">
        <f ca="1">IFERROR(__xludf.DUMMYFUNCTION("""COMPUTED_VALUE"""),"Токписева")</f>
        <v>Токписева</v>
      </c>
      <c r="C704" s="5" t="str">
        <f ca="1">IFERROR(__xludf.DUMMYFUNCTION("""COMPUTED_VALUE"""),"Анастасия")</f>
        <v>Анастасия</v>
      </c>
      <c r="D704" s="5" t="str">
        <f ca="1">IFERROR(__xludf.DUMMYFUNCTION("""COMPUTED_VALUE"""),"Антоновна")</f>
        <v>Антоновна</v>
      </c>
      <c r="E704" s="5" t="str">
        <f ca="1">IFERROR(__xludf.DUMMYFUNCTION("""COMPUTED_VALUE"""),"Команда №3984")</f>
        <v>Команда №3984</v>
      </c>
      <c r="F704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04" s="7">
        <f ca="1">IFERROR(__xludf.DUMMYFUNCTION("""COMPUTED_VALUE"""),85)</f>
        <v>85</v>
      </c>
    </row>
    <row r="705" spans="1:7" ht="26.4" x14ac:dyDescent="0.25">
      <c r="A705" s="5">
        <f ca="1">IFERROR(__xludf.DUMMYFUNCTION("""COMPUTED_VALUE"""),208)</f>
        <v>208</v>
      </c>
      <c r="B705" s="5" t="str">
        <f ca="1">IFERROR(__xludf.DUMMYFUNCTION("""COMPUTED_VALUE"""),"Власов")</f>
        <v>Власов</v>
      </c>
      <c r="C705" s="5" t="str">
        <f ca="1">IFERROR(__xludf.DUMMYFUNCTION("""COMPUTED_VALUE"""),"Никита")</f>
        <v>Никита</v>
      </c>
      <c r="D705" s="5" t="str">
        <f ca="1">IFERROR(__xludf.DUMMYFUNCTION("""COMPUTED_VALUE"""),"Евгеньевич")</f>
        <v>Евгеньевич</v>
      </c>
      <c r="E705" s="5" t="str">
        <f ca="1">IFERROR(__xludf.DUMMYFUNCTION("""COMPUTED_VALUE"""),"Команда №3991")</f>
        <v>Команда №3991</v>
      </c>
      <c r="F705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05" s="7">
        <f ca="1">IFERROR(__xludf.DUMMYFUNCTION("""COMPUTED_VALUE"""),85)</f>
        <v>85</v>
      </c>
    </row>
    <row r="706" spans="1:7" ht="26.4" x14ac:dyDescent="0.25">
      <c r="A706" s="5">
        <f ca="1">IFERROR(__xludf.DUMMYFUNCTION("""COMPUTED_VALUE"""),256)</f>
        <v>256</v>
      </c>
      <c r="B706" s="5" t="str">
        <f ca="1">IFERROR(__xludf.DUMMYFUNCTION("""COMPUTED_VALUE"""),"Глушкова")</f>
        <v>Глушкова</v>
      </c>
      <c r="C706" s="5" t="str">
        <f ca="1">IFERROR(__xludf.DUMMYFUNCTION("""COMPUTED_VALUE"""),"Дарья")</f>
        <v>Дарья</v>
      </c>
      <c r="D706" s="5" t="str">
        <f ca="1">IFERROR(__xludf.DUMMYFUNCTION("""COMPUTED_VALUE"""),"Олеговна")</f>
        <v>Олеговна</v>
      </c>
      <c r="E706" s="5" t="str">
        <f ca="1">IFERROR(__xludf.DUMMYFUNCTION("""COMPUTED_VALUE"""),"Команда №3991")</f>
        <v>Команда №3991</v>
      </c>
      <c r="F706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06" s="7">
        <f ca="1">IFERROR(__xludf.DUMMYFUNCTION("""COMPUTED_VALUE"""),85)</f>
        <v>85</v>
      </c>
    </row>
    <row r="707" spans="1:7" ht="26.4" x14ac:dyDescent="0.25">
      <c r="A707" s="5">
        <f ca="1">IFERROR(__xludf.DUMMYFUNCTION("""COMPUTED_VALUE"""),913)</f>
        <v>913</v>
      </c>
      <c r="B707" s="5" t="str">
        <f ca="1">IFERROR(__xludf.DUMMYFUNCTION("""COMPUTED_VALUE"""),"Перелыгина")</f>
        <v>Перелыгина</v>
      </c>
      <c r="C707" s="5" t="str">
        <f ca="1">IFERROR(__xludf.DUMMYFUNCTION("""COMPUTED_VALUE"""),"Екатерина")</f>
        <v>Екатерина</v>
      </c>
      <c r="D707" s="5" t="str">
        <f ca="1">IFERROR(__xludf.DUMMYFUNCTION("""COMPUTED_VALUE"""),"Владимировна")</f>
        <v>Владимировна</v>
      </c>
      <c r="E707" s="5" t="str">
        <f ca="1">IFERROR(__xludf.DUMMYFUNCTION("""COMPUTED_VALUE"""),"Команда №3991")</f>
        <v>Команда №3991</v>
      </c>
      <c r="F707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07" s="7">
        <f ca="1">IFERROR(__xludf.DUMMYFUNCTION("""COMPUTED_VALUE"""),85)</f>
        <v>85</v>
      </c>
    </row>
    <row r="708" spans="1:7" ht="26.4" x14ac:dyDescent="0.25">
      <c r="A708" s="5">
        <f ca="1">IFERROR(__xludf.DUMMYFUNCTION("""COMPUTED_VALUE"""),1034)</f>
        <v>1034</v>
      </c>
      <c r="B708" s="5" t="str">
        <f ca="1">IFERROR(__xludf.DUMMYFUNCTION("""COMPUTED_VALUE"""),"Самойлов")</f>
        <v>Самойлов</v>
      </c>
      <c r="C708" s="5" t="str">
        <f ca="1">IFERROR(__xludf.DUMMYFUNCTION("""COMPUTED_VALUE"""),"Павел")</f>
        <v>Павел</v>
      </c>
      <c r="D708" s="5" t="str">
        <f ca="1">IFERROR(__xludf.DUMMYFUNCTION("""COMPUTED_VALUE"""),"Алексеевич")</f>
        <v>Алексеевич</v>
      </c>
      <c r="E708" s="5" t="str">
        <f ca="1">IFERROR(__xludf.DUMMYFUNCTION("""COMPUTED_VALUE"""),"Команда №3991")</f>
        <v>Команда №3991</v>
      </c>
      <c r="F708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08" s="7">
        <f ca="1">IFERROR(__xludf.DUMMYFUNCTION("""COMPUTED_VALUE"""),85)</f>
        <v>85</v>
      </c>
    </row>
    <row r="709" spans="1:7" ht="26.4" x14ac:dyDescent="0.25">
      <c r="A709" s="5">
        <f ca="1">IFERROR(__xludf.DUMMYFUNCTION("""COMPUTED_VALUE"""),1338)</f>
        <v>1338</v>
      </c>
      <c r="B709" s="5" t="str">
        <f ca="1">IFERROR(__xludf.DUMMYFUNCTION("""COMPUTED_VALUE"""),"Шияхметова")</f>
        <v>Шияхметова</v>
      </c>
      <c r="C709" s="5" t="str">
        <f ca="1">IFERROR(__xludf.DUMMYFUNCTION("""COMPUTED_VALUE"""),"Ксения")</f>
        <v>Ксения</v>
      </c>
      <c r="D709" s="5" t="str">
        <f ca="1">IFERROR(__xludf.DUMMYFUNCTION("""COMPUTED_VALUE"""),"Зинуровна")</f>
        <v>Зинуровна</v>
      </c>
      <c r="E709" s="5" t="str">
        <f ca="1">IFERROR(__xludf.DUMMYFUNCTION("""COMPUTED_VALUE"""),"Команда №3991")</f>
        <v>Команда №3991</v>
      </c>
      <c r="F709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09" s="7">
        <f ca="1">IFERROR(__xludf.DUMMYFUNCTION("""COMPUTED_VALUE"""),85)</f>
        <v>85</v>
      </c>
    </row>
    <row r="710" spans="1:7" ht="26.4" x14ac:dyDescent="0.25">
      <c r="A710" s="5">
        <f ca="1">IFERROR(__xludf.DUMMYFUNCTION("""COMPUTED_VALUE"""),206)</f>
        <v>206</v>
      </c>
      <c r="B710" s="5" t="str">
        <f ca="1">IFERROR(__xludf.DUMMYFUNCTION("""COMPUTED_VALUE"""),"Власов")</f>
        <v>Власов</v>
      </c>
      <c r="C710" s="5" t="str">
        <f ca="1">IFERROR(__xludf.DUMMYFUNCTION("""COMPUTED_VALUE"""),"Игорь")</f>
        <v>Игорь</v>
      </c>
      <c r="D710" s="5" t="str">
        <f ca="1">IFERROR(__xludf.DUMMYFUNCTION("""COMPUTED_VALUE"""),"Александрович")</f>
        <v>Александрович</v>
      </c>
      <c r="E710" s="5" t="str">
        <f ca="1">IFERROR(__xludf.DUMMYFUNCTION("""COMPUTED_VALUE"""),"Команда №3996")</f>
        <v>Команда №3996</v>
      </c>
      <c r="F710" s="6" t="str">
        <f ca="1">IFERROR(__xludf.DUMMYFUNCTION("""COMPUTED_VALUE"""),"Разработка веб-сервиса для редактирования и визуализации графов")</f>
        <v>Разработка веб-сервиса для редактирования и визуализации графов</v>
      </c>
      <c r="G710" s="7">
        <f ca="1">IFERROR(__xludf.DUMMYFUNCTION("""COMPUTED_VALUE"""),85)</f>
        <v>85</v>
      </c>
    </row>
    <row r="711" spans="1:7" ht="26.4" x14ac:dyDescent="0.25">
      <c r="A711" s="5">
        <f ca="1">IFERROR(__xludf.DUMMYFUNCTION("""COMPUTED_VALUE"""),222)</f>
        <v>222</v>
      </c>
      <c r="B711" s="5" t="str">
        <f ca="1">IFERROR(__xludf.DUMMYFUNCTION("""COMPUTED_VALUE"""),"Ворошилова")</f>
        <v>Ворошилова</v>
      </c>
      <c r="C711" s="5" t="str">
        <f ca="1">IFERROR(__xludf.DUMMYFUNCTION("""COMPUTED_VALUE"""),"Софья")</f>
        <v>Софья</v>
      </c>
      <c r="D711" s="5" t="str">
        <f ca="1">IFERROR(__xludf.DUMMYFUNCTION("""COMPUTED_VALUE"""),"Андреевна")</f>
        <v>Андреевна</v>
      </c>
      <c r="E711" s="5" t="str">
        <f ca="1">IFERROR(__xludf.DUMMYFUNCTION("""COMPUTED_VALUE"""),"Команда №3996")</f>
        <v>Команда №3996</v>
      </c>
      <c r="F711" s="6" t="str">
        <f ca="1">IFERROR(__xludf.DUMMYFUNCTION("""COMPUTED_VALUE"""),"Разработка веб-сервиса для редактирования и визуализации графов")</f>
        <v>Разработка веб-сервиса для редактирования и визуализации графов</v>
      </c>
      <c r="G711" s="7">
        <f ca="1">IFERROR(__xludf.DUMMYFUNCTION("""COMPUTED_VALUE"""),85)</f>
        <v>85</v>
      </c>
    </row>
    <row r="712" spans="1:7" ht="26.4" x14ac:dyDescent="0.25">
      <c r="A712" s="5">
        <f ca="1">IFERROR(__xludf.DUMMYFUNCTION("""COMPUTED_VALUE"""),688)</f>
        <v>688</v>
      </c>
      <c r="B712" s="5" t="str">
        <f ca="1">IFERROR(__xludf.DUMMYFUNCTION("""COMPUTED_VALUE"""),"Луканин")</f>
        <v>Луканин</v>
      </c>
      <c r="C712" s="5" t="str">
        <f ca="1">IFERROR(__xludf.DUMMYFUNCTION("""COMPUTED_VALUE"""),"Денис")</f>
        <v>Денис</v>
      </c>
      <c r="D712" s="5" t="str">
        <f ca="1">IFERROR(__xludf.DUMMYFUNCTION("""COMPUTED_VALUE"""),"Дмитриевич")</f>
        <v>Дмитриевич</v>
      </c>
      <c r="E712" s="5" t="str">
        <f ca="1">IFERROR(__xludf.DUMMYFUNCTION("""COMPUTED_VALUE"""),"Команда №3996")</f>
        <v>Команда №3996</v>
      </c>
      <c r="F712" s="6" t="str">
        <f ca="1">IFERROR(__xludf.DUMMYFUNCTION("""COMPUTED_VALUE"""),"Разработка веб-сервиса для редактирования и визуализации графов")</f>
        <v>Разработка веб-сервиса для редактирования и визуализации графов</v>
      </c>
      <c r="G712" s="7">
        <f ca="1">IFERROR(__xludf.DUMMYFUNCTION("""COMPUTED_VALUE"""),85)</f>
        <v>85</v>
      </c>
    </row>
    <row r="713" spans="1:7" ht="26.4" x14ac:dyDescent="0.25">
      <c r="A713" s="5">
        <f ca="1">IFERROR(__xludf.DUMMYFUNCTION("""COMPUTED_VALUE"""),1274)</f>
        <v>1274</v>
      </c>
      <c r="B713" s="5" t="str">
        <f ca="1">IFERROR(__xludf.DUMMYFUNCTION("""COMPUTED_VALUE"""),"Чекменёв")</f>
        <v>Чекменёв</v>
      </c>
      <c r="C713" s="5" t="str">
        <f ca="1">IFERROR(__xludf.DUMMYFUNCTION("""COMPUTED_VALUE"""),"Степан")</f>
        <v>Степан</v>
      </c>
      <c r="D713" s="5" t="str">
        <f ca="1">IFERROR(__xludf.DUMMYFUNCTION("""COMPUTED_VALUE"""),"Геннадьевич")</f>
        <v>Геннадьевич</v>
      </c>
      <c r="E713" s="5" t="str">
        <f ca="1">IFERROR(__xludf.DUMMYFUNCTION("""COMPUTED_VALUE"""),"Команда №3996")</f>
        <v>Команда №3996</v>
      </c>
      <c r="F713" s="6" t="str">
        <f ca="1">IFERROR(__xludf.DUMMYFUNCTION("""COMPUTED_VALUE"""),"Разработка веб-сервиса для редактирования и визуализации графов")</f>
        <v>Разработка веб-сервиса для редактирования и визуализации графов</v>
      </c>
      <c r="G713" s="7">
        <f ca="1">IFERROR(__xludf.DUMMYFUNCTION("""COMPUTED_VALUE"""),85)</f>
        <v>85</v>
      </c>
    </row>
    <row r="714" spans="1:7" ht="26.4" x14ac:dyDescent="0.25">
      <c r="A714" s="5">
        <f ca="1">IFERROR(__xludf.DUMMYFUNCTION("""COMPUTED_VALUE"""),1334)</f>
        <v>1334</v>
      </c>
      <c r="B714" s="5" t="str">
        <f ca="1">IFERROR(__xludf.DUMMYFUNCTION("""COMPUTED_VALUE"""),"Шихалиева")</f>
        <v>Шихалиева</v>
      </c>
      <c r="C714" s="5" t="str">
        <f ca="1">IFERROR(__xludf.DUMMYFUNCTION("""COMPUTED_VALUE"""),"Валерия")</f>
        <v>Валерия</v>
      </c>
      <c r="D714" s="5" t="str">
        <f ca="1">IFERROR(__xludf.DUMMYFUNCTION("""COMPUTED_VALUE"""),"Руслановна")</f>
        <v>Руслановна</v>
      </c>
      <c r="E714" s="5" t="str">
        <f ca="1">IFERROR(__xludf.DUMMYFUNCTION("""COMPUTED_VALUE"""),"Команда №3996")</f>
        <v>Команда №3996</v>
      </c>
      <c r="F714" s="6" t="str">
        <f ca="1">IFERROR(__xludf.DUMMYFUNCTION("""COMPUTED_VALUE"""),"Разработка веб-сервиса для редактирования и визуализации графов")</f>
        <v>Разработка веб-сервиса для редактирования и визуализации графов</v>
      </c>
      <c r="G714" s="7">
        <f ca="1">IFERROR(__xludf.DUMMYFUNCTION("""COMPUTED_VALUE"""),85)</f>
        <v>85</v>
      </c>
    </row>
    <row r="715" spans="1:7" ht="39.6" x14ac:dyDescent="0.25">
      <c r="A715" s="5">
        <f ca="1">IFERROR(__xludf.DUMMYFUNCTION("""COMPUTED_VALUE"""),54)</f>
        <v>54</v>
      </c>
      <c r="B715" s="5" t="str">
        <f ca="1">IFERROR(__xludf.DUMMYFUNCTION("""COMPUTED_VALUE"""),"Арзамасов")</f>
        <v>Арзамасов</v>
      </c>
      <c r="C715" s="5" t="str">
        <f ca="1">IFERROR(__xludf.DUMMYFUNCTION("""COMPUTED_VALUE"""),"Павел")</f>
        <v>Павел</v>
      </c>
      <c r="D715" s="5" t="str">
        <f ca="1">IFERROR(__xludf.DUMMYFUNCTION("""COMPUTED_VALUE"""),"Игоревич")</f>
        <v>Игоревич</v>
      </c>
      <c r="E715" s="5" t="str">
        <f ca="1">IFERROR(__xludf.DUMMYFUNCTION("""COMPUTED_VALUE"""),"Команда №4004")</f>
        <v>Команда №4004</v>
      </c>
      <c r="F715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715" s="7">
        <f ca="1">IFERROR(__xludf.DUMMYFUNCTION("""COMPUTED_VALUE"""),70)</f>
        <v>70</v>
      </c>
    </row>
    <row r="716" spans="1:7" ht="39.6" x14ac:dyDescent="0.25">
      <c r="A716" s="5">
        <f ca="1">IFERROR(__xludf.DUMMYFUNCTION("""COMPUTED_VALUE"""),417)</f>
        <v>417</v>
      </c>
      <c r="B716" s="5" t="str">
        <f ca="1">IFERROR(__xludf.DUMMYFUNCTION("""COMPUTED_VALUE"""),"Занков")</f>
        <v>Занков</v>
      </c>
      <c r="C716" s="5" t="str">
        <f ca="1">IFERROR(__xludf.DUMMYFUNCTION("""COMPUTED_VALUE"""),"Никита")</f>
        <v>Никита</v>
      </c>
      <c r="D716" s="5" t="str">
        <f ca="1">IFERROR(__xludf.DUMMYFUNCTION("""COMPUTED_VALUE"""),"Евгеньевич")</f>
        <v>Евгеньевич</v>
      </c>
      <c r="E716" s="5" t="str">
        <f ca="1">IFERROR(__xludf.DUMMYFUNCTION("""COMPUTED_VALUE"""),"Команда №4004")</f>
        <v>Команда №4004</v>
      </c>
      <c r="F716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716" s="7">
        <f ca="1">IFERROR(__xludf.DUMMYFUNCTION("""COMPUTED_VALUE"""),70)</f>
        <v>70</v>
      </c>
    </row>
    <row r="717" spans="1:7" ht="39.6" x14ac:dyDescent="0.25">
      <c r="A717" s="5">
        <f ca="1">IFERROR(__xludf.DUMMYFUNCTION("""COMPUTED_VALUE"""),795)</f>
        <v>795</v>
      </c>
      <c r="B717" s="5" t="str">
        <f ca="1">IFERROR(__xludf.DUMMYFUNCTION("""COMPUTED_VALUE"""),"Мурахин")</f>
        <v>Мурахин</v>
      </c>
      <c r="C717" s="5" t="str">
        <f ca="1">IFERROR(__xludf.DUMMYFUNCTION("""COMPUTED_VALUE"""),"Демид")</f>
        <v>Демид</v>
      </c>
      <c r="D717" s="5" t="str">
        <f ca="1">IFERROR(__xludf.DUMMYFUNCTION("""COMPUTED_VALUE"""),"Сергеевич")</f>
        <v>Сергеевич</v>
      </c>
      <c r="E717" s="5" t="str">
        <f ca="1">IFERROR(__xludf.DUMMYFUNCTION("""COMPUTED_VALUE"""),"Команда №4004")</f>
        <v>Команда №4004</v>
      </c>
      <c r="F717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717" s="7">
        <f ca="1">IFERROR(__xludf.DUMMYFUNCTION("""COMPUTED_VALUE"""),70)</f>
        <v>70</v>
      </c>
    </row>
    <row r="718" spans="1:7" ht="39.6" x14ac:dyDescent="0.25">
      <c r="A718" s="5">
        <f ca="1">IFERROR(__xludf.DUMMYFUNCTION("""COMPUTED_VALUE"""),1287)</f>
        <v>1287</v>
      </c>
      <c r="B718" s="5" t="str">
        <f ca="1">IFERROR(__xludf.DUMMYFUNCTION("""COMPUTED_VALUE"""),"Чертолин")</f>
        <v>Чертолин</v>
      </c>
      <c r="C718" s="5" t="str">
        <f ca="1">IFERROR(__xludf.DUMMYFUNCTION("""COMPUTED_VALUE"""),"Никита")</f>
        <v>Никита</v>
      </c>
      <c r="D718" s="5" t="str">
        <f ca="1">IFERROR(__xludf.DUMMYFUNCTION("""COMPUTED_VALUE"""),"Игоревич")</f>
        <v>Игоревич</v>
      </c>
      <c r="E718" s="5" t="str">
        <f ca="1">IFERROR(__xludf.DUMMYFUNCTION("""COMPUTED_VALUE"""),"Команда №4004")</f>
        <v>Команда №4004</v>
      </c>
      <c r="F718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718" s="7">
        <f ca="1">IFERROR(__xludf.DUMMYFUNCTION("""COMPUTED_VALUE"""),70)</f>
        <v>70</v>
      </c>
    </row>
    <row r="719" spans="1:7" ht="39.6" x14ac:dyDescent="0.25">
      <c r="A719" s="5">
        <f ca="1">IFERROR(__xludf.DUMMYFUNCTION("""COMPUTED_VALUE"""),322)</f>
        <v>322</v>
      </c>
      <c r="B719" s="5" t="str">
        <f ca="1">IFERROR(__xludf.DUMMYFUNCTION("""COMPUTED_VALUE"""),"Добрынина")</f>
        <v>Добрынина</v>
      </c>
      <c r="C719" s="5" t="str">
        <f ca="1">IFERROR(__xludf.DUMMYFUNCTION("""COMPUTED_VALUE"""),"Ксения")</f>
        <v>Ксения</v>
      </c>
      <c r="D719" s="5" t="str">
        <f ca="1">IFERROR(__xludf.DUMMYFUNCTION("""COMPUTED_VALUE"""),"Михайловна")</f>
        <v>Михайловна</v>
      </c>
      <c r="E719" s="5" t="str">
        <f ca="1">IFERROR(__xludf.DUMMYFUNCTION("""COMPUTED_VALUE"""),"Команда №4006")</f>
        <v>Команда №4006</v>
      </c>
      <c r="F719" s="6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G719" s="7">
        <f ca="1">IFERROR(__xludf.DUMMYFUNCTION("""COMPUTED_VALUE"""),85)</f>
        <v>85</v>
      </c>
    </row>
    <row r="720" spans="1:7" ht="26.4" x14ac:dyDescent="0.25">
      <c r="A720" s="5">
        <f ca="1">IFERROR(__xludf.DUMMYFUNCTION("""COMPUTED_VALUE"""),490)</f>
        <v>490</v>
      </c>
      <c r="B720" s="5" t="str">
        <f ca="1">IFERROR(__xludf.DUMMYFUNCTION("""COMPUTED_VALUE"""),"Карабанов")</f>
        <v>Карабанов</v>
      </c>
      <c r="C720" s="5" t="str">
        <f ca="1">IFERROR(__xludf.DUMMYFUNCTION("""COMPUTED_VALUE"""),"Павел")</f>
        <v>Павел</v>
      </c>
      <c r="D720" s="5" t="str">
        <f ca="1">IFERROR(__xludf.DUMMYFUNCTION("""COMPUTED_VALUE"""),"Александрович")</f>
        <v>Александрович</v>
      </c>
      <c r="E720" s="5" t="str">
        <f ca="1">IFERROR(__xludf.DUMMYFUNCTION("""COMPUTED_VALUE"""),"Команда №4009")</f>
        <v>Команда №4009</v>
      </c>
      <c r="F720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720" s="7">
        <f ca="1">IFERROR(__xludf.DUMMYFUNCTION("""COMPUTED_VALUE"""),75)</f>
        <v>75</v>
      </c>
    </row>
    <row r="721" spans="1:7" ht="26.4" x14ac:dyDescent="0.25">
      <c r="A721" s="5">
        <f ca="1">IFERROR(__xludf.DUMMYFUNCTION("""COMPUTED_VALUE"""),740)</f>
        <v>740</v>
      </c>
      <c r="B721" s="5" t="str">
        <f ca="1">IFERROR(__xludf.DUMMYFUNCTION("""COMPUTED_VALUE"""),"Махов")</f>
        <v>Махов</v>
      </c>
      <c r="C721" s="5" t="str">
        <f ca="1">IFERROR(__xludf.DUMMYFUNCTION("""COMPUTED_VALUE"""),"Евгений")</f>
        <v>Евгений</v>
      </c>
      <c r="D721" s="5" t="str">
        <f ca="1">IFERROR(__xludf.DUMMYFUNCTION("""COMPUTED_VALUE"""),"Игоревич")</f>
        <v>Игоревич</v>
      </c>
      <c r="E721" s="5" t="str">
        <f ca="1">IFERROR(__xludf.DUMMYFUNCTION("""COMPUTED_VALUE"""),"Команда №4009")</f>
        <v>Команда №4009</v>
      </c>
      <c r="F721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721" s="7">
        <f ca="1">IFERROR(__xludf.DUMMYFUNCTION("""COMPUTED_VALUE"""),75)</f>
        <v>75</v>
      </c>
    </row>
    <row r="722" spans="1:7" ht="26.4" x14ac:dyDescent="0.25">
      <c r="A722" s="5">
        <f ca="1">IFERROR(__xludf.DUMMYFUNCTION("""COMPUTED_VALUE"""),794)</f>
        <v>794</v>
      </c>
      <c r="B722" s="5" t="str">
        <f ca="1">IFERROR(__xludf.DUMMYFUNCTION("""COMPUTED_VALUE"""),"Муратшин")</f>
        <v>Муратшин</v>
      </c>
      <c r="C722" s="5" t="str">
        <f ca="1">IFERROR(__xludf.DUMMYFUNCTION("""COMPUTED_VALUE"""),"Борис")</f>
        <v>Борис</v>
      </c>
      <c r="D722" s="5" t="str">
        <f ca="1">IFERROR(__xludf.DUMMYFUNCTION("""COMPUTED_VALUE"""),"Борисович")</f>
        <v>Борисович</v>
      </c>
      <c r="E722" s="5" t="str">
        <f ca="1">IFERROR(__xludf.DUMMYFUNCTION("""COMPUTED_VALUE"""),"Команда №4009")</f>
        <v>Команда №4009</v>
      </c>
      <c r="F722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722" s="7">
        <f ca="1">IFERROR(__xludf.DUMMYFUNCTION("""COMPUTED_VALUE"""),75)</f>
        <v>75</v>
      </c>
    </row>
    <row r="723" spans="1:7" ht="26.4" x14ac:dyDescent="0.25">
      <c r="A723" s="5">
        <f ca="1">IFERROR(__xludf.DUMMYFUNCTION("""COMPUTED_VALUE"""),1065)</f>
        <v>1065</v>
      </c>
      <c r="B723" s="5" t="str">
        <f ca="1">IFERROR(__xludf.DUMMYFUNCTION("""COMPUTED_VALUE"""),"Силин")</f>
        <v>Силин</v>
      </c>
      <c r="C723" s="5" t="str">
        <f ca="1">IFERROR(__xludf.DUMMYFUNCTION("""COMPUTED_VALUE"""),"Александр")</f>
        <v>Александр</v>
      </c>
      <c r="D723" s="5" t="str">
        <f ca="1">IFERROR(__xludf.DUMMYFUNCTION("""COMPUTED_VALUE"""),"Дмитриевич")</f>
        <v>Дмитриевич</v>
      </c>
      <c r="E723" s="5" t="str">
        <f ca="1">IFERROR(__xludf.DUMMYFUNCTION("""COMPUTED_VALUE"""),"Команда №4009")</f>
        <v>Команда №4009</v>
      </c>
      <c r="F723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723" s="7">
        <f ca="1">IFERROR(__xludf.DUMMYFUNCTION("""COMPUTED_VALUE"""),75)</f>
        <v>75</v>
      </c>
    </row>
    <row r="724" spans="1:7" ht="26.4" x14ac:dyDescent="0.25">
      <c r="A724" s="5">
        <f ca="1">IFERROR(__xludf.DUMMYFUNCTION("""COMPUTED_VALUE"""),1140)</f>
        <v>1140</v>
      </c>
      <c r="B724" s="5" t="str">
        <f ca="1">IFERROR(__xludf.DUMMYFUNCTION("""COMPUTED_VALUE"""),"Тамков")</f>
        <v>Тамков</v>
      </c>
      <c r="C724" s="5" t="str">
        <f ca="1">IFERROR(__xludf.DUMMYFUNCTION("""COMPUTED_VALUE"""),"Тимофей")</f>
        <v>Тимофей</v>
      </c>
      <c r="D724" s="5" t="str">
        <f ca="1">IFERROR(__xludf.DUMMYFUNCTION("""COMPUTED_VALUE"""),"Павлович")</f>
        <v>Павлович</v>
      </c>
      <c r="E724" s="5" t="str">
        <f ca="1">IFERROR(__xludf.DUMMYFUNCTION("""COMPUTED_VALUE"""),"Команда №4009")</f>
        <v>Команда №4009</v>
      </c>
      <c r="F724" s="6" t="str">
        <f ca="1">IFERROR(__xludf.DUMMYFUNCTION("""COMPUTED_VALUE"""),"Создание виртуальной копии ИРИТ-РТФ в майнкраф")</f>
        <v>Создание виртуальной копии ИРИТ-РТФ в майнкраф</v>
      </c>
      <c r="G724" s="7">
        <f ca="1">IFERROR(__xludf.DUMMYFUNCTION("""COMPUTED_VALUE"""),75)</f>
        <v>75</v>
      </c>
    </row>
    <row r="725" spans="1:7" ht="26.4" x14ac:dyDescent="0.25">
      <c r="A725" s="5">
        <f ca="1">IFERROR(__xludf.DUMMYFUNCTION("""COMPUTED_VALUE"""),536)</f>
        <v>536</v>
      </c>
      <c r="B725" s="5" t="str">
        <f ca="1">IFERROR(__xludf.DUMMYFUNCTION("""COMPUTED_VALUE"""),"Ковин")</f>
        <v>Ковин</v>
      </c>
      <c r="C725" s="5" t="str">
        <f ca="1">IFERROR(__xludf.DUMMYFUNCTION("""COMPUTED_VALUE"""),"Вячеслав")</f>
        <v>Вячеслав</v>
      </c>
      <c r="D725" s="5" t="str">
        <f ca="1">IFERROR(__xludf.DUMMYFUNCTION("""COMPUTED_VALUE"""),"Алексеевич")</f>
        <v>Алексеевич</v>
      </c>
      <c r="E725" s="5" t="str">
        <f ca="1">IFERROR(__xludf.DUMMYFUNCTION("""COMPUTED_VALUE"""),"Команда №4010")</f>
        <v>Команда №4010</v>
      </c>
      <c r="F725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25" s="7">
        <f ca="1">IFERROR(__xludf.DUMMYFUNCTION("""COMPUTED_VALUE"""),85)</f>
        <v>85</v>
      </c>
    </row>
    <row r="726" spans="1:7" ht="26.4" x14ac:dyDescent="0.25">
      <c r="A726" s="5">
        <f ca="1">IFERROR(__xludf.DUMMYFUNCTION("""COMPUTED_VALUE"""),608)</f>
        <v>608</v>
      </c>
      <c r="B726" s="5" t="str">
        <f ca="1">IFERROR(__xludf.DUMMYFUNCTION("""COMPUTED_VALUE"""),"Красулин")</f>
        <v>Красулин</v>
      </c>
      <c r="C726" s="5" t="str">
        <f ca="1">IFERROR(__xludf.DUMMYFUNCTION("""COMPUTED_VALUE"""),"Вадим")</f>
        <v>Вадим</v>
      </c>
      <c r="D726" s="5" t="str">
        <f ca="1">IFERROR(__xludf.DUMMYFUNCTION("""COMPUTED_VALUE"""),"Константинович")</f>
        <v>Константинович</v>
      </c>
      <c r="E726" s="5" t="str">
        <f ca="1">IFERROR(__xludf.DUMMYFUNCTION("""COMPUTED_VALUE"""),"Команда №4010")</f>
        <v>Команда №4010</v>
      </c>
      <c r="F726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26" s="7">
        <f ca="1">IFERROR(__xludf.DUMMYFUNCTION("""COMPUTED_VALUE"""),85)</f>
        <v>85</v>
      </c>
    </row>
    <row r="727" spans="1:7" ht="26.4" x14ac:dyDescent="0.25">
      <c r="A727" s="5">
        <f ca="1">IFERROR(__xludf.DUMMYFUNCTION("""COMPUTED_VALUE"""),620)</f>
        <v>620</v>
      </c>
      <c r="B727" s="5" t="str">
        <f ca="1">IFERROR(__xludf.DUMMYFUNCTION("""COMPUTED_VALUE"""),"Крюков")</f>
        <v>Крюков</v>
      </c>
      <c r="C727" s="5" t="str">
        <f ca="1">IFERROR(__xludf.DUMMYFUNCTION("""COMPUTED_VALUE"""),"Анатолий")</f>
        <v>Анатолий</v>
      </c>
      <c r="D727" s="5" t="str">
        <f ca="1">IFERROR(__xludf.DUMMYFUNCTION("""COMPUTED_VALUE"""),"Николаевич")</f>
        <v>Николаевич</v>
      </c>
      <c r="E727" s="5" t="str">
        <f ca="1">IFERROR(__xludf.DUMMYFUNCTION("""COMPUTED_VALUE"""),"Команда №4010")</f>
        <v>Команда №4010</v>
      </c>
      <c r="F727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27" s="7">
        <f ca="1">IFERROR(__xludf.DUMMYFUNCTION("""COMPUTED_VALUE"""),85)</f>
        <v>85</v>
      </c>
    </row>
    <row r="728" spans="1:7" ht="26.4" x14ac:dyDescent="0.25">
      <c r="A728" s="5">
        <f ca="1">IFERROR(__xludf.DUMMYFUNCTION("""COMPUTED_VALUE"""),907)</f>
        <v>907</v>
      </c>
      <c r="B728" s="5" t="str">
        <f ca="1">IFERROR(__xludf.DUMMYFUNCTION("""COMPUTED_VALUE"""),"Пастухов")</f>
        <v>Пастухов</v>
      </c>
      <c r="C728" s="5" t="str">
        <f ca="1">IFERROR(__xludf.DUMMYFUNCTION("""COMPUTED_VALUE"""),"Роман")</f>
        <v>Роман</v>
      </c>
      <c r="D728" s="5" t="str">
        <f ca="1">IFERROR(__xludf.DUMMYFUNCTION("""COMPUTED_VALUE"""),"Максимович")</f>
        <v>Максимович</v>
      </c>
      <c r="E728" s="5" t="str">
        <f ca="1">IFERROR(__xludf.DUMMYFUNCTION("""COMPUTED_VALUE"""),"Команда №4010")</f>
        <v>Команда №4010</v>
      </c>
      <c r="F728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28" s="7">
        <f ca="1">IFERROR(__xludf.DUMMYFUNCTION("""COMPUTED_VALUE"""),85)</f>
        <v>85</v>
      </c>
    </row>
    <row r="729" spans="1:7" ht="26.4" x14ac:dyDescent="0.25">
      <c r="A729" s="5">
        <f ca="1">IFERROR(__xludf.DUMMYFUNCTION("""COMPUTED_VALUE"""),1253)</f>
        <v>1253</v>
      </c>
      <c r="B729" s="5" t="str">
        <f ca="1">IFERROR(__xludf.DUMMYFUNCTION("""COMPUTED_VALUE"""),"Хлыстов")</f>
        <v>Хлыстов</v>
      </c>
      <c r="C729" s="5" t="str">
        <f ca="1">IFERROR(__xludf.DUMMYFUNCTION("""COMPUTED_VALUE"""),"Кирилл")</f>
        <v>Кирилл</v>
      </c>
      <c r="D729" s="5" t="str">
        <f ca="1">IFERROR(__xludf.DUMMYFUNCTION("""COMPUTED_VALUE"""),"Алексеевич")</f>
        <v>Алексеевич</v>
      </c>
      <c r="E729" s="5" t="str">
        <f ca="1">IFERROR(__xludf.DUMMYFUNCTION("""COMPUTED_VALUE"""),"Команда №4010")</f>
        <v>Команда №4010</v>
      </c>
      <c r="F729" s="6" t="str">
        <f ca="1">IFERROR(__xludf.DUMMYFUNCTION("""COMPUTED_VALUE"""),"Аналитика цифровых образовательных материалов")</f>
        <v>Аналитика цифровых образовательных материалов</v>
      </c>
      <c r="G729" s="7">
        <f ca="1">IFERROR(__xludf.DUMMYFUNCTION("""COMPUTED_VALUE"""),85)</f>
        <v>85</v>
      </c>
    </row>
    <row r="730" spans="1:7" ht="13.2" x14ac:dyDescent="0.25">
      <c r="A730" s="5">
        <f ca="1">IFERROR(__xludf.DUMMYFUNCTION("""COMPUTED_VALUE"""),270)</f>
        <v>270</v>
      </c>
      <c r="B730" s="5" t="str">
        <f ca="1">IFERROR(__xludf.DUMMYFUNCTION("""COMPUTED_VALUE"""),"Гордон")</f>
        <v>Гордон</v>
      </c>
      <c r="C730" s="5" t="str">
        <f ca="1">IFERROR(__xludf.DUMMYFUNCTION("""COMPUTED_VALUE"""),"Вячеслав")</f>
        <v>Вячеслав</v>
      </c>
      <c r="D730" s="5" t="str">
        <f ca="1">IFERROR(__xludf.DUMMYFUNCTION("""COMPUTED_VALUE"""),"Максимович")</f>
        <v>Максимович</v>
      </c>
      <c r="E730" s="5" t="str">
        <f ca="1">IFERROR(__xludf.DUMMYFUNCTION("""COMPUTED_VALUE"""),"Команда №4018")</f>
        <v>Команда №4018</v>
      </c>
      <c r="F730" s="6" t="str">
        <f ca="1">IFERROR(__xludf.DUMMYFUNCTION("""COMPUTED_VALUE"""),"Создание калькулятора оценок в Teamproject")</f>
        <v>Создание калькулятора оценок в Teamproject</v>
      </c>
      <c r="G730" s="7">
        <f ca="1">IFERROR(__xludf.DUMMYFUNCTION("""COMPUTED_VALUE"""),90)</f>
        <v>90</v>
      </c>
    </row>
    <row r="731" spans="1:7" ht="13.2" x14ac:dyDescent="0.25">
      <c r="A731" s="5">
        <f ca="1">IFERROR(__xludf.DUMMYFUNCTION("""COMPUTED_VALUE"""),400)</f>
        <v>400</v>
      </c>
      <c r="B731" s="5" t="str">
        <f ca="1">IFERROR(__xludf.DUMMYFUNCTION("""COMPUTED_VALUE"""),"Завьялов")</f>
        <v>Завьялов</v>
      </c>
      <c r="C731" s="5" t="str">
        <f ca="1">IFERROR(__xludf.DUMMYFUNCTION("""COMPUTED_VALUE"""),"Максим")</f>
        <v>Максим</v>
      </c>
      <c r="D731" s="5" t="str">
        <f ca="1">IFERROR(__xludf.DUMMYFUNCTION("""COMPUTED_VALUE"""),"Олегович")</f>
        <v>Олегович</v>
      </c>
      <c r="E731" s="5" t="str">
        <f ca="1">IFERROR(__xludf.DUMMYFUNCTION("""COMPUTED_VALUE"""),"Команда №4018")</f>
        <v>Команда №4018</v>
      </c>
      <c r="F731" s="6" t="str">
        <f ca="1">IFERROR(__xludf.DUMMYFUNCTION("""COMPUTED_VALUE"""),"Создание калькулятора оценок в Teamproject")</f>
        <v>Создание калькулятора оценок в Teamproject</v>
      </c>
      <c r="G731" s="7">
        <f ca="1">IFERROR(__xludf.DUMMYFUNCTION("""COMPUTED_VALUE"""),90)</f>
        <v>90</v>
      </c>
    </row>
    <row r="732" spans="1:7" ht="13.2" x14ac:dyDescent="0.25">
      <c r="A732" s="5">
        <f ca="1">IFERROR(__xludf.DUMMYFUNCTION("""COMPUTED_VALUE"""),678)</f>
        <v>678</v>
      </c>
      <c r="B732" s="5" t="str">
        <f ca="1">IFERROR(__xludf.DUMMYFUNCTION("""COMPUTED_VALUE"""),"Лисник")</f>
        <v>Лисник</v>
      </c>
      <c r="C732" s="5" t="str">
        <f ca="1">IFERROR(__xludf.DUMMYFUNCTION("""COMPUTED_VALUE"""),"Екатерина")</f>
        <v>Екатерина</v>
      </c>
      <c r="D732" s="5"/>
      <c r="E732" s="5" t="str">
        <f ca="1">IFERROR(__xludf.DUMMYFUNCTION("""COMPUTED_VALUE"""),"Команда №4018")</f>
        <v>Команда №4018</v>
      </c>
      <c r="F732" s="6" t="str">
        <f ca="1">IFERROR(__xludf.DUMMYFUNCTION("""COMPUTED_VALUE"""),"Создание калькулятора оценок в Teamproject")</f>
        <v>Создание калькулятора оценок в Teamproject</v>
      </c>
      <c r="G732" s="7">
        <f ca="1">IFERROR(__xludf.DUMMYFUNCTION("""COMPUTED_VALUE"""),90)</f>
        <v>90</v>
      </c>
    </row>
    <row r="733" spans="1:7" ht="13.2" x14ac:dyDescent="0.25">
      <c r="A733" s="5">
        <f ca="1">IFERROR(__xludf.DUMMYFUNCTION("""COMPUTED_VALUE"""),691)</f>
        <v>691</v>
      </c>
      <c r="B733" s="5" t="str">
        <f ca="1">IFERROR(__xludf.DUMMYFUNCTION("""COMPUTED_VALUE"""),"Лукманова")</f>
        <v>Лукманова</v>
      </c>
      <c r="C733" s="5" t="str">
        <f ca="1">IFERROR(__xludf.DUMMYFUNCTION("""COMPUTED_VALUE"""),"Эвелина")</f>
        <v>Эвелина</v>
      </c>
      <c r="D733" s="5" t="str">
        <f ca="1">IFERROR(__xludf.DUMMYFUNCTION("""COMPUTED_VALUE"""),"Илгизовна")</f>
        <v>Илгизовна</v>
      </c>
      <c r="E733" s="5" t="str">
        <f ca="1">IFERROR(__xludf.DUMMYFUNCTION("""COMPUTED_VALUE"""),"Команда №4018")</f>
        <v>Команда №4018</v>
      </c>
      <c r="F733" s="6" t="str">
        <f ca="1">IFERROR(__xludf.DUMMYFUNCTION("""COMPUTED_VALUE"""),"Создание калькулятора оценок в Teamproject")</f>
        <v>Создание калькулятора оценок в Teamproject</v>
      </c>
      <c r="G733" s="7">
        <f ca="1">IFERROR(__xludf.DUMMYFUNCTION("""COMPUTED_VALUE"""),90)</f>
        <v>90</v>
      </c>
    </row>
    <row r="734" spans="1:7" ht="39.6" x14ac:dyDescent="0.25">
      <c r="A734" s="5">
        <f ca="1">IFERROR(__xludf.DUMMYFUNCTION("""COMPUTED_VALUE"""),364)</f>
        <v>364</v>
      </c>
      <c r="B734" s="5" t="str">
        <f ca="1">IFERROR(__xludf.DUMMYFUNCTION("""COMPUTED_VALUE"""),"Емельянов")</f>
        <v>Емельянов</v>
      </c>
      <c r="C734" s="5" t="str">
        <f ca="1">IFERROR(__xludf.DUMMYFUNCTION("""COMPUTED_VALUE"""),"Михаил")</f>
        <v>Михаил</v>
      </c>
      <c r="D734" s="5" t="str">
        <f ca="1">IFERROR(__xludf.DUMMYFUNCTION("""COMPUTED_VALUE"""),"Евгеньевич")</f>
        <v>Евгеньевич</v>
      </c>
      <c r="E734" s="5" t="str">
        <f ca="1">IFERROR(__xludf.DUMMYFUNCTION("""COMPUTED_VALUE"""),"Команда №4024")</f>
        <v>Команда №4024</v>
      </c>
      <c r="F734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34" s="7">
        <f ca="1">IFERROR(__xludf.DUMMYFUNCTION("""COMPUTED_VALUE"""),85)</f>
        <v>85</v>
      </c>
    </row>
    <row r="735" spans="1:7" ht="39.6" x14ac:dyDescent="0.25">
      <c r="A735" s="5">
        <f ca="1">IFERROR(__xludf.DUMMYFUNCTION("""COMPUTED_VALUE"""),365)</f>
        <v>365</v>
      </c>
      <c r="B735" s="5" t="str">
        <f ca="1">IFERROR(__xludf.DUMMYFUNCTION("""COMPUTED_VALUE"""),"Емельянов")</f>
        <v>Емельянов</v>
      </c>
      <c r="C735" s="5" t="str">
        <f ca="1">IFERROR(__xludf.DUMMYFUNCTION("""COMPUTED_VALUE"""),"Егор")</f>
        <v>Егор</v>
      </c>
      <c r="D735" s="5" t="str">
        <f ca="1">IFERROR(__xludf.DUMMYFUNCTION("""COMPUTED_VALUE"""),"Михайлович")</f>
        <v>Михайлович</v>
      </c>
      <c r="E735" s="5" t="str">
        <f ca="1">IFERROR(__xludf.DUMMYFUNCTION("""COMPUTED_VALUE"""),"Команда №4024")</f>
        <v>Команда №4024</v>
      </c>
      <c r="F735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35" s="7">
        <f ca="1">IFERROR(__xludf.DUMMYFUNCTION("""COMPUTED_VALUE"""),85)</f>
        <v>85</v>
      </c>
    </row>
    <row r="736" spans="1:7" ht="39.6" x14ac:dyDescent="0.25">
      <c r="A736" s="5">
        <f ca="1">IFERROR(__xludf.DUMMYFUNCTION("""COMPUTED_VALUE"""),406)</f>
        <v>406</v>
      </c>
      <c r="B736" s="5" t="str">
        <f ca="1">IFERROR(__xludf.DUMMYFUNCTION("""COMPUTED_VALUE"""),"Заднишевский")</f>
        <v>Заднишевский</v>
      </c>
      <c r="C736" s="5" t="str">
        <f ca="1">IFERROR(__xludf.DUMMYFUNCTION("""COMPUTED_VALUE"""),"Илья")</f>
        <v>Илья</v>
      </c>
      <c r="D736" s="5" t="str">
        <f ca="1">IFERROR(__xludf.DUMMYFUNCTION("""COMPUTED_VALUE"""),"Андреевич")</f>
        <v>Андреевич</v>
      </c>
      <c r="E736" s="5" t="str">
        <f ca="1">IFERROR(__xludf.DUMMYFUNCTION("""COMPUTED_VALUE"""),"Команда №4024")</f>
        <v>Команда №4024</v>
      </c>
      <c r="F736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36" s="7">
        <f ca="1">IFERROR(__xludf.DUMMYFUNCTION("""COMPUTED_VALUE"""),85)</f>
        <v>85</v>
      </c>
    </row>
    <row r="737" spans="1:7" ht="39.6" x14ac:dyDescent="0.25">
      <c r="A737" s="5">
        <f ca="1">IFERROR(__xludf.DUMMYFUNCTION("""COMPUTED_VALUE"""),857)</f>
        <v>857</v>
      </c>
      <c r="B737" s="5" t="str">
        <f ca="1">IFERROR(__xludf.DUMMYFUNCTION("""COMPUTED_VALUE"""),"Новокрещенова")</f>
        <v>Новокрещенова</v>
      </c>
      <c r="C737" s="5" t="str">
        <f ca="1">IFERROR(__xludf.DUMMYFUNCTION("""COMPUTED_VALUE"""),"Алёна")</f>
        <v>Алёна</v>
      </c>
      <c r="D737" s="5" t="str">
        <f ca="1">IFERROR(__xludf.DUMMYFUNCTION("""COMPUTED_VALUE"""),"Вячеславовна")</f>
        <v>Вячеславовна</v>
      </c>
      <c r="E737" s="5" t="str">
        <f ca="1">IFERROR(__xludf.DUMMYFUNCTION("""COMPUTED_VALUE"""),"Команда №4024")</f>
        <v>Команда №4024</v>
      </c>
      <c r="F737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37" s="7">
        <f ca="1">IFERROR(__xludf.DUMMYFUNCTION("""COMPUTED_VALUE"""),85)</f>
        <v>85</v>
      </c>
    </row>
    <row r="738" spans="1:7" ht="39.6" x14ac:dyDescent="0.25">
      <c r="A738" s="5">
        <f ca="1">IFERROR(__xludf.DUMMYFUNCTION("""COMPUTED_VALUE"""),975)</f>
        <v>975</v>
      </c>
      <c r="B738" s="5" t="str">
        <f ca="1">IFERROR(__xludf.DUMMYFUNCTION("""COMPUTED_VALUE"""),"Пшеничников")</f>
        <v>Пшеничников</v>
      </c>
      <c r="C738" s="5" t="str">
        <f ca="1">IFERROR(__xludf.DUMMYFUNCTION("""COMPUTED_VALUE"""),"Артём")</f>
        <v>Артём</v>
      </c>
      <c r="D738" s="5" t="str">
        <f ca="1">IFERROR(__xludf.DUMMYFUNCTION("""COMPUTED_VALUE"""),"Сергеевич")</f>
        <v>Сергеевич</v>
      </c>
      <c r="E738" s="5" t="str">
        <f ca="1">IFERROR(__xludf.DUMMYFUNCTION("""COMPUTED_VALUE"""),"Команда №4024")</f>
        <v>Команда №4024</v>
      </c>
      <c r="F738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38" s="7">
        <f ca="1">IFERROR(__xludf.DUMMYFUNCTION("""COMPUTED_VALUE"""),85)</f>
        <v>85</v>
      </c>
    </row>
    <row r="739" spans="1:7" ht="26.4" x14ac:dyDescent="0.25">
      <c r="A739" s="5">
        <f ca="1">IFERROR(__xludf.DUMMYFUNCTION("""COMPUTED_VALUE"""),215)</f>
        <v>215</v>
      </c>
      <c r="B739" s="5" t="str">
        <f ca="1">IFERROR(__xludf.DUMMYFUNCTION("""COMPUTED_VALUE"""),"Волосников")</f>
        <v>Волосников</v>
      </c>
      <c r="C739" s="5" t="str">
        <f ca="1">IFERROR(__xludf.DUMMYFUNCTION("""COMPUTED_VALUE"""),"Данил")</f>
        <v>Данил</v>
      </c>
      <c r="D739" s="5" t="str">
        <f ca="1">IFERROR(__xludf.DUMMYFUNCTION("""COMPUTED_VALUE"""),"Викторович")</f>
        <v>Викторович</v>
      </c>
      <c r="E739" s="5" t="str">
        <f ca="1">IFERROR(__xludf.DUMMYFUNCTION("""COMPUTED_VALUE"""),"Команда №4029")</f>
        <v>Команда №4029</v>
      </c>
      <c r="F739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739" s="7">
        <f ca="1">IFERROR(__xludf.DUMMYFUNCTION("""COMPUTED_VALUE"""),85)</f>
        <v>85</v>
      </c>
    </row>
    <row r="740" spans="1:7" ht="26.4" x14ac:dyDescent="0.25">
      <c r="A740" s="5">
        <f ca="1">IFERROR(__xludf.DUMMYFUNCTION("""COMPUTED_VALUE"""),686)</f>
        <v>686</v>
      </c>
      <c r="B740" s="5" t="str">
        <f ca="1">IFERROR(__xludf.DUMMYFUNCTION("""COMPUTED_VALUE"""),"Лопес")</f>
        <v>Лопес</v>
      </c>
      <c r="C740" s="5" t="str">
        <f ca="1">IFERROR(__xludf.DUMMYFUNCTION("""COMPUTED_VALUE"""),"Рейнага")</f>
        <v>Рейнага</v>
      </c>
      <c r="D740" s="5" t="str">
        <f ca="1">IFERROR(__xludf.DUMMYFUNCTION("""COMPUTED_VALUE"""),"Мигель")</f>
        <v>Мигель</v>
      </c>
      <c r="E740" s="5" t="str">
        <f ca="1">IFERROR(__xludf.DUMMYFUNCTION("""COMPUTED_VALUE"""),"Команда №4029")</f>
        <v>Команда №4029</v>
      </c>
      <c r="F740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740" s="7">
        <f ca="1">IFERROR(__xludf.DUMMYFUNCTION("""COMPUTED_VALUE"""),85)</f>
        <v>85</v>
      </c>
    </row>
    <row r="741" spans="1:7" ht="26.4" x14ac:dyDescent="0.25">
      <c r="A741" s="5">
        <f ca="1">IFERROR(__xludf.DUMMYFUNCTION("""COMPUTED_VALUE"""),940)</f>
        <v>940</v>
      </c>
      <c r="B741" s="5" t="str">
        <f ca="1">IFERROR(__xludf.DUMMYFUNCTION("""COMPUTED_VALUE"""),"Полозков")</f>
        <v>Полозков</v>
      </c>
      <c r="C741" s="5" t="str">
        <f ca="1">IFERROR(__xludf.DUMMYFUNCTION("""COMPUTED_VALUE"""),"Марк")</f>
        <v>Марк</v>
      </c>
      <c r="D741" s="5"/>
      <c r="E741" s="5" t="str">
        <f ca="1">IFERROR(__xludf.DUMMYFUNCTION("""COMPUTED_VALUE"""),"Команда №4029")</f>
        <v>Команда №4029</v>
      </c>
      <c r="F741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741" s="7">
        <f ca="1">IFERROR(__xludf.DUMMYFUNCTION("""COMPUTED_VALUE"""),85)</f>
        <v>85</v>
      </c>
    </row>
    <row r="742" spans="1:7" ht="26.4" x14ac:dyDescent="0.25">
      <c r="A742" s="5">
        <f ca="1">IFERROR(__xludf.DUMMYFUNCTION("""COMPUTED_VALUE"""),1077)</f>
        <v>1077</v>
      </c>
      <c r="B742" s="5" t="str">
        <f ca="1">IFERROR(__xludf.DUMMYFUNCTION("""COMPUTED_VALUE"""),"Скукина")</f>
        <v>Скукина</v>
      </c>
      <c r="C742" s="5" t="str">
        <f ca="1">IFERROR(__xludf.DUMMYFUNCTION("""COMPUTED_VALUE"""),"Алина")</f>
        <v>Алина</v>
      </c>
      <c r="D742" s="5" t="str">
        <f ca="1">IFERROR(__xludf.DUMMYFUNCTION("""COMPUTED_VALUE"""),"Андреевна")</f>
        <v>Андреевна</v>
      </c>
      <c r="E742" s="5" t="str">
        <f ca="1">IFERROR(__xludf.DUMMYFUNCTION("""COMPUTED_VALUE"""),"Команда №4029")</f>
        <v>Команда №4029</v>
      </c>
      <c r="F742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742" s="7">
        <f ca="1">IFERROR(__xludf.DUMMYFUNCTION("""COMPUTED_VALUE"""),85)</f>
        <v>85</v>
      </c>
    </row>
    <row r="743" spans="1:7" ht="26.4" x14ac:dyDescent="0.25">
      <c r="A743" s="5">
        <f ca="1">IFERROR(__xludf.DUMMYFUNCTION("""COMPUTED_VALUE"""),1248)</f>
        <v>1248</v>
      </c>
      <c r="B743" s="5" t="str">
        <f ca="1">IFERROR(__xludf.DUMMYFUNCTION("""COMPUTED_VALUE"""),"Химченко")</f>
        <v>Химченко</v>
      </c>
      <c r="C743" s="5" t="str">
        <f ca="1">IFERROR(__xludf.DUMMYFUNCTION("""COMPUTED_VALUE"""),"Ирина")</f>
        <v>Ирина</v>
      </c>
      <c r="D743" s="5" t="str">
        <f ca="1">IFERROR(__xludf.DUMMYFUNCTION("""COMPUTED_VALUE"""),"Вадимовна")</f>
        <v>Вадимовна</v>
      </c>
      <c r="E743" s="5" t="str">
        <f ca="1">IFERROR(__xludf.DUMMYFUNCTION("""COMPUTED_VALUE"""),"Команда №4029")</f>
        <v>Команда №4029</v>
      </c>
      <c r="F743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743" s="7">
        <f ca="1">IFERROR(__xludf.DUMMYFUNCTION("""COMPUTED_VALUE"""),85)</f>
        <v>85</v>
      </c>
    </row>
    <row r="744" spans="1:7" ht="13.2" x14ac:dyDescent="0.25">
      <c r="A744" s="5">
        <f ca="1">IFERROR(__xludf.DUMMYFUNCTION("""COMPUTED_VALUE"""),437)</f>
        <v>437</v>
      </c>
      <c r="B744" s="5" t="str">
        <f ca="1">IFERROR(__xludf.DUMMYFUNCTION("""COMPUTED_VALUE"""),"Зороглян")</f>
        <v>Зороглян</v>
      </c>
      <c r="C744" s="5" t="str">
        <f ca="1">IFERROR(__xludf.DUMMYFUNCTION("""COMPUTED_VALUE"""),"Егор")</f>
        <v>Егор</v>
      </c>
      <c r="D744" s="5" t="str">
        <f ca="1">IFERROR(__xludf.DUMMYFUNCTION("""COMPUTED_VALUE"""),"Венетикович")</f>
        <v>Венетикович</v>
      </c>
      <c r="E744" s="5" t="str">
        <f ca="1">IFERROR(__xludf.DUMMYFUNCTION("""COMPUTED_VALUE"""),"Команда №4039")</f>
        <v>Команда №4039</v>
      </c>
      <c r="F744" s="6" t="str">
        <f ca="1">IFERROR(__xludf.DUMMYFUNCTION("""COMPUTED_VALUE"""),"Создание приложения для смартфона")</f>
        <v>Создание приложения для смартфона</v>
      </c>
      <c r="G744" s="7">
        <f ca="1">IFERROR(__xludf.DUMMYFUNCTION("""COMPUTED_VALUE"""),85)</f>
        <v>85</v>
      </c>
    </row>
    <row r="745" spans="1:7" ht="13.2" x14ac:dyDescent="0.25">
      <c r="A745" s="5">
        <f ca="1">IFERROR(__xludf.DUMMYFUNCTION("""COMPUTED_VALUE"""),504)</f>
        <v>504</v>
      </c>
      <c r="B745" s="5" t="str">
        <f ca="1">IFERROR(__xludf.DUMMYFUNCTION("""COMPUTED_VALUE"""),"Кашапов")</f>
        <v>Кашапов</v>
      </c>
      <c r="C745" s="5" t="str">
        <f ca="1">IFERROR(__xludf.DUMMYFUNCTION("""COMPUTED_VALUE"""),"Вадим")</f>
        <v>Вадим</v>
      </c>
      <c r="D745" s="5" t="str">
        <f ca="1">IFERROR(__xludf.DUMMYFUNCTION("""COMPUTED_VALUE"""),"Винерович")</f>
        <v>Винерович</v>
      </c>
      <c r="E745" s="5" t="str">
        <f ca="1">IFERROR(__xludf.DUMMYFUNCTION("""COMPUTED_VALUE"""),"Команда №4039")</f>
        <v>Команда №4039</v>
      </c>
      <c r="F745" s="6" t="str">
        <f ca="1">IFERROR(__xludf.DUMMYFUNCTION("""COMPUTED_VALUE"""),"Создание приложения для смартфона")</f>
        <v>Создание приложения для смартфона</v>
      </c>
      <c r="G745" s="7">
        <f ca="1">IFERROR(__xludf.DUMMYFUNCTION("""COMPUTED_VALUE"""),85)</f>
        <v>85</v>
      </c>
    </row>
    <row r="746" spans="1:7" ht="13.2" x14ac:dyDescent="0.25">
      <c r="A746" s="5">
        <f ca="1">IFERROR(__xludf.DUMMYFUNCTION("""COMPUTED_VALUE"""),514)</f>
        <v>514</v>
      </c>
      <c r="B746" s="5" t="str">
        <f ca="1">IFERROR(__xludf.DUMMYFUNCTION("""COMPUTED_VALUE"""),"Кирионенко")</f>
        <v>Кирионенко</v>
      </c>
      <c r="C746" s="5" t="str">
        <f ca="1">IFERROR(__xludf.DUMMYFUNCTION("""COMPUTED_VALUE"""),"Михаил")</f>
        <v>Михаил</v>
      </c>
      <c r="D746" s="5" t="str">
        <f ca="1">IFERROR(__xludf.DUMMYFUNCTION("""COMPUTED_VALUE"""),"Александрович")</f>
        <v>Александрович</v>
      </c>
      <c r="E746" s="5" t="str">
        <f ca="1">IFERROR(__xludf.DUMMYFUNCTION("""COMPUTED_VALUE"""),"Команда №4039")</f>
        <v>Команда №4039</v>
      </c>
      <c r="F746" s="6" t="str">
        <f ca="1">IFERROR(__xludf.DUMMYFUNCTION("""COMPUTED_VALUE"""),"Создание приложения для смартфона")</f>
        <v>Создание приложения для смартфона</v>
      </c>
      <c r="G746" s="7">
        <f ca="1">IFERROR(__xludf.DUMMYFUNCTION("""COMPUTED_VALUE"""),85)</f>
        <v>85</v>
      </c>
    </row>
    <row r="747" spans="1:7" ht="13.2" x14ac:dyDescent="0.25">
      <c r="A747" s="5">
        <f ca="1">IFERROR(__xludf.DUMMYFUNCTION("""COMPUTED_VALUE"""),610)</f>
        <v>610</v>
      </c>
      <c r="B747" s="5" t="str">
        <f ca="1">IFERROR(__xludf.DUMMYFUNCTION("""COMPUTED_VALUE"""),"Кремсер")</f>
        <v>Кремсер</v>
      </c>
      <c r="C747" s="5" t="str">
        <f ca="1">IFERROR(__xludf.DUMMYFUNCTION("""COMPUTED_VALUE"""),"Александр")</f>
        <v>Александр</v>
      </c>
      <c r="D747" s="5" t="str">
        <f ca="1">IFERROR(__xludf.DUMMYFUNCTION("""COMPUTED_VALUE"""),"Вячеславович")</f>
        <v>Вячеславович</v>
      </c>
      <c r="E747" s="5" t="str">
        <f ca="1">IFERROR(__xludf.DUMMYFUNCTION("""COMPUTED_VALUE"""),"Команда №4039")</f>
        <v>Команда №4039</v>
      </c>
      <c r="F747" s="6" t="str">
        <f ca="1">IFERROR(__xludf.DUMMYFUNCTION("""COMPUTED_VALUE"""),"Создание приложения для смартфона")</f>
        <v>Создание приложения для смартфона</v>
      </c>
      <c r="G747" s="7">
        <f ca="1">IFERROR(__xludf.DUMMYFUNCTION("""COMPUTED_VALUE"""),85)</f>
        <v>85</v>
      </c>
    </row>
    <row r="748" spans="1:7" ht="13.2" x14ac:dyDescent="0.25">
      <c r="A748" s="5">
        <f ca="1">IFERROR(__xludf.DUMMYFUNCTION("""COMPUTED_VALUE"""),31)</f>
        <v>31</v>
      </c>
      <c r="B748" s="5" t="str">
        <f ca="1">IFERROR(__xludf.DUMMYFUNCTION("""COMPUTED_VALUE"""),"Алёшин")</f>
        <v>Алёшин</v>
      </c>
      <c r="C748" s="5" t="str">
        <f ca="1">IFERROR(__xludf.DUMMYFUNCTION("""COMPUTED_VALUE"""),"Максим")</f>
        <v>Максим</v>
      </c>
      <c r="D748" s="5" t="str">
        <f ca="1">IFERROR(__xludf.DUMMYFUNCTION("""COMPUTED_VALUE"""),"Николаевич")</f>
        <v>Николаевич</v>
      </c>
      <c r="E748" s="5" t="str">
        <f ca="1">IFERROR(__xludf.DUMMYFUNCTION("""COMPUTED_VALUE"""),"Команда №4040")</f>
        <v>Команда №4040</v>
      </c>
      <c r="F748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48" s="7">
        <f ca="1">IFERROR(__xludf.DUMMYFUNCTION("""COMPUTED_VALUE"""),85)</f>
        <v>85</v>
      </c>
    </row>
    <row r="749" spans="1:7" ht="13.2" x14ac:dyDescent="0.25">
      <c r="A749" s="5">
        <f ca="1">IFERROR(__xludf.DUMMYFUNCTION("""COMPUTED_VALUE"""),213)</f>
        <v>213</v>
      </c>
      <c r="B749" s="5" t="str">
        <f ca="1">IFERROR(__xludf.DUMMYFUNCTION("""COMPUTED_VALUE"""),"Волков")</f>
        <v>Волков</v>
      </c>
      <c r="C749" s="5" t="str">
        <f ca="1">IFERROR(__xludf.DUMMYFUNCTION("""COMPUTED_VALUE"""),"Даниил")</f>
        <v>Даниил</v>
      </c>
      <c r="D749" s="5" t="str">
        <f ca="1">IFERROR(__xludf.DUMMYFUNCTION("""COMPUTED_VALUE"""),"Витальевич")</f>
        <v>Витальевич</v>
      </c>
      <c r="E749" s="5" t="str">
        <f ca="1">IFERROR(__xludf.DUMMYFUNCTION("""COMPUTED_VALUE"""),"Команда №4040")</f>
        <v>Команда №4040</v>
      </c>
      <c r="F749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49" s="7">
        <f ca="1">IFERROR(__xludf.DUMMYFUNCTION("""COMPUTED_VALUE"""),85)</f>
        <v>85</v>
      </c>
    </row>
    <row r="750" spans="1:7" ht="13.2" x14ac:dyDescent="0.25">
      <c r="A750" s="5">
        <f ca="1">IFERROR(__xludf.DUMMYFUNCTION("""COMPUTED_VALUE"""),566)</f>
        <v>566</v>
      </c>
      <c r="B750" s="5" t="str">
        <f ca="1">IFERROR(__xludf.DUMMYFUNCTION("""COMPUTED_VALUE"""),"Конилов")</f>
        <v>Конилов</v>
      </c>
      <c r="C750" s="5" t="str">
        <f ca="1">IFERROR(__xludf.DUMMYFUNCTION("""COMPUTED_VALUE"""),"Александр")</f>
        <v>Александр</v>
      </c>
      <c r="D750" s="5" t="str">
        <f ca="1">IFERROR(__xludf.DUMMYFUNCTION("""COMPUTED_VALUE"""),"Игоревич")</f>
        <v>Игоревич</v>
      </c>
      <c r="E750" s="5" t="str">
        <f ca="1">IFERROR(__xludf.DUMMYFUNCTION("""COMPUTED_VALUE"""),"Команда №4040")</f>
        <v>Команда №4040</v>
      </c>
      <c r="F750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50" s="7">
        <f ca="1">IFERROR(__xludf.DUMMYFUNCTION("""COMPUTED_VALUE"""),85)</f>
        <v>85</v>
      </c>
    </row>
    <row r="751" spans="1:7" ht="13.2" x14ac:dyDescent="0.25">
      <c r="A751" s="5">
        <f ca="1">IFERROR(__xludf.DUMMYFUNCTION("""COMPUTED_VALUE"""),845)</f>
        <v>845</v>
      </c>
      <c r="B751" s="5" t="str">
        <f ca="1">IFERROR(__xludf.DUMMYFUNCTION("""COMPUTED_VALUE"""),"Никифоров")</f>
        <v>Никифоров</v>
      </c>
      <c r="C751" s="5" t="str">
        <f ca="1">IFERROR(__xludf.DUMMYFUNCTION("""COMPUTED_VALUE"""),"Роман")</f>
        <v>Роман</v>
      </c>
      <c r="D751" s="5" t="str">
        <f ca="1">IFERROR(__xludf.DUMMYFUNCTION("""COMPUTED_VALUE"""),"Евгеньевич")</f>
        <v>Евгеньевич</v>
      </c>
      <c r="E751" s="5" t="str">
        <f ca="1">IFERROR(__xludf.DUMMYFUNCTION("""COMPUTED_VALUE"""),"Команда №4040")</f>
        <v>Команда №4040</v>
      </c>
      <c r="F751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51" s="7">
        <f ca="1">IFERROR(__xludf.DUMMYFUNCTION("""COMPUTED_VALUE"""),85)</f>
        <v>85</v>
      </c>
    </row>
    <row r="752" spans="1:7" ht="13.2" x14ac:dyDescent="0.25">
      <c r="A752" s="5">
        <f ca="1">IFERROR(__xludf.DUMMYFUNCTION("""COMPUTED_VALUE"""),846)</f>
        <v>846</v>
      </c>
      <c r="B752" s="5" t="str">
        <f ca="1">IFERROR(__xludf.DUMMYFUNCTION("""COMPUTED_VALUE"""),"Никифоров")</f>
        <v>Никифоров</v>
      </c>
      <c r="C752" s="5" t="str">
        <f ca="1">IFERROR(__xludf.DUMMYFUNCTION("""COMPUTED_VALUE"""),"Кирилл")</f>
        <v>Кирилл</v>
      </c>
      <c r="D752" s="5" t="str">
        <f ca="1">IFERROR(__xludf.DUMMYFUNCTION("""COMPUTED_VALUE"""),"Николаевич")</f>
        <v>Николаевич</v>
      </c>
      <c r="E752" s="5" t="str">
        <f ca="1">IFERROR(__xludf.DUMMYFUNCTION("""COMPUTED_VALUE"""),"Команда №4040")</f>
        <v>Команда №4040</v>
      </c>
      <c r="F752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52" s="7">
        <f ca="1">IFERROR(__xludf.DUMMYFUNCTION("""COMPUTED_VALUE"""),85)</f>
        <v>85</v>
      </c>
    </row>
    <row r="753" spans="1:7" ht="26.4" x14ac:dyDescent="0.25">
      <c r="A753" s="5">
        <f ca="1">IFERROR(__xludf.DUMMYFUNCTION("""COMPUTED_VALUE"""),129)</f>
        <v>129</v>
      </c>
      <c r="B753" s="5" t="str">
        <f ca="1">IFERROR(__xludf.DUMMYFUNCTION("""COMPUTED_VALUE"""),"Блидина")</f>
        <v>Блидина</v>
      </c>
      <c r="C753" s="5" t="str">
        <f ca="1">IFERROR(__xludf.DUMMYFUNCTION("""COMPUTED_VALUE"""),"Анастасия")</f>
        <v>Анастасия</v>
      </c>
      <c r="D753" s="5" t="str">
        <f ca="1">IFERROR(__xludf.DUMMYFUNCTION("""COMPUTED_VALUE"""),"Алексеевна")</f>
        <v>Алексеевна</v>
      </c>
      <c r="E753" s="5" t="str">
        <f ca="1">IFERROR(__xludf.DUMMYFUNCTION("""COMPUTED_VALUE"""),"Команда №4041")</f>
        <v>Команда №4041</v>
      </c>
      <c r="F753" s="6" t="str">
        <f ca="1">IFERROR(__xludf.DUMMYFUNCTION("""COMPUTED_VALUE"""),"Доработка программы учета контингента слушателей подготовительного отделения УрФУ")</f>
        <v>Доработка программы учета контингента слушателей подготовительного отделения УрФУ</v>
      </c>
      <c r="G753" s="7">
        <f ca="1">IFERROR(__xludf.DUMMYFUNCTION("""COMPUTED_VALUE"""),100)</f>
        <v>100</v>
      </c>
    </row>
    <row r="754" spans="1:7" ht="26.4" x14ac:dyDescent="0.25">
      <c r="A754" s="5">
        <f ca="1">IFERROR(__xludf.DUMMYFUNCTION("""COMPUTED_VALUE"""),342)</f>
        <v>342</v>
      </c>
      <c r="B754" s="5" t="str">
        <f ca="1">IFERROR(__xludf.DUMMYFUNCTION("""COMPUTED_VALUE"""),"Друженьков")</f>
        <v>Друженьков</v>
      </c>
      <c r="C754" s="5" t="str">
        <f ca="1">IFERROR(__xludf.DUMMYFUNCTION("""COMPUTED_VALUE"""),"Григорий")</f>
        <v>Григорий</v>
      </c>
      <c r="D754" s="5" t="str">
        <f ca="1">IFERROR(__xludf.DUMMYFUNCTION("""COMPUTED_VALUE"""),"Владимирович")</f>
        <v>Владимирович</v>
      </c>
      <c r="E754" s="5" t="str">
        <f ca="1">IFERROR(__xludf.DUMMYFUNCTION("""COMPUTED_VALUE"""),"Команда №4041")</f>
        <v>Команда №4041</v>
      </c>
      <c r="F754" s="6" t="str">
        <f ca="1">IFERROR(__xludf.DUMMYFUNCTION("""COMPUTED_VALUE"""),"Доработка программы учета контингента слушателей подготовительного отделения УрФУ")</f>
        <v>Доработка программы учета контингента слушателей подготовительного отделения УрФУ</v>
      </c>
      <c r="G754" s="7">
        <f ca="1">IFERROR(__xludf.DUMMYFUNCTION("""COMPUTED_VALUE"""),100)</f>
        <v>100</v>
      </c>
    </row>
    <row r="755" spans="1:7" ht="26.4" x14ac:dyDescent="0.25">
      <c r="A755" s="5">
        <f ca="1">IFERROR(__xludf.DUMMYFUNCTION("""COMPUTED_VALUE"""),347)</f>
        <v>347</v>
      </c>
      <c r="B755" s="5" t="str">
        <f ca="1">IFERROR(__xludf.DUMMYFUNCTION("""COMPUTED_VALUE"""),"Дубских")</f>
        <v>Дубских</v>
      </c>
      <c r="C755" s="5" t="str">
        <f ca="1">IFERROR(__xludf.DUMMYFUNCTION("""COMPUTED_VALUE"""),"Семён")</f>
        <v>Семён</v>
      </c>
      <c r="D755" s="5" t="str">
        <f ca="1">IFERROR(__xludf.DUMMYFUNCTION("""COMPUTED_VALUE"""),"Николаевич")</f>
        <v>Николаевич</v>
      </c>
      <c r="E755" s="5" t="str">
        <f ca="1">IFERROR(__xludf.DUMMYFUNCTION("""COMPUTED_VALUE"""),"Команда №4041")</f>
        <v>Команда №4041</v>
      </c>
      <c r="F755" s="6" t="str">
        <f ca="1">IFERROR(__xludf.DUMMYFUNCTION("""COMPUTED_VALUE"""),"Доработка программы учета контингента слушателей подготовительного отделения УрФУ")</f>
        <v>Доработка программы учета контингента слушателей подготовительного отделения УрФУ</v>
      </c>
      <c r="G755" s="7">
        <f ca="1">IFERROR(__xludf.DUMMYFUNCTION("""COMPUTED_VALUE"""),100)</f>
        <v>100</v>
      </c>
    </row>
    <row r="756" spans="1:7" ht="26.4" x14ac:dyDescent="0.25">
      <c r="A756" s="5">
        <f ca="1">IFERROR(__xludf.DUMMYFUNCTION("""COMPUTED_VALUE"""),538)</f>
        <v>538</v>
      </c>
      <c r="B756" s="5" t="str">
        <f ca="1">IFERROR(__xludf.DUMMYFUNCTION("""COMPUTED_VALUE"""),"Кожевников")</f>
        <v>Кожевников</v>
      </c>
      <c r="C756" s="5" t="str">
        <f ca="1">IFERROR(__xludf.DUMMYFUNCTION("""COMPUTED_VALUE"""),"Арсений")</f>
        <v>Арсений</v>
      </c>
      <c r="D756" s="5" t="str">
        <f ca="1">IFERROR(__xludf.DUMMYFUNCTION("""COMPUTED_VALUE"""),"Андреевич")</f>
        <v>Андреевич</v>
      </c>
      <c r="E756" s="5" t="str">
        <f ca="1">IFERROR(__xludf.DUMMYFUNCTION("""COMPUTED_VALUE"""),"Команда №4041")</f>
        <v>Команда №4041</v>
      </c>
      <c r="F756" s="6" t="str">
        <f ca="1">IFERROR(__xludf.DUMMYFUNCTION("""COMPUTED_VALUE"""),"Доработка программы учета контингента слушателей подготовительного отделения УрФУ")</f>
        <v>Доработка программы учета контингента слушателей подготовительного отделения УрФУ</v>
      </c>
      <c r="G756" s="7">
        <f ca="1">IFERROR(__xludf.DUMMYFUNCTION("""COMPUTED_VALUE"""),100)</f>
        <v>100</v>
      </c>
    </row>
    <row r="757" spans="1:7" ht="26.4" x14ac:dyDescent="0.25">
      <c r="A757" s="5">
        <f ca="1">IFERROR(__xludf.DUMMYFUNCTION("""COMPUTED_VALUE"""),1092)</f>
        <v>1092</v>
      </c>
      <c r="B757" s="5" t="str">
        <f ca="1">IFERROR(__xludf.DUMMYFUNCTION("""COMPUTED_VALUE"""),"Согрин")</f>
        <v>Согрин</v>
      </c>
      <c r="C757" s="5" t="str">
        <f ca="1">IFERROR(__xludf.DUMMYFUNCTION("""COMPUTED_VALUE"""),"Александр")</f>
        <v>Александр</v>
      </c>
      <c r="D757" s="5" t="str">
        <f ca="1">IFERROR(__xludf.DUMMYFUNCTION("""COMPUTED_VALUE"""),"Андреевич")</f>
        <v>Андреевич</v>
      </c>
      <c r="E757" s="5" t="str">
        <f ca="1">IFERROR(__xludf.DUMMYFUNCTION("""COMPUTED_VALUE"""),"Команда №4041")</f>
        <v>Команда №4041</v>
      </c>
      <c r="F757" s="6" t="str">
        <f ca="1">IFERROR(__xludf.DUMMYFUNCTION("""COMPUTED_VALUE"""),"Доработка программы учета контингента слушателей подготовительного отделения УрФУ")</f>
        <v>Доработка программы учета контингента слушателей подготовительного отделения УрФУ</v>
      </c>
      <c r="G757" s="7">
        <f ca="1">IFERROR(__xludf.DUMMYFUNCTION("""COMPUTED_VALUE"""),100)</f>
        <v>100</v>
      </c>
    </row>
    <row r="758" spans="1:7" ht="13.2" x14ac:dyDescent="0.25">
      <c r="A758" s="5">
        <f ca="1">IFERROR(__xludf.DUMMYFUNCTION("""COMPUTED_VALUE"""),254)</f>
        <v>254</v>
      </c>
      <c r="B758" s="5" t="str">
        <f ca="1">IFERROR(__xludf.DUMMYFUNCTION("""COMPUTED_VALUE"""),"Гладышев")</f>
        <v>Гладышев</v>
      </c>
      <c r="C758" s="5" t="str">
        <f ca="1">IFERROR(__xludf.DUMMYFUNCTION("""COMPUTED_VALUE"""),"Семён")</f>
        <v>Семён</v>
      </c>
      <c r="D758" s="5" t="str">
        <f ca="1">IFERROR(__xludf.DUMMYFUNCTION("""COMPUTED_VALUE"""),"Владимирович")</f>
        <v>Владимирович</v>
      </c>
      <c r="E758" s="5" t="str">
        <f ca="1">IFERROR(__xludf.DUMMYFUNCTION("""COMPUTED_VALUE"""),"Команда №4047")</f>
        <v>Команда №4047</v>
      </c>
      <c r="F758" s="6" t="str">
        <f ca="1">IFERROR(__xludf.DUMMYFUNCTION("""COMPUTED_VALUE"""),"Разработка цифрового города")</f>
        <v>Разработка цифрового города</v>
      </c>
      <c r="G758" s="7">
        <f ca="1">IFERROR(__xludf.DUMMYFUNCTION("""COMPUTED_VALUE"""),85)</f>
        <v>85</v>
      </c>
    </row>
    <row r="759" spans="1:7" ht="13.2" x14ac:dyDescent="0.25">
      <c r="A759" s="5">
        <f ca="1">IFERROR(__xludf.DUMMYFUNCTION("""COMPUTED_VALUE"""),1046)</f>
        <v>1046</v>
      </c>
      <c r="B759" s="5" t="str">
        <f ca="1">IFERROR(__xludf.DUMMYFUNCTION("""COMPUTED_VALUE"""),"Свиридова")</f>
        <v>Свиридова</v>
      </c>
      <c r="C759" s="5" t="str">
        <f ca="1">IFERROR(__xludf.DUMMYFUNCTION("""COMPUTED_VALUE"""),"Ольга")</f>
        <v>Ольга</v>
      </c>
      <c r="D759" s="5" t="str">
        <f ca="1">IFERROR(__xludf.DUMMYFUNCTION("""COMPUTED_VALUE"""),"Анатольевна")</f>
        <v>Анатольевна</v>
      </c>
      <c r="E759" s="5" t="str">
        <f ca="1">IFERROR(__xludf.DUMMYFUNCTION("""COMPUTED_VALUE"""),"Команда №4047")</f>
        <v>Команда №4047</v>
      </c>
      <c r="F759" s="6" t="str">
        <f ca="1">IFERROR(__xludf.DUMMYFUNCTION("""COMPUTED_VALUE"""),"Разработка цифрового города")</f>
        <v>Разработка цифрового города</v>
      </c>
      <c r="G759" s="7">
        <f ca="1">IFERROR(__xludf.DUMMYFUNCTION("""COMPUTED_VALUE"""),85)</f>
        <v>85</v>
      </c>
    </row>
    <row r="760" spans="1:7" ht="13.2" x14ac:dyDescent="0.25">
      <c r="A760" s="5">
        <f ca="1">IFERROR(__xludf.DUMMYFUNCTION("""COMPUTED_VALUE"""),1117)</f>
        <v>1117</v>
      </c>
      <c r="B760" s="5" t="str">
        <f ca="1">IFERROR(__xludf.DUMMYFUNCTION("""COMPUTED_VALUE"""),"Старцев")</f>
        <v>Старцев</v>
      </c>
      <c r="C760" s="5" t="str">
        <f ca="1">IFERROR(__xludf.DUMMYFUNCTION("""COMPUTED_VALUE"""),"Кирилл")</f>
        <v>Кирилл</v>
      </c>
      <c r="D760" s="5" t="str">
        <f ca="1">IFERROR(__xludf.DUMMYFUNCTION("""COMPUTED_VALUE"""),"Максимович")</f>
        <v>Максимович</v>
      </c>
      <c r="E760" s="5" t="str">
        <f ca="1">IFERROR(__xludf.DUMMYFUNCTION("""COMPUTED_VALUE"""),"Команда №4047")</f>
        <v>Команда №4047</v>
      </c>
      <c r="F760" s="6" t="str">
        <f ca="1">IFERROR(__xludf.DUMMYFUNCTION("""COMPUTED_VALUE"""),"Разработка цифрового города")</f>
        <v>Разработка цифрового города</v>
      </c>
      <c r="G760" s="7">
        <f ca="1">IFERROR(__xludf.DUMMYFUNCTION("""COMPUTED_VALUE"""),85)</f>
        <v>85</v>
      </c>
    </row>
    <row r="761" spans="1:7" ht="13.2" x14ac:dyDescent="0.25">
      <c r="A761" s="5">
        <f ca="1">IFERROR(__xludf.DUMMYFUNCTION("""COMPUTED_VALUE"""),1152)</f>
        <v>1152</v>
      </c>
      <c r="B761" s="5" t="str">
        <f ca="1">IFERROR(__xludf.DUMMYFUNCTION("""COMPUTED_VALUE"""),"Теряев")</f>
        <v>Теряев</v>
      </c>
      <c r="C761" s="5" t="str">
        <f ca="1">IFERROR(__xludf.DUMMYFUNCTION("""COMPUTED_VALUE"""),"Алексей")</f>
        <v>Алексей</v>
      </c>
      <c r="D761" s="5" t="str">
        <f ca="1">IFERROR(__xludf.DUMMYFUNCTION("""COMPUTED_VALUE"""),"Владимирович")</f>
        <v>Владимирович</v>
      </c>
      <c r="E761" s="5" t="str">
        <f ca="1">IFERROR(__xludf.DUMMYFUNCTION("""COMPUTED_VALUE"""),"Команда №4047")</f>
        <v>Команда №4047</v>
      </c>
      <c r="F761" s="6" t="str">
        <f ca="1">IFERROR(__xludf.DUMMYFUNCTION("""COMPUTED_VALUE"""),"Разработка цифрового города")</f>
        <v>Разработка цифрового города</v>
      </c>
      <c r="G761" s="7">
        <f ca="1">IFERROR(__xludf.DUMMYFUNCTION("""COMPUTED_VALUE"""),85)</f>
        <v>85</v>
      </c>
    </row>
    <row r="762" spans="1:7" ht="13.2" x14ac:dyDescent="0.25">
      <c r="A762" s="5">
        <f ca="1">IFERROR(__xludf.DUMMYFUNCTION("""COMPUTED_VALUE"""),1157)</f>
        <v>1157</v>
      </c>
      <c r="B762" s="5" t="str">
        <f ca="1">IFERROR(__xludf.DUMMYFUNCTION("""COMPUTED_VALUE"""),"Тихонов")</f>
        <v>Тихонов</v>
      </c>
      <c r="C762" s="5" t="str">
        <f ca="1">IFERROR(__xludf.DUMMYFUNCTION("""COMPUTED_VALUE"""),"Александр")</f>
        <v>Александр</v>
      </c>
      <c r="D762" s="5" t="str">
        <f ca="1">IFERROR(__xludf.DUMMYFUNCTION("""COMPUTED_VALUE"""),"Сергеевич")</f>
        <v>Сергеевич</v>
      </c>
      <c r="E762" s="5" t="str">
        <f ca="1">IFERROR(__xludf.DUMMYFUNCTION("""COMPUTED_VALUE"""),"Команда №4047")</f>
        <v>Команда №4047</v>
      </c>
      <c r="F762" s="6" t="str">
        <f ca="1">IFERROR(__xludf.DUMMYFUNCTION("""COMPUTED_VALUE"""),"Разработка цифрового города")</f>
        <v>Разработка цифрового города</v>
      </c>
      <c r="G762" s="7">
        <f ca="1">IFERROR(__xludf.DUMMYFUNCTION("""COMPUTED_VALUE"""),85)</f>
        <v>85</v>
      </c>
    </row>
    <row r="763" spans="1:7" ht="13.2" x14ac:dyDescent="0.25">
      <c r="A763" s="5">
        <f ca="1">IFERROR(__xludf.DUMMYFUNCTION("""COMPUTED_VALUE"""),61)</f>
        <v>61</v>
      </c>
      <c r="B763" s="5" t="str">
        <f ca="1">IFERROR(__xludf.DUMMYFUNCTION("""COMPUTED_VALUE"""),"Артюх")</f>
        <v>Артюх</v>
      </c>
      <c r="C763" s="5" t="str">
        <f ca="1">IFERROR(__xludf.DUMMYFUNCTION("""COMPUTED_VALUE"""),"Валентин")</f>
        <v>Валентин</v>
      </c>
      <c r="D763" s="5" t="str">
        <f ca="1">IFERROR(__xludf.DUMMYFUNCTION("""COMPUTED_VALUE"""),"Валерьевич")</f>
        <v>Валерьевич</v>
      </c>
      <c r="E763" s="5" t="str">
        <f ca="1">IFERROR(__xludf.DUMMYFUNCTION("""COMPUTED_VALUE"""),"Команда №4049")</f>
        <v>Команда №4049</v>
      </c>
      <c r="F763" s="6" t="str">
        <f ca="1">IFERROR(__xludf.DUMMYFUNCTION("""COMPUTED_VALUE"""),"Разработка цифрового города")</f>
        <v>Разработка цифрового города</v>
      </c>
      <c r="G763" s="7">
        <f ca="1">IFERROR(__xludf.DUMMYFUNCTION("""COMPUTED_VALUE"""),80)</f>
        <v>80</v>
      </c>
    </row>
    <row r="764" spans="1:7" ht="13.2" x14ac:dyDescent="0.25">
      <c r="A764" s="5">
        <f ca="1">IFERROR(__xludf.DUMMYFUNCTION("""COMPUTED_VALUE"""),465)</f>
        <v>465</v>
      </c>
      <c r="B764" s="5" t="str">
        <f ca="1">IFERROR(__xludf.DUMMYFUNCTION("""COMPUTED_VALUE"""),"Илькаева")</f>
        <v>Илькаева</v>
      </c>
      <c r="C764" s="5" t="str">
        <f ca="1">IFERROR(__xludf.DUMMYFUNCTION("""COMPUTED_VALUE"""),"Карина")</f>
        <v>Карина</v>
      </c>
      <c r="D764" s="5" t="str">
        <f ca="1">IFERROR(__xludf.DUMMYFUNCTION("""COMPUTED_VALUE"""),"Булатовна")</f>
        <v>Булатовна</v>
      </c>
      <c r="E764" s="5" t="str">
        <f ca="1">IFERROR(__xludf.DUMMYFUNCTION("""COMPUTED_VALUE"""),"Команда №4049")</f>
        <v>Команда №4049</v>
      </c>
      <c r="F764" s="6" t="str">
        <f ca="1">IFERROR(__xludf.DUMMYFUNCTION("""COMPUTED_VALUE"""),"Разработка цифрового города")</f>
        <v>Разработка цифрового города</v>
      </c>
      <c r="G764" s="7">
        <f ca="1">IFERROR(__xludf.DUMMYFUNCTION("""COMPUTED_VALUE"""),80)</f>
        <v>80</v>
      </c>
    </row>
    <row r="765" spans="1:7" ht="13.2" x14ac:dyDescent="0.25">
      <c r="A765" s="5">
        <f ca="1">IFERROR(__xludf.DUMMYFUNCTION("""COMPUTED_VALUE"""),769)</f>
        <v>769</v>
      </c>
      <c r="B765" s="5" t="str">
        <f ca="1">IFERROR(__xludf.DUMMYFUNCTION("""COMPUTED_VALUE"""),"Михайлова")</f>
        <v>Михайлова</v>
      </c>
      <c r="C765" s="5" t="str">
        <f ca="1">IFERROR(__xludf.DUMMYFUNCTION("""COMPUTED_VALUE"""),"Александра")</f>
        <v>Александра</v>
      </c>
      <c r="D765" s="5" t="str">
        <f ca="1">IFERROR(__xludf.DUMMYFUNCTION("""COMPUTED_VALUE"""),"Олеговна")</f>
        <v>Олеговна</v>
      </c>
      <c r="E765" s="5" t="str">
        <f ca="1">IFERROR(__xludf.DUMMYFUNCTION("""COMPUTED_VALUE"""),"Команда №4049")</f>
        <v>Команда №4049</v>
      </c>
      <c r="F765" s="6" t="str">
        <f ca="1">IFERROR(__xludf.DUMMYFUNCTION("""COMPUTED_VALUE"""),"Разработка цифрового города")</f>
        <v>Разработка цифрового города</v>
      </c>
      <c r="G765" s="7">
        <f ca="1">IFERROR(__xludf.DUMMYFUNCTION("""COMPUTED_VALUE"""),80)</f>
        <v>80</v>
      </c>
    </row>
    <row r="766" spans="1:7" ht="13.2" x14ac:dyDescent="0.25">
      <c r="A766" s="5">
        <f ca="1">IFERROR(__xludf.DUMMYFUNCTION("""COMPUTED_VALUE"""),1162)</f>
        <v>1162</v>
      </c>
      <c r="B766" s="5" t="str">
        <f ca="1">IFERROR(__xludf.DUMMYFUNCTION("""COMPUTED_VALUE"""),"Токарева")</f>
        <v>Токарева</v>
      </c>
      <c r="C766" s="5" t="str">
        <f ca="1">IFERROR(__xludf.DUMMYFUNCTION("""COMPUTED_VALUE"""),"Алиса")</f>
        <v>Алиса</v>
      </c>
      <c r="D766" s="5" t="str">
        <f ca="1">IFERROR(__xludf.DUMMYFUNCTION("""COMPUTED_VALUE"""),"Владимировна")</f>
        <v>Владимировна</v>
      </c>
      <c r="E766" s="5" t="str">
        <f ca="1">IFERROR(__xludf.DUMMYFUNCTION("""COMPUTED_VALUE"""),"Команда №4049")</f>
        <v>Команда №4049</v>
      </c>
      <c r="F766" s="6" t="str">
        <f ca="1">IFERROR(__xludf.DUMMYFUNCTION("""COMPUTED_VALUE"""),"Разработка цифрового города")</f>
        <v>Разработка цифрового города</v>
      </c>
      <c r="G766" s="7">
        <f ca="1">IFERROR(__xludf.DUMMYFUNCTION("""COMPUTED_VALUE"""),80)</f>
        <v>80</v>
      </c>
    </row>
    <row r="767" spans="1:7" ht="13.2" x14ac:dyDescent="0.25">
      <c r="A767" s="5">
        <f ca="1">IFERROR(__xludf.DUMMYFUNCTION("""COMPUTED_VALUE"""),1236)</f>
        <v>1236</v>
      </c>
      <c r="B767" s="5" t="str">
        <f ca="1">IFERROR(__xludf.DUMMYFUNCTION("""COMPUTED_VALUE"""),"Хажеева")</f>
        <v>Хажеева</v>
      </c>
      <c r="C767" s="5" t="str">
        <f ca="1">IFERROR(__xludf.DUMMYFUNCTION("""COMPUTED_VALUE"""),"Диана")</f>
        <v>Диана</v>
      </c>
      <c r="D767" s="5" t="str">
        <f ca="1">IFERROR(__xludf.DUMMYFUNCTION("""COMPUTED_VALUE"""),"Дамировна")</f>
        <v>Дамировна</v>
      </c>
      <c r="E767" s="5" t="str">
        <f ca="1">IFERROR(__xludf.DUMMYFUNCTION("""COMPUTED_VALUE"""),"Команда №4049")</f>
        <v>Команда №4049</v>
      </c>
      <c r="F767" s="6" t="str">
        <f ca="1">IFERROR(__xludf.DUMMYFUNCTION("""COMPUTED_VALUE"""),"Разработка цифрового города")</f>
        <v>Разработка цифрового города</v>
      </c>
      <c r="G767" s="7">
        <f ca="1">IFERROR(__xludf.DUMMYFUNCTION("""COMPUTED_VALUE"""),80)</f>
        <v>80</v>
      </c>
    </row>
    <row r="768" spans="1:7" ht="39.6" x14ac:dyDescent="0.25">
      <c r="A768" s="5">
        <f ca="1">IFERROR(__xludf.DUMMYFUNCTION("""COMPUTED_VALUE"""),300)</f>
        <v>300</v>
      </c>
      <c r="B768" s="5" t="str">
        <f ca="1">IFERROR(__xludf.DUMMYFUNCTION("""COMPUTED_VALUE"""),"Давыдова")</f>
        <v>Давыдова</v>
      </c>
      <c r="C768" s="5" t="str">
        <f ca="1">IFERROR(__xludf.DUMMYFUNCTION("""COMPUTED_VALUE"""),"Елизавета")</f>
        <v>Елизавета</v>
      </c>
      <c r="D768" s="5" t="str">
        <f ca="1">IFERROR(__xludf.DUMMYFUNCTION("""COMPUTED_VALUE"""),"Вадимовна")</f>
        <v>Вадимовна</v>
      </c>
      <c r="E768" s="5" t="str">
        <f ca="1">IFERROR(__xludf.DUMMYFUNCTION("""COMPUTED_VALUE"""),"Команда №4053")</f>
        <v>Команда №4053</v>
      </c>
      <c r="F768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768" s="7">
        <f ca="1">IFERROR(__xludf.DUMMYFUNCTION("""COMPUTED_VALUE"""),100)</f>
        <v>100</v>
      </c>
    </row>
    <row r="769" spans="1:7" ht="39.6" x14ac:dyDescent="0.25">
      <c r="A769" s="5">
        <f ca="1">IFERROR(__xludf.DUMMYFUNCTION("""COMPUTED_VALUE"""),302)</f>
        <v>302</v>
      </c>
      <c r="B769" s="5" t="str">
        <f ca="1">IFERROR(__xludf.DUMMYFUNCTION("""COMPUTED_VALUE"""),"Дегтерева")</f>
        <v>Дегтерева</v>
      </c>
      <c r="C769" s="5" t="str">
        <f ca="1">IFERROR(__xludf.DUMMYFUNCTION("""COMPUTED_VALUE"""),"Валерия")</f>
        <v>Валерия</v>
      </c>
      <c r="D769" s="5" t="str">
        <f ca="1">IFERROR(__xludf.DUMMYFUNCTION("""COMPUTED_VALUE"""),"Александровна")</f>
        <v>Александровна</v>
      </c>
      <c r="E769" s="5" t="str">
        <f ca="1">IFERROR(__xludf.DUMMYFUNCTION("""COMPUTED_VALUE"""),"Команда №4053")</f>
        <v>Команда №4053</v>
      </c>
      <c r="F769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769" s="7">
        <f ca="1">IFERROR(__xludf.DUMMYFUNCTION("""COMPUTED_VALUE"""),100)</f>
        <v>100</v>
      </c>
    </row>
    <row r="770" spans="1:7" ht="39.6" x14ac:dyDescent="0.25">
      <c r="A770" s="5">
        <f ca="1">IFERROR(__xludf.DUMMYFUNCTION("""COMPUTED_VALUE"""),628)</f>
        <v>628</v>
      </c>
      <c r="B770" s="5" t="str">
        <f ca="1">IFERROR(__xludf.DUMMYFUNCTION("""COMPUTED_VALUE"""),"Кузнецов")</f>
        <v>Кузнецов</v>
      </c>
      <c r="C770" s="5" t="str">
        <f ca="1">IFERROR(__xludf.DUMMYFUNCTION("""COMPUTED_VALUE"""),"Илья")</f>
        <v>Илья</v>
      </c>
      <c r="D770" s="5" t="str">
        <f ca="1">IFERROR(__xludf.DUMMYFUNCTION("""COMPUTED_VALUE"""),"Олегович")</f>
        <v>Олегович</v>
      </c>
      <c r="E770" s="5" t="str">
        <f ca="1">IFERROR(__xludf.DUMMYFUNCTION("""COMPUTED_VALUE"""),"Команда №4053")</f>
        <v>Команда №4053</v>
      </c>
      <c r="F770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770" s="7">
        <f ca="1">IFERROR(__xludf.DUMMYFUNCTION("""COMPUTED_VALUE"""),100)</f>
        <v>100</v>
      </c>
    </row>
    <row r="771" spans="1:7" ht="39.6" x14ac:dyDescent="0.25">
      <c r="A771" s="5">
        <f ca="1">IFERROR(__xludf.DUMMYFUNCTION("""COMPUTED_VALUE"""),933)</f>
        <v>933</v>
      </c>
      <c r="B771" s="5" t="str">
        <f ca="1">IFERROR(__xludf.DUMMYFUNCTION("""COMPUTED_VALUE"""),"Пичурина")</f>
        <v>Пичурина</v>
      </c>
      <c r="C771" s="5" t="str">
        <f ca="1">IFERROR(__xludf.DUMMYFUNCTION("""COMPUTED_VALUE"""),"Юлия")</f>
        <v>Юлия</v>
      </c>
      <c r="D771" s="5" t="str">
        <f ca="1">IFERROR(__xludf.DUMMYFUNCTION("""COMPUTED_VALUE"""),"Валерьевна")</f>
        <v>Валерьевна</v>
      </c>
      <c r="E771" s="5" t="str">
        <f ca="1">IFERROR(__xludf.DUMMYFUNCTION("""COMPUTED_VALUE"""),"Команда №4053")</f>
        <v>Команда №4053</v>
      </c>
      <c r="F771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771" s="7">
        <f ca="1">IFERROR(__xludf.DUMMYFUNCTION("""COMPUTED_VALUE"""),100)</f>
        <v>100</v>
      </c>
    </row>
    <row r="772" spans="1:7" ht="39.6" x14ac:dyDescent="0.25">
      <c r="A772" s="5">
        <f ca="1">IFERROR(__xludf.DUMMYFUNCTION("""COMPUTED_VALUE"""),1013)</f>
        <v>1013</v>
      </c>
      <c r="B772" s="5" t="str">
        <f ca="1">IFERROR(__xludf.DUMMYFUNCTION("""COMPUTED_VALUE"""),"Ряпосова")</f>
        <v>Ряпосова</v>
      </c>
      <c r="C772" s="5" t="str">
        <f ca="1">IFERROR(__xludf.DUMMYFUNCTION("""COMPUTED_VALUE"""),"Кристина")</f>
        <v>Кристина</v>
      </c>
      <c r="D772" s="5" t="str">
        <f ca="1">IFERROR(__xludf.DUMMYFUNCTION("""COMPUTED_VALUE"""),"Юрьевна")</f>
        <v>Юрьевна</v>
      </c>
      <c r="E772" s="5" t="str">
        <f ca="1">IFERROR(__xludf.DUMMYFUNCTION("""COMPUTED_VALUE"""),"Команда №4053")</f>
        <v>Команда №4053</v>
      </c>
      <c r="F772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772" s="7">
        <f ca="1">IFERROR(__xludf.DUMMYFUNCTION("""COMPUTED_VALUE"""),100)</f>
        <v>100</v>
      </c>
    </row>
    <row r="773" spans="1:7" ht="13.2" x14ac:dyDescent="0.25">
      <c r="A773" s="5">
        <f ca="1">IFERROR(__xludf.DUMMYFUNCTION("""COMPUTED_VALUE"""),379)</f>
        <v>379</v>
      </c>
      <c r="B773" s="5" t="str">
        <f ca="1">IFERROR(__xludf.DUMMYFUNCTION("""COMPUTED_VALUE"""),"Ершов")</f>
        <v>Ершов</v>
      </c>
      <c r="C773" s="5" t="str">
        <f ca="1">IFERROR(__xludf.DUMMYFUNCTION("""COMPUTED_VALUE"""),"Александр")</f>
        <v>Александр</v>
      </c>
      <c r="D773" s="5" t="str">
        <f ca="1">IFERROR(__xludf.DUMMYFUNCTION("""COMPUTED_VALUE"""),"Николаевич")</f>
        <v>Николаевич</v>
      </c>
      <c r="E773" s="5" t="str">
        <f ca="1">IFERROR(__xludf.DUMMYFUNCTION("""COMPUTED_VALUE"""),"Команда №4054")</f>
        <v>Команда №4054</v>
      </c>
      <c r="F773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73" s="7">
        <f ca="1">IFERROR(__xludf.DUMMYFUNCTION("""COMPUTED_VALUE"""),85)</f>
        <v>85</v>
      </c>
    </row>
    <row r="774" spans="1:7" ht="13.2" x14ac:dyDescent="0.25">
      <c r="A774" s="5">
        <f ca="1">IFERROR(__xludf.DUMMYFUNCTION("""COMPUTED_VALUE"""),623)</f>
        <v>623</v>
      </c>
      <c r="B774" s="5" t="str">
        <f ca="1">IFERROR(__xludf.DUMMYFUNCTION("""COMPUTED_VALUE"""),"Кудряков")</f>
        <v>Кудряков</v>
      </c>
      <c r="C774" s="5" t="str">
        <f ca="1">IFERROR(__xludf.DUMMYFUNCTION("""COMPUTED_VALUE"""),"Максим")</f>
        <v>Максим</v>
      </c>
      <c r="D774" s="5" t="str">
        <f ca="1">IFERROR(__xludf.DUMMYFUNCTION("""COMPUTED_VALUE"""),"Сергеевич")</f>
        <v>Сергеевич</v>
      </c>
      <c r="E774" s="5" t="str">
        <f ca="1">IFERROR(__xludf.DUMMYFUNCTION("""COMPUTED_VALUE"""),"Команда №4054")</f>
        <v>Команда №4054</v>
      </c>
      <c r="F774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74" s="7">
        <f ca="1">IFERROR(__xludf.DUMMYFUNCTION("""COMPUTED_VALUE"""),85)</f>
        <v>85</v>
      </c>
    </row>
    <row r="775" spans="1:7" ht="13.2" x14ac:dyDescent="0.25">
      <c r="A775" s="5">
        <f ca="1">IFERROR(__xludf.DUMMYFUNCTION("""COMPUTED_VALUE"""),700)</f>
        <v>700</v>
      </c>
      <c r="B775" s="5" t="str">
        <f ca="1">IFERROR(__xludf.DUMMYFUNCTION("""COMPUTED_VALUE"""),"Лямпасов")</f>
        <v>Лямпасов</v>
      </c>
      <c r="C775" s="5" t="str">
        <f ca="1">IFERROR(__xludf.DUMMYFUNCTION("""COMPUTED_VALUE"""),"Дмитрий")</f>
        <v>Дмитрий</v>
      </c>
      <c r="D775" s="5" t="str">
        <f ca="1">IFERROR(__xludf.DUMMYFUNCTION("""COMPUTED_VALUE"""),"Сергеевич")</f>
        <v>Сергеевич</v>
      </c>
      <c r="E775" s="5" t="str">
        <f ca="1">IFERROR(__xludf.DUMMYFUNCTION("""COMPUTED_VALUE"""),"Команда №4054")</f>
        <v>Команда №4054</v>
      </c>
      <c r="F775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75" s="7">
        <f ca="1">IFERROR(__xludf.DUMMYFUNCTION("""COMPUTED_VALUE"""),85)</f>
        <v>85</v>
      </c>
    </row>
    <row r="776" spans="1:7" ht="13.2" x14ac:dyDescent="0.25">
      <c r="A776" s="5">
        <f ca="1">IFERROR(__xludf.DUMMYFUNCTION("""COMPUTED_VALUE"""),877)</f>
        <v>877</v>
      </c>
      <c r="B776" s="5" t="str">
        <f ca="1">IFERROR(__xludf.DUMMYFUNCTION("""COMPUTED_VALUE"""),"Окладников")</f>
        <v>Окладников</v>
      </c>
      <c r="C776" s="5" t="str">
        <f ca="1">IFERROR(__xludf.DUMMYFUNCTION("""COMPUTED_VALUE"""),"Сергей")</f>
        <v>Сергей</v>
      </c>
      <c r="D776" s="5" t="str">
        <f ca="1">IFERROR(__xludf.DUMMYFUNCTION("""COMPUTED_VALUE"""),"Борисович")</f>
        <v>Борисович</v>
      </c>
      <c r="E776" s="5" t="str">
        <f ca="1">IFERROR(__xludf.DUMMYFUNCTION("""COMPUTED_VALUE"""),"Команда №4054")</f>
        <v>Команда №4054</v>
      </c>
      <c r="F776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76" s="7">
        <f ca="1">IFERROR(__xludf.DUMMYFUNCTION("""COMPUTED_VALUE"""),85)</f>
        <v>85</v>
      </c>
    </row>
    <row r="777" spans="1:7" ht="13.2" x14ac:dyDescent="0.25">
      <c r="A777" s="5">
        <f ca="1">IFERROR(__xludf.DUMMYFUNCTION("""COMPUTED_VALUE"""),1113)</f>
        <v>1113</v>
      </c>
      <c r="B777" s="5" t="str">
        <f ca="1">IFERROR(__xludf.DUMMYFUNCTION("""COMPUTED_VALUE"""),"Стариков")</f>
        <v>Стариков</v>
      </c>
      <c r="C777" s="5" t="str">
        <f ca="1">IFERROR(__xludf.DUMMYFUNCTION("""COMPUTED_VALUE"""),"Михаил")</f>
        <v>Михаил</v>
      </c>
      <c r="D777" s="5" t="str">
        <f ca="1">IFERROR(__xludf.DUMMYFUNCTION("""COMPUTED_VALUE"""),"Алексеевич")</f>
        <v>Алексеевич</v>
      </c>
      <c r="E777" s="5" t="str">
        <f ca="1">IFERROR(__xludf.DUMMYFUNCTION("""COMPUTED_VALUE"""),"Команда №4054")</f>
        <v>Команда №4054</v>
      </c>
      <c r="F777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777" s="7">
        <f ca="1">IFERROR(__xludf.DUMMYFUNCTION("""COMPUTED_VALUE"""),85)</f>
        <v>85</v>
      </c>
    </row>
    <row r="778" spans="1:7" ht="39.6" x14ac:dyDescent="0.25">
      <c r="A778" s="5">
        <f ca="1">IFERROR(__xludf.DUMMYFUNCTION("""COMPUTED_VALUE"""),340)</f>
        <v>340</v>
      </c>
      <c r="B778" s="5" t="str">
        <f ca="1">IFERROR(__xludf.DUMMYFUNCTION("""COMPUTED_VALUE"""),"Дробышевская")</f>
        <v>Дробышевская</v>
      </c>
      <c r="C778" s="5" t="str">
        <f ca="1">IFERROR(__xludf.DUMMYFUNCTION("""COMPUTED_VALUE"""),"Анастасия")</f>
        <v>Анастасия</v>
      </c>
      <c r="D778" s="5" t="str">
        <f ca="1">IFERROR(__xludf.DUMMYFUNCTION("""COMPUTED_VALUE"""),"Владимировна")</f>
        <v>Владимировна</v>
      </c>
      <c r="E778" s="5" t="str">
        <f ca="1">IFERROR(__xludf.DUMMYFUNCTION("""COMPUTED_VALUE"""),"Команда №4055")</f>
        <v>Команда №4055</v>
      </c>
      <c r="F778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78" s="7">
        <f ca="1">IFERROR(__xludf.DUMMYFUNCTION("""COMPUTED_VALUE"""),82)</f>
        <v>82</v>
      </c>
    </row>
    <row r="779" spans="1:7" ht="39.6" x14ac:dyDescent="0.25">
      <c r="A779" s="5">
        <f ca="1">IFERROR(__xludf.DUMMYFUNCTION("""COMPUTED_VALUE"""),512)</f>
        <v>512</v>
      </c>
      <c r="B779" s="5" t="str">
        <f ca="1">IFERROR(__xludf.DUMMYFUNCTION("""COMPUTED_VALUE"""),"Киреев")</f>
        <v>Киреев</v>
      </c>
      <c r="C779" s="5" t="str">
        <f ca="1">IFERROR(__xludf.DUMMYFUNCTION("""COMPUTED_VALUE"""),"Николай")</f>
        <v>Николай</v>
      </c>
      <c r="D779" s="5" t="str">
        <f ca="1">IFERROR(__xludf.DUMMYFUNCTION("""COMPUTED_VALUE"""),"Владиславович")</f>
        <v>Владиславович</v>
      </c>
      <c r="E779" s="5" t="str">
        <f ca="1">IFERROR(__xludf.DUMMYFUNCTION("""COMPUTED_VALUE"""),"Команда №4055")</f>
        <v>Команда №4055</v>
      </c>
      <c r="F779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79" s="7">
        <f ca="1">IFERROR(__xludf.DUMMYFUNCTION("""COMPUTED_VALUE"""),82)</f>
        <v>82</v>
      </c>
    </row>
    <row r="780" spans="1:7" ht="39.6" x14ac:dyDescent="0.25">
      <c r="A780" s="5">
        <f ca="1">IFERROR(__xludf.DUMMYFUNCTION("""COMPUTED_VALUE"""),796)</f>
        <v>796</v>
      </c>
      <c r="B780" s="5" t="str">
        <f ca="1">IFERROR(__xludf.DUMMYFUNCTION("""COMPUTED_VALUE"""),"Мурашев")</f>
        <v>Мурашев</v>
      </c>
      <c r="C780" s="5" t="str">
        <f ca="1">IFERROR(__xludf.DUMMYFUNCTION("""COMPUTED_VALUE"""),"Артур")</f>
        <v>Артур</v>
      </c>
      <c r="D780" s="5" t="str">
        <f ca="1">IFERROR(__xludf.DUMMYFUNCTION("""COMPUTED_VALUE"""),"Эльмирович")</f>
        <v>Эльмирович</v>
      </c>
      <c r="E780" s="5" t="str">
        <f ca="1">IFERROR(__xludf.DUMMYFUNCTION("""COMPUTED_VALUE"""),"Команда №4055")</f>
        <v>Команда №4055</v>
      </c>
      <c r="F780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0" s="7">
        <f ca="1">IFERROR(__xludf.DUMMYFUNCTION("""COMPUTED_VALUE"""),82)</f>
        <v>82</v>
      </c>
    </row>
    <row r="781" spans="1:7" ht="39.6" x14ac:dyDescent="0.25">
      <c r="A781" s="5">
        <f ca="1">IFERROR(__xludf.DUMMYFUNCTION("""COMPUTED_VALUE"""),819)</f>
        <v>819</v>
      </c>
      <c r="B781" s="5" t="str">
        <f ca="1">IFERROR(__xludf.DUMMYFUNCTION("""COMPUTED_VALUE"""),"Налимов")</f>
        <v>Налимов</v>
      </c>
      <c r="C781" s="5" t="str">
        <f ca="1">IFERROR(__xludf.DUMMYFUNCTION("""COMPUTED_VALUE"""),"Александр")</f>
        <v>Александр</v>
      </c>
      <c r="D781" s="5" t="str">
        <f ca="1">IFERROR(__xludf.DUMMYFUNCTION("""COMPUTED_VALUE"""),"Владимирович")</f>
        <v>Владимирович</v>
      </c>
      <c r="E781" s="5" t="str">
        <f ca="1">IFERROR(__xludf.DUMMYFUNCTION("""COMPUTED_VALUE"""),"Команда №4055")</f>
        <v>Команда №4055</v>
      </c>
      <c r="F781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1" s="7">
        <f ca="1">IFERROR(__xludf.DUMMYFUNCTION("""COMPUTED_VALUE"""),82)</f>
        <v>82</v>
      </c>
    </row>
    <row r="782" spans="1:7" ht="39.6" x14ac:dyDescent="0.25">
      <c r="A782" s="5">
        <f ca="1">IFERROR(__xludf.DUMMYFUNCTION("""COMPUTED_VALUE"""),991)</f>
        <v>991</v>
      </c>
      <c r="B782" s="5" t="str">
        <f ca="1">IFERROR(__xludf.DUMMYFUNCTION("""COMPUTED_VALUE"""),"Риянов")</f>
        <v>Риянов</v>
      </c>
      <c r="C782" s="5" t="str">
        <f ca="1">IFERROR(__xludf.DUMMYFUNCTION("""COMPUTED_VALUE"""),"Денис")</f>
        <v>Денис</v>
      </c>
      <c r="D782" s="5" t="str">
        <f ca="1">IFERROR(__xludf.DUMMYFUNCTION("""COMPUTED_VALUE"""),"Рашидович")</f>
        <v>Рашидович</v>
      </c>
      <c r="E782" s="5" t="str">
        <f ca="1">IFERROR(__xludf.DUMMYFUNCTION("""COMPUTED_VALUE"""),"Команда №4055")</f>
        <v>Команда №4055</v>
      </c>
      <c r="F782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2" s="7">
        <f ca="1">IFERROR(__xludf.DUMMYFUNCTION("""COMPUTED_VALUE"""),82)</f>
        <v>82</v>
      </c>
    </row>
    <row r="783" spans="1:7" ht="39.6" x14ac:dyDescent="0.25">
      <c r="A783" s="5">
        <f ca="1">IFERROR(__xludf.DUMMYFUNCTION("""COMPUTED_VALUE"""),214)</f>
        <v>214</v>
      </c>
      <c r="B783" s="5" t="str">
        <f ca="1">IFERROR(__xludf.DUMMYFUNCTION("""COMPUTED_VALUE"""),"Воловей")</f>
        <v>Воловей</v>
      </c>
      <c r="C783" s="5" t="str">
        <f ca="1">IFERROR(__xludf.DUMMYFUNCTION("""COMPUTED_VALUE"""),"Иван")</f>
        <v>Иван</v>
      </c>
      <c r="D783" s="5" t="str">
        <f ca="1">IFERROR(__xludf.DUMMYFUNCTION("""COMPUTED_VALUE"""),"Дмитриевич")</f>
        <v>Дмитриевич</v>
      </c>
      <c r="E783" s="5" t="str">
        <f ca="1">IFERROR(__xludf.DUMMYFUNCTION("""COMPUTED_VALUE"""),"Команда №4057")</f>
        <v>Команда №4057</v>
      </c>
      <c r="F783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3" s="7">
        <f ca="1">IFERROR(__xludf.DUMMYFUNCTION("""COMPUTED_VALUE"""),70)</f>
        <v>70</v>
      </c>
    </row>
    <row r="784" spans="1:7" ht="39.6" x14ac:dyDescent="0.25">
      <c r="A784" s="5">
        <f ca="1">IFERROR(__xludf.DUMMYFUNCTION("""COMPUTED_VALUE"""),565)</f>
        <v>565</v>
      </c>
      <c r="B784" s="5" t="str">
        <f ca="1">IFERROR(__xludf.DUMMYFUNCTION("""COMPUTED_VALUE"""),"Кондратьев")</f>
        <v>Кондратьев</v>
      </c>
      <c r="C784" s="5" t="str">
        <f ca="1">IFERROR(__xludf.DUMMYFUNCTION("""COMPUTED_VALUE"""),"Никита")</f>
        <v>Никита</v>
      </c>
      <c r="D784" s="5" t="str">
        <f ca="1">IFERROR(__xludf.DUMMYFUNCTION("""COMPUTED_VALUE"""),"Алексеевич")</f>
        <v>Алексеевич</v>
      </c>
      <c r="E784" s="5" t="str">
        <f ca="1">IFERROR(__xludf.DUMMYFUNCTION("""COMPUTED_VALUE"""),"Команда №4057")</f>
        <v>Команда №4057</v>
      </c>
      <c r="F784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4" s="7">
        <f ca="1">IFERROR(__xludf.DUMMYFUNCTION("""COMPUTED_VALUE"""),70)</f>
        <v>70</v>
      </c>
    </row>
    <row r="785" spans="1:7" ht="39.6" x14ac:dyDescent="0.25">
      <c r="A785" s="5">
        <f ca="1">IFERROR(__xludf.DUMMYFUNCTION("""COMPUTED_VALUE"""),723)</f>
        <v>723</v>
      </c>
      <c r="B785" s="5" t="str">
        <f ca="1">IFERROR(__xludf.DUMMYFUNCTION("""COMPUTED_VALUE"""),"Мамаев")</f>
        <v>Мамаев</v>
      </c>
      <c r="C785" s="5" t="str">
        <f ca="1">IFERROR(__xludf.DUMMYFUNCTION("""COMPUTED_VALUE"""),"Азамат")</f>
        <v>Азамат</v>
      </c>
      <c r="D785" s="5" t="str">
        <f ca="1">IFERROR(__xludf.DUMMYFUNCTION("""COMPUTED_VALUE"""),"Шамсутдинович")</f>
        <v>Шамсутдинович</v>
      </c>
      <c r="E785" s="5" t="str">
        <f ca="1">IFERROR(__xludf.DUMMYFUNCTION("""COMPUTED_VALUE"""),"Команда №4057")</f>
        <v>Команда №4057</v>
      </c>
      <c r="F785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5" s="7">
        <f ca="1">IFERROR(__xludf.DUMMYFUNCTION("""COMPUTED_VALUE"""),70)</f>
        <v>70</v>
      </c>
    </row>
    <row r="786" spans="1:7" ht="39.6" x14ac:dyDescent="0.25">
      <c r="A786" s="5">
        <f ca="1">IFERROR(__xludf.DUMMYFUNCTION("""COMPUTED_VALUE"""),812)</f>
        <v>812</v>
      </c>
      <c r="B786" s="5" t="str">
        <f ca="1">IFERROR(__xludf.DUMMYFUNCTION("""COMPUTED_VALUE"""),"Наджафкулиев")</f>
        <v>Наджафкулиев</v>
      </c>
      <c r="C786" s="5" t="str">
        <f ca="1">IFERROR(__xludf.DUMMYFUNCTION("""COMPUTED_VALUE"""),"Эмир")</f>
        <v>Эмир</v>
      </c>
      <c r="D786" s="5" t="str">
        <f ca="1">IFERROR(__xludf.DUMMYFUNCTION("""COMPUTED_VALUE"""),"Маликович")</f>
        <v>Маликович</v>
      </c>
      <c r="E786" s="5" t="str">
        <f ca="1">IFERROR(__xludf.DUMMYFUNCTION("""COMPUTED_VALUE"""),"Команда №4057")</f>
        <v>Команда №4057</v>
      </c>
      <c r="F786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6" s="7">
        <f ca="1">IFERROR(__xludf.DUMMYFUNCTION("""COMPUTED_VALUE"""),70)</f>
        <v>70</v>
      </c>
    </row>
    <row r="787" spans="1:7" ht="39.6" x14ac:dyDescent="0.25">
      <c r="A787" s="5">
        <f ca="1">IFERROR(__xludf.DUMMYFUNCTION("""COMPUTED_VALUE"""),1260)</f>
        <v>1260</v>
      </c>
      <c r="B787" s="5" t="str">
        <f ca="1">IFERROR(__xludf.DUMMYFUNCTION("""COMPUTED_VALUE"""),"Хусаинов")</f>
        <v>Хусаинов</v>
      </c>
      <c r="C787" s="5" t="str">
        <f ca="1">IFERROR(__xludf.DUMMYFUNCTION("""COMPUTED_VALUE"""),"Тимур")</f>
        <v>Тимур</v>
      </c>
      <c r="D787" s="5" t="str">
        <f ca="1">IFERROR(__xludf.DUMMYFUNCTION("""COMPUTED_VALUE"""),"Азаматович")</f>
        <v>Азаматович</v>
      </c>
      <c r="E787" s="5" t="str">
        <f ca="1">IFERROR(__xludf.DUMMYFUNCTION("""COMPUTED_VALUE"""),"Команда №4057")</f>
        <v>Команда №4057</v>
      </c>
      <c r="F787" s="6" t="str">
        <f ca="1">IFERROR(__xludf.DUMMYFUNCTION("""COMPUTED_VALUE"""),"Разработка цифрового образовательного сервиса для повышения мотивации учащихся школы, уровня обученности")</f>
        <v>Разработка цифрового образовательного сервиса для повышения мотивации учащихся школы, уровня обученности</v>
      </c>
      <c r="G787" s="7">
        <f ca="1">IFERROR(__xludf.DUMMYFUNCTION("""COMPUTED_VALUE"""),70)</f>
        <v>70</v>
      </c>
    </row>
    <row r="788" spans="1:7" ht="39.6" x14ac:dyDescent="0.25">
      <c r="A788" s="5">
        <f ca="1">IFERROR(__xludf.DUMMYFUNCTION("""COMPUTED_VALUE"""),515)</f>
        <v>515</v>
      </c>
      <c r="B788" s="5" t="str">
        <f ca="1">IFERROR(__xludf.DUMMYFUNCTION("""COMPUTED_VALUE"""),"Кириченко")</f>
        <v>Кириченко</v>
      </c>
      <c r="C788" s="5" t="str">
        <f ca="1">IFERROR(__xludf.DUMMYFUNCTION("""COMPUTED_VALUE"""),"Владислав")</f>
        <v>Владислав</v>
      </c>
      <c r="D788" s="5" t="str">
        <f ca="1">IFERROR(__xludf.DUMMYFUNCTION("""COMPUTED_VALUE"""),"Владимирович")</f>
        <v>Владимирович</v>
      </c>
      <c r="E788" s="5" t="str">
        <f ca="1">IFERROR(__xludf.DUMMYFUNCTION("""COMPUTED_VALUE"""),"Команда №4059")</f>
        <v>Команда №4059</v>
      </c>
      <c r="F788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88" s="7">
        <f ca="1">IFERROR(__xludf.DUMMYFUNCTION("""COMPUTED_VALUE"""),85)</f>
        <v>85</v>
      </c>
    </row>
    <row r="789" spans="1:7" ht="39.6" x14ac:dyDescent="0.25">
      <c r="A789" s="5">
        <f ca="1">IFERROR(__xludf.DUMMYFUNCTION("""COMPUTED_VALUE"""),707)</f>
        <v>707</v>
      </c>
      <c r="B789" s="5" t="str">
        <f ca="1">IFERROR(__xludf.DUMMYFUNCTION("""COMPUTED_VALUE"""),"Майданский")</f>
        <v>Майданский</v>
      </c>
      <c r="C789" s="5" t="str">
        <f ca="1">IFERROR(__xludf.DUMMYFUNCTION("""COMPUTED_VALUE"""),"Александр")</f>
        <v>Александр</v>
      </c>
      <c r="D789" s="5" t="str">
        <f ca="1">IFERROR(__xludf.DUMMYFUNCTION("""COMPUTED_VALUE"""),"Аркадьевич")</f>
        <v>Аркадьевич</v>
      </c>
      <c r="E789" s="5" t="str">
        <f ca="1">IFERROR(__xludf.DUMMYFUNCTION("""COMPUTED_VALUE"""),"Команда №4059")</f>
        <v>Команда №4059</v>
      </c>
      <c r="F789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89" s="7">
        <f ca="1">IFERROR(__xludf.DUMMYFUNCTION("""COMPUTED_VALUE"""),85)</f>
        <v>85</v>
      </c>
    </row>
    <row r="790" spans="1:7" ht="39.6" x14ac:dyDescent="0.25">
      <c r="A790" s="5">
        <f ca="1">IFERROR(__xludf.DUMMYFUNCTION("""COMPUTED_VALUE"""),943)</f>
        <v>943</v>
      </c>
      <c r="B790" s="5" t="str">
        <f ca="1">IFERROR(__xludf.DUMMYFUNCTION("""COMPUTED_VALUE"""),"Поляков")</f>
        <v>Поляков</v>
      </c>
      <c r="C790" s="5" t="str">
        <f ca="1">IFERROR(__xludf.DUMMYFUNCTION("""COMPUTED_VALUE"""),"Александр")</f>
        <v>Александр</v>
      </c>
      <c r="D790" s="5" t="str">
        <f ca="1">IFERROR(__xludf.DUMMYFUNCTION("""COMPUTED_VALUE"""),"Алексеевич")</f>
        <v>Алексеевич</v>
      </c>
      <c r="E790" s="5" t="str">
        <f ca="1">IFERROR(__xludf.DUMMYFUNCTION("""COMPUTED_VALUE"""),"Команда №4059")</f>
        <v>Команда №4059</v>
      </c>
      <c r="F790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90" s="7">
        <f ca="1">IFERROR(__xludf.DUMMYFUNCTION("""COMPUTED_VALUE"""),85)</f>
        <v>85</v>
      </c>
    </row>
    <row r="791" spans="1:7" ht="39.6" x14ac:dyDescent="0.25">
      <c r="A791" s="5">
        <f ca="1">IFERROR(__xludf.DUMMYFUNCTION("""COMPUTED_VALUE"""),1155)</f>
        <v>1155</v>
      </c>
      <c r="B791" s="5" t="str">
        <f ca="1">IFERROR(__xludf.DUMMYFUNCTION("""COMPUTED_VALUE"""),"Тиржанов")</f>
        <v>Тиржанов</v>
      </c>
      <c r="C791" s="5" t="str">
        <f ca="1">IFERROR(__xludf.DUMMYFUNCTION("""COMPUTED_VALUE"""),"Нурлан")</f>
        <v>Нурлан</v>
      </c>
      <c r="D791" s="5" t="str">
        <f ca="1">IFERROR(__xludf.DUMMYFUNCTION("""COMPUTED_VALUE"""),"Маратович")</f>
        <v>Маратович</v>
      </c>
      <c r="E791" s="5" t="str">
        <f ca="1">IFERROR(__xludf.DUMMYFUNCTION("""COMPUTED_VALUE"""),"Команда №4059")</f>
        <v>Команда №4059</v>
      </c>
      <c r="F791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91" s="7">
        <f ca="1">IFERROR(__xludf.DUMMYFUNCTION("""COMPUTED_VALUE"""),85)</f>
        <v>85</v>
      </c>
    </row>
    <row r="792" spans="1:7" ht="39.6" x14ac:dyDescent="0.25">
      <c r="A792" s="5">
        <f ca="1">IFERROR(__xludf.DUMMYFUNCTION("""COMPUTED_VALUE"""),1341)</f>
        <v>1341</v>
      </c>
      <c r="B792" s="5" t="str">
        <f ca="1">IFERROR(__xludf.DUMMYFUNCTION("""COMPUTED_VALUE"""),"Шлыкова")</f>
        <v>Шлыкова</v>
      </c>
      <c r="C792" s="5" t="str">
        <f ca="1">IFERROR(__xludf.DUMMYFUNCTION("""COMPUTED_VALUE"""),"Ксения")</f>
        <v>Ксения</v>
      </c>
      <c r="D792" s="5" t="str">
        <f ca="1">IFERROR(__xludf.DUMMYFUNCTION("""COMPUTED_VALUE"""),"Витальевна")</f>
        <v>Витальевна</v>
      </c>
      <c r="E792" s="5" t="str">
        <f ca="1">IFERROR(__xludf.DUMMYFUNCTION("""COMPUTED_VALUE"""),"Команда №4059")</f>
        <v>Команда №4059</v>
      </c>
      <c r="F792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792" s="7">
        <f ca="1">IFERROR(__xludf.DUMMYFUNCTION("""COMPUTED_VALUE"""),85)</f>
        <v>85</v>
      </c>
    </row>
    <row r="793" spans="1:7" ht="26.4" x14ac:dyDescent="0.25">
      <c r="A793" s="5">
        <f ca="1">IFERROR(__xludf.DUMMYFUNCTION("""COMPUTED_VALUE"""),227)</f>
        <v>227</v>
      </c>
      <c r="B793" s="5" t="str">
        <f ca="1">IFERROR(__xludf.DUMMYFUNCTION("""COMPUTED_VALUE"""),"Высочин")</f>
        <v>Высочин</v>
      </c>
      <c r="C793" s="5" t="str">
        <f ca="1">IFERROR(__xludf.DUMMYFUNCTION("""COMPUTED_VALUE"""),"Кирилл")</f>
        <v>Кирилл</v>
      </c>
      <c r="D793" s="5" t="str">
        <f ca="1">IFERROR(__xludf.DUMMYFUNCTION("""COMPUTED_VALUE"""),"Дмитриевич")</f>
        <v>Дмитриевич</v>
      </c>
      <c r="E793" s="5" t="str">
        <f ca="1">IFERROR(__xludf.DUMMYFUNCTION("""COMPUTED_VALUE"""),"Команда №4061")</f>
        <v>Команда №4061</v>
      </c>
      <c r="F793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793" s="7">
        <f ca="1">IFERROR(__xludf.DUMMYFUNCTION("""COMPUTED_VALUE"""),50)</f>
        <v>50</v>
      </c>
    </row>
    <row r="794" spans="1:7" ht="26.4" x14ac:dyDescent="0.25">
      <c r="A794" s="5">
        <f ca="1">IFERROR(__xludf.DUMMYFUNCTION("""COMPUTED_VALUE"""),2)</f>
        <v>2</v>
      </c>
      <c r="B794" s="5" t="str">
        <f ca="1">IFERROR(__xludf.DUMMYFUNCTION("""COMPUTED_VALUE"""),"Абашкин")</f>
        <v>Абашкин</v>
      </c>
      <c r="C794" s="5" t="str">
        <f ca="1">IFERROR(__xludf.DUMMYFUNCTION("""COMPUTED_VALUE"""),"Никита")</f>
        <v>Никита</v>
      </c>
      <c r="D794" s="5" t="str">
        <f ca="1">IFERROR(__xludf.DUMMYFUNCTION("""COMPUTED_VALUE"""),"Сергеевич")</f>
        <v>Сергеевич</v>
      </c>
      <c r="E794" s="5" t="str">
        <f ca="1">IFERROR(__xludf.DUMMYFUNCTION("""COMPUTED_VALUE"""),"Команда №4065")</f>
        <v>Команда №4065</v>
      </c>
      <c r="F794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794" s="7">
        <f ca="1">IFERROR(__xludf.DUMMYFUNCTION("""COMPUTED_VALUE"""),0)</f>
        <v>0</v>
      </c>
    </row>
    <row r="795" spans="1:7" ht="26.4" x14ac:dyDescent="0.25">
      <c r="A795" s="5">
        <f ca="1">IFERROR(__xludf.DUMMYFUNCTION("""COMPUTED_VALUE"""),125)</f>
        <v>125</v>
      </c>
      <c r="B795" s="5" t="str">
        <f ca="1">IFERROR(__xludf.DUMMYFUNCTION("""COMPUTED_VALUE"""),"Бикмухаметова")</f>
        <v>Бикмухаметова</v>
      </c>
      <c r="C795" s="5" t="str">
        <f ca="1">IFERROR(__xludf.DUMMYFUNCTION("""COMPUTED_VALUE"""),"Алина")</f>
        <v>Алина</v>
      </c>
      <c r="D795" s="5" t="str">
        <f ca="1">IFERROR(__xludf.DUMMYFUNCTION("""COMPUTED_VALUE"""),"Рафаиловна")</f>
        <v>Рафаиловна</v>
      </c>
      <c r="E795" s="5" t="str">
        <f ca="1">IFERROR(__xludf.DUMMYFUNCTION("""COMPUTED_VALUE"""),"Команда №4065")</f>
        <v>Команда №4065</v>
      </c>
      <c r="F795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795" s="7">
        <f ca="1">IFERROR(__xludf.DUMMYFUNCTION("""COMPUTED_VALUE"""),0)</f>
        <v>0</v>
      </c>
    </row>
    <row r="796" spans="1:7" ht="26.4" x14ac:dyDescent="0.25">
      <c r="A796" s="5">
        <f ca="1">IFERROR(__xludf.DUMMYFUNCTION("""COMPUTED_VALUE"""),849)</f>
        <v>849</v>
      </c>
      <c r="B796" s="5" t="str">
        <f ca="1">IFERROR(__xludf.DUMMYFUNCTION("""COMPUTED_VALUE"""),"Николаев")</f>
        <v>Николаев</v>
      </c>
      <c r="C796" s="5" t="str">
        <f ca="1">IFERROR(__xludf.DUMMYFUNCTION("""COMPUTED_VALUE"""),"Никита")</f>
        <v>Никита</v>
      </c>
      <c r="D796" s="5" t="str">
        <f ca="1">IFERROR(__xludf.DUMMYFUNCTION("""COMPUTED_VALUE"""),"Юрьевич")</f>
        <v>Юрьевич</v>
      </c>
      <c r="E796" s="5" t="str">
        <f ca="1">IFERROR(__xludf.DUMMYFUNCTION("""COMPUTED_VALUE"""),"Команда №4065")</f>
        <v>Команда №4065</v>
      </c>
      <c r="F796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796" s="7">
        <f ca="1">IFERROR(__xludf.DUMMYFUNCTION("""COMPUTED_VALUE"""),0)</f>
        <v>0</v>
      </c>
    </row>
    <row r="797" spans="1:7" ht="26.4" x14ac:dyDescent="0.25">
      <c r="A797" s="5">
        <f ca="1">IFERROR(__xludf.DUMMYFUNCTION("""COMPUTED_VALUE"""),1252)</f>
        <v>1252</v>
      </c>
      <c r="B797" s="5" t="str">
        <f ca="1">IFERROR(__xludf.DUMMYFUNCTION("""COMPUTED_VALUE"""),"Хлынова")</f>
        <v>Хлынова</v>
      </c>
      <c r="C797" s="5" t="str">
        <f ca="1">IFERROR(__xludf.DUMMYFUNCTION("""COMPUTED_VALUE"""),"Мария")</f>
        <v>Мария</v>
      </c>
      <c r="D797" s="5" t="str">
        <f ca="1">IFERROR(__xludf.DUMMYFUNCTION("""COMPUTED_VALUE"""),"Романовна")</f>
        <v>Романовна</v>
      </c>
      <c r="E797" s="5" t="str">
        <f ca="1">IFERROR(__xludf.DUMMYFUNCTION("""COMPUTED_VALUE"""),"Команда №4065")</f>
        <v>Команда №4065</v>
      </c>
      <c r="F797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797" s="7">
        <f ca="1">IFERROR(__xludf.DUMMYFUNCTION("""COMPUTED_VALUE"""),0)</f>
        <v>0</v>
      </c>
    </row>
    <row r="798" spans="1:7" ht="26.4" x14ac:dyDescent="0.25">
      <c r="A798" s="5">
        <f ca="1">IFERROR(__xludf.DUMMYFUNCTION("""COMPUTED_VALUE"""),1268)</f>
        <v>1268</v>
      </c>
      <c r="B798" s="5" t="str">
        <f ca="1">IFERROR(__xludf.DUMMYFUNCTION("""COMPUTED_VALUE"""),"Цвингер")</f>
        <v>Цвингер</v>
      </c>
      <c r="C798" s="5" t="str">
        <f ca="1">IFERROR(__xludf.DUMMYFUNCTION("""COMPUTED_VALUE"""),"Анна")</f>
        <v>Анна</v>
      </c>
      <c r="D798" s="5" t="str">
        <f ca="1">IFERROR(__xludf.DUMMYFUNCTION("""COMPUTED_VALUE"""),"Сергеевна")</f>
        <v>Сергеевна</v>
      </c>
      <c r="E798" s="5" t="str">
        <f ca="1">IFERROR(__xludf.DUMMYFUNCTION("""COMPUTED_VALUE"""),"Команда №4065")</f>
        <v>Команда №4065</v>
      </c>
      <c r="F798" s="6" t="str">
        <f ca="1">IFERROR(__xludf.DUMMYFUNCTION("""COMPUTED_VALUE"""),"Тактический трехмерный бой. Основы, тактики, тренировки.")</f>
        <v>Тактический трехмерный бой. Основы, тактики, тренировки.</v>
      </c>
      <c r="G798" s="7">
        <f ca="1">IFERROR(__xludf.DUMMYFUNCTION("""COMPUTED_VALUE"""),0)</f>
        <v>0</v>
      </c>
    </row>
    <row r="799" spans="1:7" ht="52.8" x14ac:dyDescent="0.25">
      <c r="A799" s="5">
        <f ca="1">IFERROR(__xludf.DUMMYFUNCTION("""COMPUTED_VALUE"""),630)</f>
        <v>630</v>
      </c>
      <c r="B799" s="5" t="str">
        <f ca="1">IFERROR(__xludf.DUMMYFUNCTION("""COMPUTED_VALUE"""),"Кузнецова")</f>
        <v>Кузнецова</v>
      </c>
      <c r="C799" s="5" t="str">
        <f ca="1">IFERROR(__xludf.DUMMYFUNCTION("""COMPUTED_VALUE"""),"Мария")</f>
        <v>Мария</v>
      </c>
      <c r="D799" s="5" t="str">
        <f ca="1">IFERROR(__xludf.DUMMYFUNCTION("""COMPUTED_VALUE"""),"Сергеевна")</f>
        <v>Сергеевна</v>
      </c>
      <c r="E799" s="5" t="str">
        <f ca="1">IFERROR(__xludf.DUMMYFUNCTION("""COMPUTED_VALUE"""),"Команда №4066")</f>
        <v>Команда №4066</v>
      </c>
      <c r="F799" s="6" t="str">
        <f ca="1">IFERROR(__xludf.DUMMYFUNCTION("""COMPUTED_VALUE"""),"Создание интерактивной карты «Итинерарии (передвижение) французского короля Карла IX Валуа по источникам из российских архивных собраний»")</f>
        <v>Создание интерактивной карты «Итинерарии (передвижение) французского короля Карла IX Валуа по источникам из российских архивных собраний»</v>
      </c>
      <c r="G799" s="7">
        <f ca="1">IFERROR(__xludf.DUMMYFUNCTION("""COMPUTED_VALUE"""),100)</f>
        <v>100</v>
      </c>
    </row>
    <row r="800" spans="1:7" ht="52.8" x14ac:dyDescent="0.25">
      <c r="A800" s="5">
        <f ca="1">IFERROR(__xludf.DUMMYFUNCTION("""COMPUTED_VALUE"""),644)</f>
        <v>644</v>
      </c>
      <c r="B800" s="5" t="str">
        <f ca="1">IFERROR(__xludf.DUMMYFUNCTION("""COMPUTED_VALUE"""),"Кунщиков")</f>
        <v>Кунщиков</v>
      </c>
      <c r="C800" s="5" t="str">
        <f ca="1">IFERROR(__xludf.DUMMYFUNCTION("""COMPUTED_VALUE"""),"Артём")</f>
        <v>Артём</v>
      </c>
      <c r="D800" s="5" t="str">
        <f ca="1">IFERROR(__xludf.DUMMYFUNCTION("""COMPUTED_VALUE"""),"Александрович")</f>
        <v>Александрович</v>
      </c>
      <c r="E800" s="5" t="str">
        <f ca="1">IFERROR(__xludf.DUMMYFUNCTION("""COMPUTED_VALUE"""),"Команда №4066")</f>
        <v>Команда №4066</v>
      </c>
      <c r="F800" s="6" t="str">
        <f ca="1">IFERROR(__xludf.DUMMYFUNCTION("""COMPUTED_VALUE"""),"Создание интерактивной карты «Итинерарии (передвижение) французского короля Карла IX Валуа по источникам из российских архивных собраний»")</f>
        <v>Создание интерактивной карты «Итинерарии (передвижение) французского короля Карла IX Валуа по источникам из российских архивных собраний»</v>
      </c>
      <c r="G800" s="7">
        <f ca="1">IFERROR(__xludf.DUMMYFUNCTION("""COMPUTED_VALUE"""),100)</f>
        <v>100</v>
      </c>
    </row>
    <row r="801" spans="1:7" ht="52.8" x14ac:dyDescent="0.25">
      <c r="A801" s="5">
        <f ca="1">IFERROR(__xludf.DUMMYFUNCTION("""COMPUTED_VALUE"""),1071)</f>
        <v>1071</v>
      </c>
      <c r="B801" s="5" t="str">
        <f ca="1">IFERROR(__xludf.DUMMYFUNCTION("""COMPUTED_VALUE"""),"Ситников")</f>
        <v>Ситников</v>
      </c>
      <c r="C801" s="5" t="str">
        <f ca="1">IFERROR(__xludf.DUMMYFUNCTION("""COMPUTED_VALUE"""),"Андрей")</f>
        <v>Андрей</v>
      </c>
      <c r="D801" s="5" t="str">
        <f ca="1">IFERROR(__xludf.DUMMYFUNCTION("""COMPUTED_VALUE"""),"Викторович")</f>
        <v>Викторович</v>
      </c>
      <c r="E801" s="5" t="str">
        <f ca="1">IFERROR(__xludf.DUMMYFUNCTION("""COMPUTED_VALUE"""),"Команда №4066")</f>
        <v>Команда №4066</v>
      </c>
      <c r="F801" s="6" t="str">
        <f ca="1">IFERROR(__xludf.DUMMYFUNCTION("""COMPUTED_VALUE"""),"Создание интерактивной карты «Итинерарии (передвижение) французского короля Карла IX Валуа по источникам из российских архивных собраний»")</f>
        <v>Создание интерактивной карты «Итинерарии (передвижение) французского короля Карла IX Валуа по источникам из российских архивных собраний»</v>
      </c>
      <c r="G801" s="7">
        <f ca="1">IFERROR(__xludf.DUMMYFUNCTION("""COMPUTED_VALUE"""),100)</f>
        <v>100</v>
      </c>
    </row>
    <row r="802" spans="1:7" ht="52.8" x14ac:dyDescent="0.25">
      <c r="A802" s="5">
        <f ca="1">IFERROR(__xludf.DUMMYFUNCTION("""COMPUTED_VALUE"""),1212)</f>
        <v>1212</v>
      </c>
      <c r="B802" s="5" t="str">
        <f ca="1">IFERROR(__xludf.DUMMYFUNCTION("""COMPUTED_VALUE"""),"Федорова")</f>
        <v>Федорова</v>
      </c>
      <c r="C802" s="5" t="str">
        <f ca="1">IFERROR(__xludf.DUMMYFUNCTION("""COMPUTED_VALUE"""),"Елизавета")</f>
        <v>Елизавета</v>
      </c>
      <c r="D802" s="5" t="str">
        <f ca="1">IFERROR(__xludf.DUMMYFUNCTION("""COMPUTED_VALUE"""),"Евгеньевна")</f>
        <v>Евгеньевна</v>
      </c>
      <c r="E802" s="5" t="str">
        <f ca="1">IFERROR(__xludf.DUMMYFUNCTION("""COMPUTED_VALUE"""),"Команда №4066")</f>
        <v>Команда №4066</v>
      </c>
      <c r="F802" s="6" t="str">
        <f ca="1">IFERROR(__xludf.DUMMYFUNCTION("""COMPUTED_VALUE"""),"Создание интерактивной карты «Итинерарии (передвижение) французского короля Карла IX Валуа по источникам из российских архивных собраний»")</f>
        <v>Создание интерактивной карты «Итинерарии (передвижение) французского короля Карла IX Валуа по источникам из российских архивных собраний»</v>
      </c>
      <c r="G802" s="7">
        <f ca="1">IFERROR(__xludf.DUMMYFUNCTION("""COMPUTED_VALUE"""),100)</f>
        <v>100</v>
      </c>
    </row>
    <row r="803" spans="1:7" ht="52.8" x14ac:dyDescent="0.25">
      <c r="A803" s="5">
        <f ca="1">IFERROR(__xludf.DUMMYFUNCTION("""COMPUTED_VALUE"""),1283)</f>
        <v>1283</v>
      </c>
      <c r="B803" s="5" t="str">
        <f ca="1">IFERROR(__xludf.DUMMYFUNCTION("""COMPUTED_VALUE"""),"Черных")</f>
        <v>Черных</v>
      </c>
      <c r="C803" s="5" t="str">
        <f ca="1">IFERROR(__xludf.DUMMYFUNCTION("""COMPUTED_VALUE"""),"Владислав")</f>
        <v>Владислав</v>
      </c>
      <c r="D803" s="5" t="str">
        <f ca="1">IFERROR(__xludf.DUMMYFUNCTION("""COMPUTED_VALUE"""),"Алексеевич")</f>
        <v>Алексеевич</v>
      </c>
      <c r="E803" s="5" t="str">
        <f ca="1">IFERROR(__xludf.DUMMYFUNCTION("""COMPUTED_VALUE"""),"Команда №4066")</f>
        <v>Команда №4066</v>
      </c>
      <c r="F803" s="6" t="str">
        <f ca="1">IFERROR(__xludf.DUMMYFUNCTION("""COMPUTED_VALUE"""),"Создание интерактивной карты «Итинерарии (передвижение) французского короля Карла IX Валуа по источникам из российских архивных собраний»")</f>
        <v>Создание интерактивной карты «Итинерарии (передвижение) французского короля Карла IX Валуа по источникам из российских архивных собраний»</v>
      </c>
      <c r="G803" s="7">
        <f ca="1">IFERROR(__xludf.DUMMYFUNCTION("""COMPUTED_VALUE"""),100)</f>
        <v>100</v>
      </c>
    </row>
    <row r="804" spans="1:7" ht="26.4" x14ac:dyDescent="0.25">
      <c r="A804" s="5">
        <f ca="1">IFERROR(__xludf.DUMMYFUNCTION("""COMPUTED_VALUE"""),324)</f>
        <v>324</v>
      </c>
      <c r="B804" s="5" t="str">
        <f ca="1">IFERROR(__xludf.DUMMYFUNCTION("""COMPUTED_VALUE"""),"Добурдаев")</f>
        <v>Добурдаев</v>
      </c>
      <c r="C804" s="5" t="str">
        <f ca="1">IFERROR(__xludf.DUMMYFUNCTION("""COMPUTED_VALUE"""),"Максим")</f>
        <v>Максим</v>
      </c>
      <c r="D804" s="5" t="str">
        <f ca="1">IFERROR(__xludf.DUMMYFUNCTION("""COMPUTED_VALUE"""),"Сергеевич")</f>
        <v>Сергеевич</v>
      </c>
      <c r="E804" s="5" t="str">
        <f ca="1">IFERROR(__xludf.DUMMYFUNCTION("""COMPUTED_VALUE"""),"Команда №4067")</f>
        <v>Команда №4067</v>
      </c>
      <c r="F804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804" s="7">
        <f ca="1">IFERROR(__xludf.DUMMYFUNCTION("""COMPUTED_VALUE"""),89)</f>
        <v>89</v>
      </c>
    </row>
    <row r="805" spans="1:7" ht="26.4" x14ac:dyDescent="0.25">
      <c r="A805" s="5">
        <f ca="1">IFERROR(__xludf.DUMMYFUNCTION("""COMPUTED_VALUE"""),416)</f>
        <v>416</v>
      </c>
      <c r="B805" s="5" t="str">
        <f ca="1">IFERROR(__xludf.DUMMYFUNCTION("""COMPUTED_VALUE"""),"Замотохин")</f>
        <v>Замотохин</v>
      </c>
      <c r="C805" s="5" t="str">
        <f ca="1">IFERROR(__xludf.DUMMYFUNCTION("""COMPUTED_VALUE"""),"Данил")</f>
        <v>Данил</v>
      </c>
      <c r="D805" s="5" t="str">
        <f ca="1">IFERROR(__xludf.DUMMYFUNCTION("""COMPUTED_VALUE"""),"Олегович")</f>
        <v>Олегович</v>
      </c>
      <c r="E805" s="5" t="str">
        <f ca="1">IFERROR(__xludf.DUMMYFUNCTION("""COMPUTED_VALUE"""),"Команда №4067")</f>
        <v>Команда №4067</v>
      </c>
      <c r="F805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805" s="7">
        <f ca="1">IFERROR(__xludf.DUMMYFUNCTION("""COMPUTED_VALUE"""),89)</f>
        <v>89</v>
      </c>
    </row>
    <row r="806" spans="1:7" ht="26.4" x14ac:dyDescent="0.25">
      <c r="A806" s="5">
        <f ca="1">IFERROR(__xludf.DUMMYFUNCTION("""COMPUTED_VALUE"""),756)</f>
        <v>756</v>
      </c>
      <c r="B806" s="5" t="str">
        <f ca="1">IFERROR(__xludf.DUMMYFUNCTION("""COMPUTED_VALUE"""),"Мельникова")</f>
        <v>Мельникова</v>
      </c>
      <c r="C806" s="5" t="str">
        <f ca="1">IFERROR(__xludf.DUMMYFUNCTION("""COMPUTED_VALUE"""),"Полина")</f>
        <v>Полина</v>
      </c>
      <c r="D806" s="5" t="str">
        <f ca="1">IFERROR(__xludf.DUMMYFUNCTION("""COMPUTED_VALUE"""),"Юрьевна")</f>
        <v>Юрьевна</v>
      </c>
      <c r="E806" s="5" t="str">
        <f ca="1">IFERROR(__xludf.DUMMYFUNCTION("""COMPUTED_VALUE"""),"Команда №4067")</f>
        <v>Команда №4067</v>
      </c>
      <c r="F806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806" s="7">
        <f ca="1">IFERROR(__xludf.DUMMYFUNCTION("""COMPUTED_VALUE"""),89)</f>
        <v>89</v>
      </c>
    </row>
    <row r="807" spans="1:7" ht="26.4" x14ac:dyDescent="0.25">
      <c r="A807" s="5">
        <f ca="1">IFERROR(__xludf.DUMMYFUNCTION("""COMPUTED_VALUE"""),816)</f>
        <v>816</v>
      </c>
      <c r="B807" s="5" t="str">
        <f ca="1">IFERROR(__xludf.DUMMYFUNCTION("""COMPUTED_VALUE"""),"Найденов")</f>
        <v>Найденов</v>
      </c>
      <c r="C807" s="5" t="str">
        <f ca="1">IFERROR(__xludf.DUMMYFUNCTION("""COMPUTED_VALUE"""),"Максим")</f>
        <v>Максим</v>
      </c>
      <c r="D807" s="5" t="str">
        <f ca="1">IFERROR(__xludf.DUMMYFUNCTION("""COMPUTED_VALUE"""),"Витальевич")</f>
        <v>Витальевич</v>
      </c>
      <c r="E807" s="5" t="str">
        <f ca="1">IFERROR(__xludf.DUMMYFUNCTION("""COMPUTED_VALUE"""),"Команда №4067")</f>
        <v>Команда №4067</v>
      </c>
      <c r="F807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807" s="7">
        <f ca="1">IFERROR(__xludf.DUMMYFUNCTION("""COMPUTED_VALUE"""),89)</f>
        <v>89</v>
      </c>
    </row>
    <row r="808" spans="1:7" ht="26.4" x14ac:dyDescent="0.25">
      <c r="A808" s="5">
        <f ca="1">IFERROR(__xludf.DUMMYFUNCTION("""COMPUTED_VALUE"""),1320)</f>
        <v>1320</v>
      </c>
      <c r="B808" s="5" t="str">
        <f ca="1">IFERROR(__xludf.DUMMYFUNCTION("""COMPUTED_VALUE"""),"Шашмурин")</f>
        <v>Шашмурин</v>
      </c>
      <c r="C808" s="5" t="str">
        <f ca="1">IFERROR(__xludf.DUMMYFUNCTION("""COMPUTED_VALUE"""),"Николай")</f>
        <v>Николай</v>
      </c>
      <c r="D808" s="5" t="str">
        <f ca="1">IFERROR(__xludf.DUMMYFUNCTION("""COMPUTED_VALUE"""),"Дмитриевич")</f>
        <v>Дмитриевич</v>
      </c>
      <c r="E808" s="5" t="str">
        <f ca="1">IFERROR(__xludf.DUMMYFUNCTION("""COMPUTED_VALUE"""),"Команда №4067")</f>
        <v>Команда №4067</v>
      </c>
      <c r="F808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808" s="7">
        <f ca="1">IFERROR(__xludf.DUMMYFUNCTION("""COMPUTED_VALUE"""),89)</f>
        <v>89</v>
      </c>
    </row>
    <row r="809" spans="1:7" ht="39.6" x14ac:dyDescent="0.25">
      <c r="A809" s="5">
        <f ca="1">IFERROR(__xludf.DUMMYFUNCTION("""COMPUTED_VALUE"""),117)</f>
        <v>117</v>
      </c>
      <c r="B809" s="5" t="str">
        <f ca="1">IFERROR(__xludf.DUMMYFUNCTION("""COMPUTED_VALUE"""),"Беляков")</f>
        <v>Беляков</v>
      </c>
      <c r="C809" s="5" t="str">
        <f ca="1">IFERROR(__xludf.DUMMYFUNCTION("""COMPUTED_VALUE"""),"Кирилл")</f>
        <v>Кирилл</v>
      </c>
      <c r="D809" s="5" t="str">
        <f ca="1">IFERROR(__xludf.DUMMYFUNCTION("""COMPUTED_VALUE"""),"Олегович")</f>
        <v>Олегович</v>
      </c>
      <c r="E809" s="5" t="str">
        <f ca="1">IFERROR(__xludf.DUMMYFUNCTION("""COMPUTED_VALUE"""),"Команда №4071")</f>
        <v>Команда №4071</v>
      </c>
      <c r="F809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809" s="7">
        <f ca="1">IFERROR(__xludf.DUMMYFUNCTION("""COMPUTED_VALUE"""),85)</f>
        <v>85</v>
      </c>
    </row>
    <row r="810" spans="1:7" ht="39.6" x14ac:dyDescent="0.25">
      <c r="A810" s="5">
        <f ca="1">IFERROR(__xludf.DUMMYFUNCTION("""COMPUTED_VALUE"""),526)</f>
        <v>526</v>
      </c>
      <c r="B810" s="5" t="str">
        <f ca="1">IFERROR(__xludf.DUMMYFUNCTION("""COMPUTED_VALUE"""),"Книженцев")</f>
        <v>Книженцев</v>
      </c>
      <c r="C810" s="5" t="str">
        <f ca="1">IFERROR(__xludf.DUMMYFUNCTION("""COMPUTED_VALUE"""),"Иван")</f>
        <v>Иван</v>
      </c>
      <c r="D810" s="5" t="str">
        <f ca="1">IFERROR(__xludf.DUMMYFUNCTION("""COMPUTED_VALUE"""),"Александрович")</f>
        <v>Александрович</v>
      </c>
      <c r="E810" s="5" t="str">
        <f ca="1">IFERROR(__xludf.DUMMYFUNCTION("""COMPUTED_VALUE"""),"Команда №4071")</f>
        <v>Команда №4071</v>
      </c>
      <c r="F810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810" s="7">
        <f ca="1">IFERROR(__xludf.DUMMYFUNCTION("""COMPUTED_VALUE"""),85)</f>
        <v>85</v>
      </c>
    </row>
    <row r="811" spans="1:7" ht="39.6" x14ac:dyDescent="0.25">
      <c r="A811" s="5">
        <f ca="1">IFERROR(__xludf.DUMMYFUNCTION("""COMPUTED_VALUE"""),855)</f>
        <v>855</v>
      </c>
      <c r="B811" s="5" t="str">
        <f ca="1">IFERROR(__xludf.DUMMYFUNCTION("""COMPUTED_VALUE"""),"Новикова")</f>
        <v>Новикова</v>
      </c>
      <c r="C811" s="5" t="str">
        <f ca="1">IFERROR(__xludf.DUMMYFUNCTION("""COMPUTED_VALUE"""),"Виктория")</f>
        <v>Виктория</v>
      </c>
      <c r="D811" s="5" t="str">
        <f ca="1">IFERROR(__xludf.DUMMYFUNCTION("""COMPUTED_VALUE"""),"Максимовна")</f>
        <v>Максимовна</v>
      </c>
      <c r="E811" s="5" t="str">
        <f ca="1">IFERROR(__xludf.DUMMYFUNCTION("""COMPUTED_VALUE"""),"Команда №4071")</f>
        <v>Команда №4071</v>
      </c>
      <c r="F811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811" s="7">
        <f ca="1">IFERROR(__xludf.DUMMYFUNCTION("""COMPUTED_VALUE"""),85)</f>
        <v>85</v>
      </c>
    </row>
    <row r="812" spans="1:7" ht="39.6" x14ac:dyDescent="0.25">
      <c r="A812" s="5">
        <f ca="1">IFERROR(__xludf.DUMMYFUNCTION("""COMPUTED_VALUE"""),1010)</f>
        <v>1010</v>
      </c>
      <c r="B812" s="5" t="str">
        <f ca="1">IFERROR(__xludf.DUMMYFUNCTION("""COMPUTED_VALUE"""),"Рыженко")</f>
        <v>Рыженко</v>
      </c>
      <c r="C812" s="5" t="str">
        <f ca="1">IFERROR(__xludf.DUMMYFUNCTION("""COMPUTED_VALUE"""),"Даниил")</f>
        <v>Даниил</v>
      </c>
      <c r="D812" s="5" t="str">
        <f ca="1">IFERROR(__xludf.DUMMYFUNCTION("""COMPUTED_VALUE"""),"Дмитриевич")</f>
        <v>Дмитриевич</v>
      </c>
      <c r="E812" s="5" t="str">
        <f ca="1">IFERROR(__xludf.DUMMYFUNCTION("""COMPUTED_VALUE"""),"Команда №4071")</f>
        <v>Команда №4071</v>
      </c>
      <c r="F812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812" s="7">
        <f ca="1">IFERROR(__xludf.DUMMYFUNCTION("""COMPUTED_VALUE"""),85)</f>
        <v>85</v>
      </c>
    </row>
    <row r="813" spans="1:7" ht="26.4" x14ac:dyDescent="0.25">
      <c r="A813" s="5">
        <f ca="1">IFERROR(__xludf.DUMMYFUNCTION("""COMPUTED_VALUE"""),63)</f>
        <v>63</v>
      </c>
      <c r="B813" s="5" t="str">
        <f ca="1">IFERROR(__xludf.DUMMYFUNCTION("""COMPUTED_VALUE"""),"Арюков")</f>
        <v>Арюков</v>
      </c>
      <c r="C813" s="5" t="str">
        <f ca="1">IFERROR(__xludf.DUMMYFUNCTION("""COMPUTED_VALUE"""),"Пётр")</f>
        <v>Пётр</v>
      </c>
      <c r="D813" s="5" t="str">
        <f ca="1">IFERROR(__xludf.DUMMYFUNCTION("""COMPUTED_VALUE"""),"Игоревич")</f>
        <v>Игоревич</v>
      </c>
      <c r="E813" s="5" t="str">
        <f ca="1">IFERROR(__xludf.DUMMYFUNCTION("""COMPUTED_VALUE"""),"Команда №4075")</f>
        <v>Команда №4075</v>
      </c>
      <c r="F813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813" s="7">
        <f ca="1">IFERROR(__xludf.DUMMYFUNCTION("""COMPUTED_VALUE"""),85)</f>
        <v>85</v>
      </c>
    </row>
    <row r="814" spans="1:7" ht="26.4" x14ac:dyDescent="0.25">
      <c r="A814" s="5">
        <f ca="1">IFERROR(__xludf.DUMMYFUNCTION("""COMPUTED_VALUE"""),648)</f>
        <v>648</v>
      </c>
      <c r="B814" s="5" t="str">
        <f ca="1">IFERROR(__xludf.DUMMYFUNCTION("""COMPUTED_VALUE"""),"Куренная")</f>
        <v>Куренная</v>
      </c>
      <c r="C814" s="5" t="str">
        <f ca="1">IFERROR(__xludf.DUMMYFUNCTION("""COMPUTED_VALUE"""),"Анастасия")</f>
        <v>Анастасия</v>
      </c>
      <c r="D814" s="5" t="str">
        <f ca="1">IFERROR(__xludf.DUMMYFUNCTION("""COMPUTED_VALUE"""),"Денисовна")</f>
        <v>Денисовна</v>
      </c>
      <c r="E814" s="5" t="str">
        <f ca="1">IFERROR(__xludf.DUMMYFUNCTION("""COMPUTED_VALUE"""),"Команда №4075")</f>
        <v>Команда №4075</v>
      </c>
      <c r="F814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814" s="7">
        <f ca="1">IFERROR(__xludf.DUMMYFUNCTION("""COMPUTED_VALUE"""),85)</f>
        <v>85</v>
      </c>
    </row>
    <row r="815" spans="1:7" ht="26.4" x14ac:dyDescent="0.25">
      <c r="A815" s="5">
        <f ca="1">IFERROR(__xludf.DUMMYFUNCTION("""COMPUTED_VALUE"""),717)</f>
        <v>717</v>
      </c>
      <c r="B815" s="5" t="str">
        <f ca="1">IFERROR(__xludf.DUMMYFUNCTION("""COMPUTED_VALUE"""),"Максимова")</f>
        <v>Максимова</v>
      </c>
      <c r="C815" s="5" t="str">
        <f ca="1">IFERROR(__xludf.DUMMYFUNCTION("""COMPUTED_VALUE"""),"Вероника")</f>
        <v>Вероника</v>
      </c>
      <c r="D815" s="5" t="str">
        <f ca="1">IFERROR(__xludf.DUMMYFUNCTION("""COMPUTED_VALUE"""),"Максимовна")</f>
        <v>Максимовна</v>
      </c>
      <c r="E815" s="5" t="str">
        <f ca="1">IFERROR(__xludf.DUMMYFUNCTION("""COMPUTED_VALUE"""),"Команда №4075")</f>
        <v>Команда №4075</v>
      </c>
      <c r="F815" s="6" t="str">
        <f ca="1">IFERROR(__xludf.DUMMYFUNCTION("""COMPUTED_VALUE"""),"Автосервис. Разработка 1С-приложения для учёта")</f>
        <v>Автосервис. Разработка 1С-приложения для учёта</v>
      </c>
      <c r="G815" s="7">
        <f ca="1">IFERROR(__xludf.DUMMYFUNCTION("""COMPUTED_VALUE"""),85)</f>
        <v>85</v>
      </c>
    </row>
    <row r="816" spans="1:7" ht="26.4" x14ac:dyDescent="0.25">
      <c r="A816" s="5">
        <f ca="1">IFERROR(__xludf.DUMMYFUNCTION("""COMPUTED_VALUE"""),453)</f>
        <v>453</v>
      </c>
      <c r="B816" s="5" t="str">
        <f ca="1">IFERROR(__xludf.DUMMYFUNCTION("""COMPUTED_VALUE"""),"Иванов")</f>
        <v>Иванов</v>
      </c>
      <c r="C816" s="5" t="str">
        <f ca="1">IFERROR(__xludf.DUMMYFUNCTION("""COMPUTED_VALUE"""),"Никита")</f>
        <v>Никита</v>
      </c>
      <c r="D816" s="5" t="str">
        <f ca="1">IFERROR(__xludf.DUMMYFUNCTION("""COMPUTED_VALUE"""),"Александрович")</f>
        <v>Александрович</v>
      </c>
      <c r="E816" s="5" t="str">
        <f ca="1">IFERROR(__xludf.DUMMYFUNCTION("""COMPUTED_VALUE"""),"Команда №4104")</f>
        <v>Команда №4104</v>
      </c>
      <c r="F816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816" s="7">
        <f ca="1">IFERROR(__xludf.DUMMYFUNCTION("""COMPUTED_VALUE"""),0)</f>
        <v>0</v>
      </c>
    </row>
    <row r="817" spans="1:7" ht="26.4" x14ac:dyDescent="0.25">
      <c r="A817" s="5">
        <f ca="1">IFERROR(__xludf.DUMMYFUNCTION("""COMPUTED_VALUE"""),721)</f>
        <v>721</v>
      </c>
      <c r="B817" s="5" t="str">
        <f ca="1">IFERROR(__xludf.DUMMYFUNCTION("""COMPUTED_VALUE"""),"Малькив")</f>
        <v>Малькив</v>
      </c>
      <c r="C817" s="5" t="str">
        <f ca="1">IFERROR(__xludf.DUMMYFUNCTION("""COMPUTED_VALUE"""),"Дмитрий")</f>
        <v>Дмитрий</v>
      </c>
      <c r="D817" s="5" t="str">
        <f ca="1">IFERROR(__xludf.DUMMYFUNCTION("""COMPUTED_VALUE"""),"Сергеевич")</f>
        <v>Сергеевич</v>
      </c>
      <c r="E817" s="5" t="str">
        <f ca="1">IFERROR(__xludf.DUMMYFUNCTION("""COMPUTED_VALUE"""),"Команда №4104")</f>
        <v>Команда №4104</v>
      </c>
      <c r="F817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817" s="7">
        <f ca="1">IFERROR(__xludf.DUMMYFUNCTION("""COMPUTED_VALUE"""),0)</f>
        <v>0</v>
      </c>
    </row>
    <row r="818" spans="1:7" ht="26.4" x14ac:dyDescent="0.25">
      <c r="A818" s="5">
        <f ca="1">IFERROR(__xludf.DUMMYFUNCTION("""COMPUTED_VALUE"""),800)</f>
        <v>800</v>
      </c>
      <c r="B818" s="5" t="str">
        <f ca="1">IFERROR(__xludf.DUMMYFUNCTION("""COMPUTED_VALUE"""),"Мусин")</f>
        <v>Мусин</v>
      </c>
      <c r="C818" s="5" t="str">
        <f ca="1">IFERROR(__xludf.DUMMYFUNCTION("""COMPUTED_VALUE"""),"Эдуард")</f>
        <v>Эдуард</v>
      </c>
      <c r="D818" s="5" t="str">
        <f ca="1">IFERROR(__xludf.DUMMYFUNCTION("""COMPUTED_VALUE"""),"Борисович")</f>
        <v>Борисович</v>
      </c>
      <c r="E818" s="5" t="str">
        <f ca="1">IFERROR(__xludf.DUMMYFUNCTION("""COMPUTED_VALUE"""),"Команда №4104")</f>
        <v>Команда №4104</v>
      </c>
      <c r="F818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818" s="7">
        <f ca="1">IFERROR(__xludf.DUMMYFUNCTION("""COMPUTED_VALUE"""),0)</f>
        <v>0</v>
      </c>
    </row>
    <row r="819" spans="1:7" ht="26.4" x14ac:dyDescent="0.25">
      <c r="A819" s="5">
        <f ca="1">IFERROR(__xludf.DUMMYFUNCTION("""COMPUTED_VALUE"""),961)</f>
        <v>961</v>
      </c>
      <c r="B819" s="5" t="str">
        <f ca="1">IFERROR(__xludf.DUMMYFUNCTION("""COMPUTED_VALUE"""),"Прожерин")</f>
        <v>Прожерин</v>
      </c>
      <c r="C819" s="5" t="str">
        <f ca="1">IFERROR(__xludf.DUMMYFUNCTION("""COMPUTED_VALUE"""),"Владислав")</f>
        <v>Владислав</v>
      </c>
      <c r="D819" s="5" t="str">
        <f ca="1">IFERROR(__xludf.DUMMYFUNCTION("""COMPUTED_VALUE"""),"Александрович")</f>
        <v>Александрович</v>
      </c>
      <c r="E819" s="5" t="str">
        <f ca="1">IFERROR(__xludf.DUMMYFUNCTION("""COMPUTED_VALUE"""),"Команда №4104")</f>
        <v>Команда №4104</v>
      </c>
      <c r="F819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819" s="7">
        <f ca="1">IFERROR(__xludf.DUMMYFUNCTION("""COMPUTED_VALUE"""),0)</f>
        <v>0</v>
      </c>
    </row>
    <row r="820" spans="1:7" ht="26.4" x14ac:dyDescent="0.25">
      <c r="A820" s="5">
        <f ca="1">IFERROR(__xludf.DUMMYFUNCTION("""COMPUTED_VALUE"""),579)</f>
        <v>579</v>
      </c>
      <c r="B820" s="5" t="str">
        <f ca="1">IFERROR(__xludf.DUMMYFUNCTION("""COMPUTED_VALUE"""),"Корелин")</f>
        <v>Корелин</v>
      </c>
      <c r="C820" s="5" t="str">
        <f ca="1">IFERROR(__xludf.DUMMYFUNCTION("""COMPUTED_VALUE"""),"Антон")</f>
        <v>Антон</v>
      </c>
      <c r="D820" s="5" t="str">
        <f ca="1">IFERROR(__xludf.DUMMYFUNCTION("""COMPUTED_VALUE"""),"Андреевич")</f>
        <v>Андреевич</v>
      </c>
      <c r="E820" s="5" t="str">
        <f ca="1">IFERROR(__xludf.DUMMYFUNCTION("""COMPUTED_VALUE"""),"Команда №4105")</f>
        <v>Команда №4105</v>
      </c>
      <c r="F820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820" s="7">
        <f ca="1">IFERROR(__xludf.DUMMYFUNCTION("""COMPUTED_VALUE"""),85)</f>
        <v>85</v>
      </c>
    </row>
    <row r="821" spans="1:7" ht="26.4" x14ac:dyDescent="0.25">
      <c r="A821" s="5">
        <f ca="1">IFERROR(__xludf.DUMMYFUNCTION("""COMPUTED_VALUE"""),654)</f>
        <v>654</v>
      </c>
      <c r="B821" s="5" t="str">
        <f ca="1">IFERROR(__xludf.DUMMYFUNCTION("""COMPUTED_VALUE"""),"Куэйяр")</f>
        <v>Куэйяр</v>
      </c>
      <c r="C821" s="5" t="str">
        <f ca="1">IFERROR(__xludf.DUMMYFUNCTION("""COMPUTED_VALUE"""),"Егоров")</f>
        <v>Егоров</v>
      </c>
      <c r="D821" s="5" t="str">
        <f ca="1">IFERROR(__xludf.DUMMYFUNCTION("""COMPUTED_VALUE"""),"Андрей")</f>
        <v>Андрей</v>
      </c>
      <c r="E821" s="5" t="str">
        <f ca="1">IFERROR(__xludf.DUMMYFUNCTION("""COMPUTED_VALUE"""),"Команда №4105")</f>
        <v>Команда №4105</v>
      </c>
      <c r="F821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821" s="7">
        <f ca="1">IFERROR(__xludf.DUMMYFUNCTION("""COMPUTED_VALUE"""),85)</f>
        <v>85</v>
      </c>
    </row>
    <row r="822" spans="1:7" ht="26.4" x14ac:dyDescent="0.25">
      <c r="A822" s="5">
        <f ca="1">IFERROR(__xludf.DUMMYFUNCTION("""COMPUTED_VALUE"""),755)</f>
        <v>755</v>
      </c>
      <c r="B822" s="5" t="str">
        <f ca="1">IFERROR(__xludf.DUMMYFUNCTION("""COMPUTED_VALUE"""),"Мельникова")</f>
        <v>Мельникова</v>
      </c>
      <c r="C822" s="5" t="str">
        <f ca="1">IFERROR(__xludf.DUMMYFUNCTION("""COMPUTED_VALUE"""),"Полина")</f>
        <v>Полина</v>
      </c>
      <c r="D822" s="5" t="str">
        <f ca="1">IFERROR(__xludf.DUMMYFUNCTION("""COMPUTED_VALUE"""),"Эдуардовна")</f>
        <v>Эдуардовна</v>
      </c>
      <c r="E822" s="5" t="str">
        <f ca="1">IFERROR(__xludf.DUMMYFUNCTION("""COMPUTED_VALUE"""),"Команда №4105")</f>
        <v>Команда №4105</v>
      </c>
      <c r="F822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822" s="7">
        <f ca="1">IFERROR(__xludf.DUMMYFUNCTION("""COMPUTED_VALUE"""),85)</f>
        <v>85</v>
      </c>
    </row>
    <row r="823" spans="1:7" ht="26.4" x14ac:dyDescent="0.25">
      <c r="A823" s="5">
        <f ca="1">IFERROR(__xludf.DUMMYFUNCTION("""COMPUTED_VALUE"""),903)</f>
        <v>903</v>
      </c>
      <c r="B823" s="5" t="str">
        <f ca="1">IFERROR(__xludf.DUMMYFUNCTION("""COMPUTED_VALUE"""),"Панюкова")</f>
        <v>Панюкова</v>
      </c>
      <c r="C823" s="5" t="str">
        <f ca="1">IFERROR(__xludf.DUMMYFUNCTION("""COMPUTED_VALUE"""),"Екатерина")</f>
        <v>Екатерина</v>
      </c>
      <c r="D823" s="5" t="str">
        <f ca="1">IFERROR(__xludf.DUMMYFUNCTION("""COMPUTED_VALUE"""),"Алексеевна")</f>
        <v>Алексеевна</v>
      </c>
      <c r="E823" s="5" t="str">
        <f ca="1">IFERROR(__xludf.DUMMYFUNCTION("""COMPUTED_VALUE"""),"Команда №4105")</f>
        <v>Команда №4105</v>
      </c>
      <c r="F823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823" s="7">
        <f ca="1">IFERROR(__xludf.DUMMYFUNCTION("""COMPUTED_VALUE"""),85)</f>
        <v>85</v>
      </c>
    </row>
    <row r="824" spans="1:7" ht="26.4" x14ac:dyDescent="0.25">
      <c r="A824" s="5">
        <f ca="1">IFERROR(__xludf.DUMMYFUNCTION("""COMPUTED_VALUE"""),1035)</f>
        <v>1035</v>
      </c>
      <c r="B824" s="5" t="str">
        <f ca="1">IFERROR(__xludf.DUMMYFUNCTION("""COMPUTED_VALUE"""),"Сапкалова")</f>
        <v>Сапкалова</v>
      </c>
      <c r="C824" s="5" t="str">
        <f ca="1">IFERROR(__xludf.DUMMYFUNCTION("""COMPUTED_VALUE"""),"Кристина")</f>
        <v>Кристина</v>
      </c>
      <c r="D824" s="5" t="str">
        <f ca="1">IFERROR(__xludf.DUMMYFUNCTION("""COMPUTED_VALUE"""),"Сергеевна")</f>
        <v>Сергеевна</v>
      </c>
      <c r="E824" s="5" t="str">
        <f ca="1">IFERROR(__xludf.DUMMYFUNCTION("""COMPUTED_VALUE"""),"Команда №4105")</f>
        <v>Команда №4105</v>
      </c>
      <c r="F824" s="6" t="str">
        <f ca="1">IFERROR(__xludf.DUMMYFUNCTION("""COMPUTED_VALUE"""),"2D-игра на тему ""Состояние Арктики на примере дикого северного оленя""")</f>
        <v>2D-игра на тему "Состояние Арктики на примере дикого северного оленя"</v>
      </c>
      <c r="G824" s="7">
        <f ca="1">IFERROR(__xludf.DUMMYFUNCTION("""COMPUTED_VALUE"""),85)</f>
        <v>85</v>
      </c>
    </row>
    <row r="825" spans="1:7" ht="26.4" x14ac:dyDescent="0.25">
      <c r="A825" s="5">
        <f ca="1">IFERROR(__xludf.DUMMYFUNCTION("""COMPUTED_VALUE"""),11)</f>
        <v>11</v>
      </c>
      <c r="B825" s="5" t="str">
        <f ca="1">IFERROR(__xludf.DUMMYFUNCTION("""COMPUTED_VALUE"""),"Аблеева")</f>
        <v>Аблеева</v>
      </c>
      <c r="C825" s="5" t="str">
        <f ca="1">IFERROR(__xludf.DUMMYFUNCTION("""COMPUTED_VALUE"""),"Светлана")</f>
        <v>Светлана</v>
      </c>
      <c r="D825" s="5" t="str">
        <f ca="1">IFERROR(__xludf.DUMMYFUNCTION("""COMPUTED_VALUE"""),"Рустемовна")</f>
        <v>Рустемовна</v>
      </c>
      <c r="E825" s="5" t="str">
        <f ca="1">IFERROR(__xludf.DUMMYFUNCTION("""COMPUTED_VALUE"""),"Команда №4111")</f>
        <v>Команда №4111</v>
      </c>
      <c r="F825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825" s="7">
        <f ca="1">IFERROR(__xludf.DUMMYFUNCTION("""COMPUTED_VALUE"""),100)</f>
        <v>100</v>
      </c>
    </row>
    <row r="826" spans="1:7" ht="26.4" x14ac:dyDescent="0.25">
      <c r="A826" s="5">
        <f ca="1">IFERROR(__xludf.DUMMYFUNCTION("""COMPUTED_VALUE"""),811)</f>
        <v>811</v>
      </c>
      <c r="B826" s="5" t="str">
        <f ca="1">IFERROR(__xludf.DUMMYFUNCTION("""COMPUTED_VALUE"""),"Нагнибеда")</f>
        <v>Нагнибеда</v>
      </c>
      <c r="C826" s="5" t="str">
        <f ca="1">IFERROR(__xludf.DUMMYFUNCTION("""COMPUTED_VALUE"""),"Алиса")</f>
        <v>Алиса</v>
      </c>
      <c r="D826" s="5" t="str">
        <f ca="1">IFERROR(__xludf.DUMMYFUNCTION("""COMPUTED_VALUE"""),"Александровна")</f>
        <v>Александровна</v>
      </c>
      <c r="E826" s="5" t="str">
        <f ca="1">IFERROR(__xludf.DUMMYFUNCTION("""COMPUTED_VALUE"""),"Команда №4111")</f>
        <v>Команда №4111</v>
      </c>
      <c r="F826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826" s="7">
        <f ca="1">IFERROR(__xludf.DUMMYFUNCTION("""COMPUTED_VALUE"""),100)</f>
        <v>100</v>
      </c>
    </row>
    <row r="827" spans="1:7" ht="26.4" x14ac:dyDescent="0.25">
      <c r="A827" s="5">
        <f ca="1">IFERROR(__xludf.DUMMYFUNCTION("""COMPUTED_VALUE"""),1015)</f>
        <v>1015</v>
      </c>
      <c r="B827" s="5" t="str">
        <f ca="1">IFERROR(__xludf.DUMMYFUNCTION("""COMPUTED_VALUE"""),"Сабитова")</f>
        <v>Сабитова</v>
      </c>
      <c r="C827" s="5" t="str">
        <f ca="1">IFERROR(__xludf.DUMMYFUNCTION("""COMPUTED_VALUE"""),"Алина")</f>
        <v>Алина</v>
      </c>
      <c r="D827" s="5" t="str">
        <f ca="1">IFERROR(__xludf.DUMMYFUNCTION("""COMPUTED_VALUE"""),"Равильевна")</f>
        <v>Равильевна</v>
      </c>
      <c r="E827" s="5" t="str">
        <f ca="1">IFERROR(__xludf.DUMMYFUNCTION("""COMPUTED_VALUE"""),"Команда №4111")</f>
        <v>Команда №4111</v>
      </c>
      <c r="F827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827" s="7">
        <f ca="1">IFERROR(__xludf.DUMMYFUNCTION("""COMPUTED_VALUE"""),100)</f>
        <v>100</v>
      </c>
    </row>
    <row r="828" spans="1:7" ht="26.4" x14ac:dyDescent="0.25">
      <c r="A828" s="5">
        <f ca="1">IFERROR(__xludf.DUMMYFUNCTION("""COMPUTED_VALUE"""),1178)</f>
        <v>1178</v>
      </c>
      <c r="B828" s="5" t="str">
        <f ca="1">IFERROR(__xludf.DUMMYFUNCTION("""COMPUTED_VALUE"""),"Трофимова")</f>
        <v>Трофимова</v>
      </c>
      <c r="C828" s="5" t="str">
        <f ca="1">IFERROR(__xludf.DUMMYFUNCTION("""COMPUTED_VALUE"""),"Ольга")</f>
        <v>Ольга</v>
      </c>
      <c r="D828" s="5" t="str">
        <f ca="1">IFERROR(__xludf.DUMMYFUNCTION("""COMPUTED_VALUE"""),"Сергеевна")</f>
        <v>Сергеевна</v>
      </c>
      <c r="E828" s="5" t="str">
        <f ca="1">IFERROR(__xludf.DUMMYFUNCTION("""COMPUTED_VALUE"""),"Команда №4111")</f>
        <v>Команда №4111</v>
      </c>
      <c r="F828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828" s="7">
        <f ca="1">IFERROR(__xludf.DUMMYFUNCTION("""COMPUTED_VALUE"""),100)</f>
        <v>100</v>
      </c>
    </row>
    <row r="829" spans="1:7" ht="26.4" x14ac:dyDescent="0.25">
      <c r="A829" s="5">
        <f ca="1">IFERROR(__xludf.DUMMYFUNCTION("""COMPUTED_VALUE"""),1227)</f>
        <v>1227</v>
      </c>
      <c r="B829" s="5" t="str">
        <f ca="1">IFERROR(__xludf.DUMMYFUNCTION("""COMPUTED_VALUE"""),"Филоник")</f>
        <v>Филоник</v>
      </c>
      <c r="C829" s="5" t="str">
        <f ca="1">IFERROR(__xludf.DUMMYFUNCTION("""COMPUTED_VALUE"""),"Кирилл")</f>
        <v>Кирилл</v>
      </c>
      <c r="D829" s="5" t="str">
        <f ca="1">IFERROR(__xludf.DUMMYFUNCTION("""COMPUTED_VALUE"""),"Русланович")</f>
        <v>Русланович</v>
      </c>
      <c r="E829" s="5" t="str">
        <f ca="1">IFERROR(__xludf.DUMMYFUNCTION("""COMPUTED_VALUE"""),"Команда №4111")</f>
        <v>Команда №4111</v>
      </c>
      <c r="F829" s="6" t="str">
        <f ca="1">IFERROR(__xludf.DUMMYFUNCTION("""COMPUTED_VALUE"""),"Разработка мобильного приложения для путешественников для платформы Andriod")</f>
        <v>Разработка мобильного приложения для путешественников для платформы Andriod</v>
      </c>
      <c r="G829" s="7">
        <f ca="1">IFERROR(__xludf.DUMMYFUNCTION("""COMPUTED_VALUE"""),100)</f>
        <v>100</v>
      </c>
    </row>
    <row r="830" spans="1:7" ht="26.4" x14ac:dyDescent="0.25">
      <c r="A830" s="5">
        <f ca="1">IFERROR(__xludf.DUMMYFUNCTION("""COMPUTED_VALUE"""),482)</f>
        <v>482</v>
      </c>
      <c r="B830" s="5" t="str">
        <f ca="1">IFERROR(__xludf.DUMMYFUNCTION("""COMPUTED_VALUE"""),"Казанцева")</f>
        <v>Казанцева</v>
      </c>
      <c r="C830" s="5" t="str">
        <f ca="1">IFERROR(__xludf.DUMMYFUNCTION("""COMPUTED_VALUE"""),"Евгения")</f>
        <v>Евгения</v>
      </c>
      <c r="D830" s="5" t="str">
        <f ca="1">IFERROR(__xludf.DUMMYFUNCTION("""COMPUTED_VALUE"""),"Николаевна")</f>
        <v>Николаевна</v>
      </c>
      <c r="E830" s="5" t="str">
        <f ca="1">IFERROR(__xludf.DUMMYFUNCTION("""COMPUTED_VALUE"""),"Команда №4118")</f>
        <v>Команда №4118</v>
      </c>
      <c r="F830" s="6" t="str">
        <f ca="1">IFERROR(__xludf.DUMMYFUNCTION("""COMPUTED_VALUE"""),"Разработка виртуальных контестов на timus.online")</f>
        <v>Разработка виртуальных контестов на timus.online</v>
      </c>
      <c r="G830" s="7">
        <f ca="1">IFERROR(__xludf.DUMMYFUNCTION("""COMPUTED_VALUE"""),85)</f>
        <v>85</v>
      </c>
    </row>
    <row r="831" spans="1:7" ht="26.4" x14ac:dyDescent="0.25">
      <c r="A831" s="5">
        <f ca="1">IFERROR(__xludf.DUMMYFUNCTION("""COMPUTED_VALUE"""),541)</f>
        <v>541</v>
      </c>
      <c r="B831" s="5" t="str">
        <f ca="1">IFERROR(__xludf.DUMMYFUNCTION("""COMPUTED_VALUE"""),"Козаченко")</f>
        <v>Козаченко</v>
      </c>
      <c r="C831" s="5" t="str">
        <f ca="1">IFERROR(__xludf.DUMMYFUNCTION("""COMPUTED_VALUE"""),"Дмитрий")</f>
        <v>Дмитрий</v>
      </c>
      <c r="D831" s="5" t="str">
        <f ca="1">IFERROR(__xludf.DUMMYFUNCTION("""COMPUTED_VALUE"""),"Сергеевич")</f>
        <v>Сергеевич</v>
      </c>
      <c r="E831" s="5" t="str">
        <f ca="1">IFERROR(__xludf.DUMMYFUNCTION("""COMPUTED_VALUE"""),"Команда №4118")</f>
        <v>Команда №4118</v>
      </c>
      <c r="F831" s="6" t="str">
        <f ca="1">IFERROR(__xludf.DUMMYFUNCTION("""COMPUTED_VALUE"""),"Разработка виртуальных контестов на timus.online")</f>
        <v>Разработка виртуальных контестов на timus.online</v>
      </c>
      <c r="G831" s="7">
        <f ca="1">IFERROR(__xludf.DUMMYFUNCTION("""COMPUTED_VALUE"""),85)</f>
        <v>85</v>
      </c>
    </row>
    <row r="832" spans="1:7" ht="26.4" x14ac:dyDescent="0.25">
      <c r="A832" s="5">
        <f ca="1">IFERROR(__xludf.DUMMYFUNCTION("""COMPUTED_VALUE"""),1005)</f>
        <v>1005</v>
      </c>
      <c r="B832" s="5" t="str">
        <f ca="1">IFERROR(__xludf.DUMMYFUNCTION("""COMPUTED_VALUE"""),"Рушкова")</f>
        <v>Рушкова</v>
      </c>
      <c r="C832" s="5" t="str">
        <f ca="1">IFERROR(__xludf.DUMMYFUNCTION("""COMPUTED_VALUE"""),"Ольга")</f>
        <v>Ольга</v>
      </c>
      <c r="D832" s="5" t="str">
        <f ca="1">IFERROR(__xludf.DUMMYFUNCTION("""COMPUTED_VALUE"""),"Игоревна")</f>
        <v>Игоревна</v>
      </c>
      <c r="E832" s="5" t="str">
        <f ca="1">IFERROR(__xludf.DUMMYFUNCTION("""COMPUTED_VALUE"""),"Команда №4118")</f>
        <v>Команда №4118</v>
      </c>
      <c r="F832" s="6" t="str">
        <f ca="1">IFERROR(__xludf.DUMMYFUNCTION("""COMPUTED_VALUE"""),"Разработка виртуальных контестов на timus.online")</f>
        <v>Разработка виртуальных контестов на timus.online</v>
      </c>
      <c r="G832" s="7">
        <f ca="1">IFERROR(__xludf.DUMMYFUNCTION("""COMPUTED_VALUE"""),85)</f>
        <v>85</v>
      </c>
    </row>
    <row r="833" spans="1:7" ht="26.4" x14ac:dyDescent="0.25">
      <c r="A833" s="5">
        <f ca="1">IFERROR(__xludf.DUMMYFUNCTION("""COMPUTED_VALUE"""),1318)</f>
        <v>1318</v>
      </c>
      <c r="B833" s="5" t="str">
        <f ca="1">IFERROR(__xludf.DUMMYFUNCTION("""COMPUTED_VALUE"""),"Шарипов")</f>
        <v>Шарипов</v>
      </c>
      <c r="C833" s="5" t="str">
        <f ca="1">IFERROR(__xludf.DUMMYFUNCTION("""COMPUTED_VALUE"""),"Рустам")</f>
        <v>Рустам</v>
      </c>
      <c r="D833" s="5" t="str">
        <f ca="1">IFERROR(__xludf.DUMMYFUNCTION("""COMPUTED_VALUE"""),"Рашидович")</f>
        <v>Рашидович</v>
      </c>
      <c r="E833" s="5" t="str">
        <f ca="1">IFERROR(__xludf.DUMMYFUNCTION("""COMPUTED_VALUE"""),"Команда №4118")</f>
        <v>Команда №4118</v>
      </c>
      <c r="F833" s="6" t="str">
        <f ca="1">IFERROR(__xludf.DUMMYFUNCTION("""COMPUTED_VALUE"""),"Разработка виртуальных контестов на timus.online")</f>
        <v>Разработка виртуальных контестов на timus.online</v>
      </c>
      <c r="G833" s="7">
        <f ca="1">IFERROR(__xludf.DUMMYFUNCTION("""COMPUTED_VALUE"""),85)</f>
        <v>85</v>
      </c>
    </row>
    <row r="834" spans="1:7" ht="13.2" x14ac:dyDescent="0.25">
      <c r="A834" s="5">
        <f ca="1">IFERROR(__xludf.DUMMYFUNCTION("""COMPUTED_VALUE"""),264)</f>
        <v>264</v>
      </c>
      <c r="B834" s="5" t="str">
        <f ca="1">IFERROR(__xludf.DUMMYFUNCTION("""COMPUTED_VALUE"""),"Голубятникова")</f>
        <v>Голубятникова</v>
      </c>
      <c r="C834" s="5" t="str">
        <f ca="1">IFERROR(__xludf.DUMMYFUNCTION("""COMPUTED_VALUE"""),"Ксения")</f>
        <v>Ксения</v>
      </c>
      <c r="D834" s="5" t="str">
        <f ca="1">IFERROR(__xludf.DUMMYFUNCTION("""COMPUTED_VALUE"""),"Александровна")</f>
        <v>Александровна</v>
      </c>
      <c r="E834" s="5" t="str">
        <f ca="1">IFERROR(__xludf.DUMMYFUNCTION("""COMPUTED_VALUE"""),"Команда №4127")</f>
        <v>Команда №4127</v>
      </c>
      <c r="F834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34" s="7">
        <f ca="1">IFERROR(__xludf.DUMMYFUNCTION("""COMPUTED_VALUE"""),80)</f>
        <v>80</v>
      </c>
    </row>
    <row r="835" spans="1:7" ht="13.2" x14ac:dyDescent="0.25">
      <c r="A835" s="5">
        <f ca="1">IFERROR(__xludf.DUMMYFUNCTION("""COMPUTED_VALUE"""),489)</f>
        <v>489</v>
      </c>
      <c r="B835" s="5" t="str">
        <f ca="1">IFERROR(__xludf.DUMMYFUNCTION("""COMPUTED_VALUE"""),"Кампос")</f>
        <v>Кампос</v>
      </c>
      <c r="C835" s="5" t="str">
        <f ca="1">IFERROR(__xludf.DUMMYFUNCTION("""COMPUTED_VALUE"""),"Леинес")</f>
        <v>Леинес</v>
      </c>
      <c r="D835" s="5" t="str">
        <f ca="1">IFERROR(__xludf.DUMMYFUNCTION("""COMPUTED_VALUE"""),"Эдисон")</f>
        <v>Эдисон</v>
      </c>
      <c r="E835" s="5" t="str">
        <f ca="1">IFERROR(__xludf.DUMMYFUNCTION("""COMPUTED_VALUE"""),"Команда №4127")</f>
        <v>Команда №4127</v>
      </c>
      <c r="F835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35" s="7">
        <f ca="1">IFERROR(__xludf.DUMMYFUNCTION("""COMPUTED_VALUE"""),80)</f>
        <v>80</v>
      </c>
    </row>
    <row r="836" spans="1:7" ht="13.2" x14ac:dyDescent="0.25">
      <c r="A836" s="5">
        <f ca="1">IFERROR(__xludf.DUMMYFUNCTION("""COMPUTED_VALUE"""),533)</f>
        <v>533</v>
      </c>
      <c r="B836" s="5" t="str">
        <f ca="1">IFERROR(__xludf.DUMMYFUNCTION("""COMPUTED_VALUE"""),"Ковалева")</f>
        <v>Ковалева</v>
      </c>
      <c r="C836" s="5" t="str">
        <f ca="1">IFERROR(__xludf.DUMMYFUNCTION("""COMPUTED_VALUE"""),"Екатерина")</f>
        <v>Екатерина</v>
      </c>
      <c r="D836" s="5" t="str">
        <f ca="1">IFERROR(__xludf.DUMMYFUNCTION("""COMPUTED_VALUE"""),"Дмитриевна")</f>
        <v>Дмитриевна</v>
      </c>
      <c r="E836" s="5" t="str">
        <f ca="1">IFERROR(__xludf.DUMMYFUNCTION("""COMPUTED_VALUE"""),"Команда №4127")</f>
        <v>Команда №4127</v>
      </c>
      <c r="F836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36" s="7">
        <f ca="1">IFERROR(__xludf.DUMMYFUNCTION("""COMPUTED_VALUE"""),80)</f>
        <v>80</v>
      </c>
    </row>
    <row r="837" spans="1:7" ht="13.2" x14ac:dyDescent="0.25">
      <c r="A837" s="5">
        <f ca="1">IFERROR(__xludf.DUMMYFUNCTION("""COMPUTED_VALUE"""),778)</f>
        <v>778</v>
      </c>
      <c r="B837" s="5" t="str">
        <f ca="1">IFERROR(__xludf.DUMMYFUNCTION("""COMPUTED_VALUE"""),"Мокроносов")</f>
        <v>Мокроносов</v>
      </c>
      <c r="C837" s="5" t="str">
        <f ca="1">IFERROR(__xludf.DUMMYFUNCTION("""COMPUTED_VALUE"""),"Александр")</f>
        <v>Александр</v>
      </c>
      <c r="D837" s="5" t="str">
        <f ca="1">IFERROR(__xludf.DUMMYFUNCTION("""COMPUTED_VALUE"""),"Сергеевич")</f>
        <v>Сергеевич</v>
      </c>
      <c r="E837" s="5" t="str">
        <f ca="1">IFERROR(__xludf.DUMMYFUNCTION("""COMPUTED_VALUE"""),"Команда №4127")</f>
        <v>Команда №4127</v>
      </c>
      <c r="F837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37" s="7">
        <f ca="1">IFERROR(__xludf.DUMMYFUNCTION("""COMPUTED_VALUE"""),80)</f>
        <v>80</v>
      </c>
    </row>
    <row r="838" spans="1:7" ht="13.2" x14ac:dyDescent="0.25">
      <c r="A838" s="5">
        <f ca="1">IFERROR(__xludf.DUMMYFUNCTION("""COMPUTED_VALUE"""),1149)</f>
        <v>1149</v>
      </c>
      <c r="B838" s="5" t="str">
        <f ca="1">IFERROR(__xludf.DUMMYFUNCTION("""COMPUTED_VALUE"""),"Терещенко")</f>
        <v>Терещенко</v>
      </c>
      <c r="C838" s="5" t="str">
        <f ca="1">IFERROR(__xludf.DUMMYFUNCTION("""COMPUTED_VALUE"""),"Максим")</f>
        <v>Максим</v>
      </c>
      <c r="D838" s="5" t="str">
        <f ca="1">IFERROR(__xludf.DUMMYFUNCTION("""COMPUTED_VALUE"""),"Сергеевич")</f>
        <v>Сергеевич</v>
      </c>
      <c r="E838" s="5" t="str">
        <f ca="1">IFERROR(__xludf.DUMMYFUNCTION("""COMPUTED_VALUE"""),"Команда №4127")</f>
        <v>Команда №4127</v>
      </c>
      <c r="F838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38" s="7">
        <f ca="1">IFERROR(__xludf.DUMMYFUNCTION("""COMPUTED_VALUE"""),80)</f>
        <v>80</v>
      </c>
    </row>
    <row r="839" spans="1:7" ht="52.8" x14ac:dyDescent="0.25">
      <c r="A839" s="5">
        <f ca="1">IFERROR(__xludf.DUMMYFUNCTION("""COMPUTED_VALUE"""),165)</f>
        <v>165</v>
      </c>
      <c r="B839" s="5" t="str">
        <f ca="1">IFERROR(__xludf.DUMMYFUNCTION("""COMPUTED_VALUE"""),"Быков")</f>
        <v>Быков</v>
      </c>
      <c r="C839" s="5" t="str">
        <f ca="1">IFERROR(__xludf.DUMMYFUNCTION("""COMPUTED_VALUE"""),"Александр")</f>
        <v>Александр</v>
      </c>
      <c r="D839" s="5" t="str">
        <f ca="1">IFERROR(__xludf.DUMMYFUNCTION("""COMPUTED_VALUE"""),"Сергеевич")</f>
        <v>Сергеевич</v>
      </c>
      <c r="E839" s="5" t="str">
        <f ca="1">IFERROR(__xludf.DUMMYFUNCTION("""COMPUTED_VALUE"""),"Команда №4135")</f>
        <v>Команда №4135</v>
      </c>
      <c r="F839" s="6" t="str">
        <f ca="1">IFERROR(__xludf.DUMMYFUNCTION("""COMPUTED_VALUE"""),"Создание веб-сервиса, показывающего оптимальную траекторию (или пакет траекторий) по заданному графу знаний и целевым вершинам")</f>
        <v>Создание веб-сервиса, показывающего оптимальную траекторию (или пакет траекторий) по заданному графу знаний и целевым вершинам</v>
      </c>
      <c r="G839" s="7">
        <f ca="1">IFERROR(__xludf.DUMMYFUNCTION("""COMPUTED_VALUE"""),0)</f>
        <v>0</v>
      </c>
    </row>
    <row r="840" spans="1:7" ht="52.8" x14ac:dyDescent="0.25">
      <c r="A840" s="5">
        <f ca="1">IFERROR(__xludf.DUMMYFUNCTION("""COMPUTED_VALUE"""),384)</f>
        <v>384</v>
      </c>
      <c r="B840" s="5" t="str">
        <f ca="1">IFERROR(__xludf.DUMMYFUNCTION("""COMPUTED_VALUE"""),"Ефимов")</f>
        <v>Ефимов</v>
      </c>
      <c r="C840" s="5" t="str">
        <f ca="1">IFERROR(__xludf.DUMMYFUNCTION("""COMPUTED_VALUE"""),"Дмитрий")</f>
        <v>Дмитрий</v>
      </c>
      <c r="D840" s="5" t="str">
        <f ca="1">IFERROR(__xludf.DUMMYFUNCTION("""COMPUTED_VALUE"""),"Александрович")</f>
        <v>Александрович</v>
      </c>
      <c r="E840" s="5" t="str">
        <f ca="1">IFERROR(__xludf.DUMMYFUNCTION("""COMPUTED_VALUE"""),"Команда №4135")</f>
        <v>Команда №4135</v>
      </c>
      <c r="F840" s="6" t="str">
        <f ca="1">IFERROR(__xludf.DUMMYFUNCTION("""COMPUTED_VALUE"""),"Создание веб-сервиса, показывающего оптимальную траекторию (или пакет траекторий) по заданному графу знаний и целевым вершинам")</f>
        <v>Создание веб-сервиса, показывающего оптимальную траекторию (или пакет траекторий) по заданному графу знаний и целевым вершинам</v>
      </c>
      <c r="G840" s="7">
        <f ca="1">IFERROR(__xludf.DUMMYFUNCTION("""COMPUTED_VALUE"""),0)</f>
        <v>0</v>
      </c>
    </row>
    <row r="841" spans="1:7" ht="52.8" x14ac:dyDescent="0.25">
      <c r="A841" s="5">
        <f ca="1">IFERROR(__xludf.DUMMYFUNCTION("""COMPUTED_VALUE"""),480)</f>
        <v>480</v>
      </c>
      <c r="B841" s="5" t="str">
        <f ca="1">IFERROR(__xludf.DUMMYFUNCTION("""COMPUTED_VALUE"""),"Казанцев")</f>
        <v>Казанцев</v>
      </c>
      <c r="C841" s="5" t="str">
        <f ca="1">IFERROR(__xludf.DUMMYFUNCTION("""COMPUTED_VALUE"""),"Михаил")</f>
        <v>Михаил</v>
      </c>
      <c r="D841" s="5" t="str">
        <f ca="1">IFERROR(__xludf.DUMMYFUNCTION("""COMPUTED_VALUE"""),"Максимович")</f>
        <v>Максимович</v>
      </c>
      <c r="E841" s="5" t="str">
        <f ca="1">IFERROR(__xludf.DUMMYFUNCTION("""COMPUTED_VALUE"""),"Команда №4135")</f>
        <v>Команда №4135</v>
      </c>
      <c r="F841" s="6" t="str">
        <f ca="1">IFERROR(__xludf.DUMMYFUNCTION("""COMPUTED_VALUE"""),"Создание веб-сервиса, показывающего оптимальную траекторию (или пакет траекторий) по заданному графу знаний и целевым вершинам")</f>
        <v>Создание веб-сервиса, показывающего оптимальную траекторию (или пакет траекторий) по заданному графу знаний и целевым вершинам</v>
      </c>
      <c r="G841" s="7">
        <f ca="1">IFERROR(__xludf.DUMMYFUNCTION("""COMPUTED_VALUE"""),0)</f>
        <v>0</v>
      </c>
    </row>
    <row r="842" spans="1:7" ht="52.8" x14ac:dyDescent="0.25">
      <c r="A842" s="5">
        <f ca="1">IFERROR(__xludf.DUMMYFUNCTION("""COMPUTED_VALUE"""),753)</f>
        <v>753</v>
      </c>
      <c r="B842" s="5" t="str">
        <f ca="1">IFERROR(__xludf.DUMMYFUNCTION("""COMPUTED_VALUE"""),"Мельников")</f>
        <v>Мельников</v>
      </c>
      <c r="C842" s="5" t="str">
        <f ca="1">IFERROR(__xludf.DUMMYFUNCTION("""COMPUTED_VALUE"""),"Данил")</f>
        <v>Данил</v>
      </c>
      <c r="D842" s="5" t="str">
        <f ca="1">IFERROR(__xludf.DUMMYFUNCTION("""COMPUTED_VALUE"""),"Александрович")</f>
        <v>Александрович</v>
      </c>
      <c r="E842" s="5" t="str">
        <f ca="1">IFERROR(__xludf.DUMMYFUNCTION("""COMPUTED_VALUE"""),"Команда №4135")</f>
        <v>Команда №4135</v>
      </c>
      <c r="F842" s="6" t="str">
        <f ca="1">IFERROR(__xludf.DUMMYFUNCTION("""COMPUTED_VALUE"""),"Создание веб-сервиса, показывающего оптимальную траекторию (или пакет траекторий) по заданному графу знаний и целевым вершинам")</f>
        <v>Создание веб-сервиса, показывающего оптимальную траекторию (или пакет траекторий) по заданному графу знаний и целевым вершинам</v>
      </c>
      <c r="G842" s="7">
        <f ca="1">IFERROR(__xludf.DUMMYFUNCTION("""COMPUTED_VALUE"""),0)</f>
        <v>0</v>
      </c>
    </row>
    <row r="843" spans="1:7" ht="52.8" x14ac:dyDescent="0.25">
      <c r="A843" s="5">
        <f ca="1">IFERROR(__xludf.DUMMYFUNCTION("""COMPUTED_VALUE"""),807)</f>
        <v>807</v>
      </c>
      <c r="B843" s="5" t="str">
        <f ca="1">IFERROR(__xludf.DUMMYFUNCTION("""COMPUTED_VALUE"""),"Мызгин")</f>
        <v>Мызгин</v>
      </c>
      <c r="C843" s="5" t="str">
        <f ca="1">IFERROR(__xludf.DUMMYFUNCTION("""COMPUTED_VALUE"""),"Игорь")</f>
        <v>Игорь</v>
      </c>
      <c r="D843" s="5" t="str">
        <f ca="1">IFERROR(__xludf.DUMMYFUNCTION("""COMPUTED_VALUE"""),"Олегович")</f>
        <v>Олегович</v>
      </c>
      <c r="E843" s="5" t="str">
        <f ca="1">IFERROR(__xludf.DUMMYFUNCTION("""COMPUTED_VALUE"""),"Команда №4135")</f>
        <v>Команда №4135</v>
      </c>
      <c r="F843" s="6" t="str">
        <f ca="1">IFERROR(__xludf.DUMMYFUNCTION("""COMPUTED_VALUE"""),"Создание веб-сервиса, показывающего оптимальную траекторию (или пакет траекторий) по заданному графу знаний и целевым вершинам")</f>
        <v>Создание веб-сервиса, показывающего оптимальную траекторию (или пакет траекторий) по заданному графу знаний и целевым вершинам</v>
      </c>
      <c r="G843" s="7">
        <f ca="1">IFERROR(__xludf.DUMMYFUNCTION("""COMPUTED_VALUE"""),0)</f>
        <v>0</v>
      </c>
    </row>
    <row r="844" spans="1:7" ht="26.4" x14ac:dyDescent="0.25">
      <c r="A844" s="5">
        <f ca="1">IFERROR(__xludf.DUMMYFUNCTION("""COMPUTED_VALUE"""),352)</f>
        <v>352</v>
      </c>
      <c r="B844" s="5" t="str">
        <f ca="1">IFERROR(__xludf.DUMMYFUNCTION("""COMPUTED_VALUE"""),"Дыдалин")</f>
        <v>Дыдалин</v>
      </c>
      <c r="C844" s="5" t="str">
        <f ca="1">IFERROR(__xludf.DUMMYFUNCTION("""COMPUTED_VALUE"""),"Алексей")</f>
        <v>Алексей</v>
      </c>
      <c r="D844" s="5" t="str">
        <f ca="1">IFERROR(__xludf.DUMMYFUNCTION("""COMPUTED_VALUE"""),"Ярославович")</f>
        <v>Ярославович</v>
      </c>
      <c r="E844" s="5" t="str">
        <f ca="1">IFERROR(__xludf.DUMMYFUNCTION("""COMPUTED_VALUE"""),"Команда №4138")</f>
        <v>Команда №4138</v>
      </c>
      <c r="F844" s="6" t="str">
        <f ca="1">IFERROR(__xludf.DUMMYFUNCTION("""COMPUTED_VALUE"""),"Автосервис. Разработка дизайна и UI мобильной игры на unity")</f>
        <v>Автосервис. Разработка дизайна и UI мобильной игры на unity</v>
      </c>
      <c r="G844" s="7">
        <f ca="1">IFERROR(__xludf.DUMMYFUNCTION("""COMPUTED_VALUE"""),100)</f>
        <v>100</v>
      </c>
    </row>
    <row r="845" spans="1:7" ht="26.4" x14ac:dyDescent="0.25">
      <c r="A845" s="5">
        <f ca="1">IFERROR(__xludf.DUMMYFUNCTION("""COMPUTED_VALUE"""),729)</f>
        <v>729</v>
      </c>
      <c r="B845" s="5" t="str">
        <f ca="1">IFERROR(__xludf.DUMMYFUNCTION("""COMPUTED_VALUE"""),"Мартынов")</f>
        <v>Мартынов</v>
      </c>
      <c r="C845" s="5" t="str">
        <f ca="1">IFERROR(__xludf.DUMMYFUNCTION("""COMPUTED_VALUE"""),"Дмитрий")</f>
        <v>Дмитрий</v>
      </c>
      <c r="D845" s="5" t="str">
        <f ca="1">IFERROR(__xludf.DUMMYFUNCTION("""COMPUTED_VALUE"""),"Александрович")</f>
        <v>Александрович</v>
      </c>
      <c r="E845" s="5" t="str">
        <f ca="1">IFERROR(__xludf.DUMMYFUNCTION("""COMPUTED_VALUE"""),"Команда №4138")</f>
        <v>Команда №4138</v>
      </c>
      <c r="F845" s="6" t="str">
        <f ca="1">IFERROR(__xludf.DUMMYFUNCTION("""COMPUTED_VALUE"""),"Автосервис. Разработка дизайна и UI мобильной игры на unity")</f>
        <v>Автосервис. Разработка дизайна и UI мобильной игры на unity</v>
      </c>
      <c r="G845" s="7">
        <f ca="1">IFERROR(__xludf.DUMMYFUNCTION("""COMPUTED_VALUE"""),100)</f>
        <v>100</v>
      </c>
    </row>
    <row r="846" spans="1:7" ht="26.4" x14ac:dyDescent="0.25">
      <c r="A846" s="5">
        <f ca="1">IFERROR(__xludf.DUMMYFUNCTION("""COMPUTED_VALUE"""),945)</f>
        <v>945</v>
      </c>
      <c r="B846" s="5" t="str">
        <f ca="1">IFERROR(__xludf.DUMMYFUNCTION("""COMPUTED_VALUE"""),"Пономарев")</f>
        <v>Пономарев</v>
      </c>
      <c r="C846" s="5" t="str">
        <f ca="1">IFERROR(__xludf.DUMMYFUNCTION("""COMPUTED_VALUE"""),"Семён")</f>
        <v>Семён</v>
      </c>
      <c r="D846" s="5" t="str">
        <f ca="1">IFERROR(__xludf.DUMMYFUNCTION("""COMPUTED_VALUE"""),"Алексеевич")</f>
        <v>Алексеевич</v>
      </c>
      <c r="E846" s="5" t="str">
        <f ca="1">IFERROR(__xludf.DUMMYFUNCTION("""COMPUTED_VALUE"""),"Команда №4138")</f>
        <v>Команда №4138</v>
      </c>
      <c r="F846" s="6" t="str">
        <f ca="1">IFERROR(__xludf.DUMMYFUNCTION("""COMPUTED_VALUE"""),"Автосервис. Разработка дизайна и UI мобильной игры на unity")</f>
        <v>Автосервис. Разработка дизайна и UI мобильной игры на unity</v>
      </c>
      <c r="G846" s="7">
        <f ca="1">IFERROR(__xludf.DUMMYFUNCTION("""COMPUTED_VALUE"""),100)</f>
        <v>100</v>
      </c>
    </row>
    <row r="847" spans="1:7" ht="26.4" x14ac:dyDescent="0.25">
      <c r="A847" s="5">
        <f ca="1">IFERROR(__xludf.DUMMYFUNCTION("""COMPUTED_VALUE"""),1285)</f>
        <v>1285</v>
      </c>
      <c r="B847" s="5" t="str">
        <f ca="1">IFERROR(__xludf.DUMMYFUNCTION("""COMPUTED_VALUE"""),"Чернышева")</f>
        <v>Чернышева</v>
      </c>
      <c r="C847" s="5" t="str">
        <f ca="1">IFERROR(__xludf.DUMMYFUNCTION("""COMPUTED_VALUE"""),"Виктория")</f>
        <v>Виктория</v>
      </c>
      <c r="D847" s="5" t="str">
        <f ca="1">IFERROR(__xludf.DUMMYFUNCTION("""COMPUTED_VALUE"""),"Дмитриевна")</f>
        <v>Дмитриевна</v>
      </c>
      <c r="E847" s="5" t="str">
        <f ca="1">IFERROR(__xludf.DUMMYFUNCTION("""COMPUTED_VALUE"""),"Команда №4138")</f>
        <v>Команда №4138</v>
      </c>
      <c r="F847" s="6" t="str">
        <f ca="1">IFERROR(__xludf.DUMMYFUNCTION("""COMPUTED_VALUE"""),"Автосервис. Разработка дизайна и UI мобильной игры на unity")</f>
        <v>Автосервис. Разработка дизайна и UI мобильной игры на unity</v>
      </c>
      <c r="G847" s="7">
        <f ca="1">IFERROR(__xludf.DUMMYFUNCTION("""COMPUTED_VALUE"""),100)</f>
        <v>100</v>
      </c>
    </row>
    <row r="848" spans="1:7" ht="26.4" x14ac:dyDescent="0.25">
      <c r="A848" s="5">
        <f ca="1">IFERROR(__xludf.DUMMYFUNCTION("""COMPUTED_VALUE"""),1366)</f>
        <v>1366</v>
      </c>
      <c r="B848" s="5" t="str">
        <f ca="1">IFERROR(__xludf.DUMMYFUNCTION("""COMPUTED_VALUE"""),"Юртаев")</f>
        <v>Юртаев</v>
      </c>
      <c r="C848" s="5" t="str">
        <f ca="1">IFERROR(__xludf.DUMMYFUNCTION("""COMPUTED_VALUE"""),"Дмитрий")</f>
        <v>Дмитрий</v>
      </c>
      <c r="D848" s="5" t="str">
        <f ca="1">IFERROR(__xludf.DUMMYFUNCTION("""COMPUTED_VALUE"""),"Николаевич")</f>
        <v>Николаевич</v>
      </c>
      <c r="E848" s="5" t="str">
        <f ca="1">IFERROR(__xludf.DUMMYFUNCTION("""COMPUTED_VALUE"""),"Команда №4138")</f>
        <v>Команда №4138</v>
      </c>
      <c r="F848" s="6" t="str">
        <f ca="1">IFERROR(__xludf.DUMMYFUNCTION("""COMPUTED_VALUE"""),"Автосервис. Разработка дизайна и UI мобильной игры на unity")</f>
        <v>Автосервис. Разработка дизайна и UI мобильной игры на unity</v>
      </c>
      <c r="G848" s="7">
        <f ca="1">IFERROR(__xludf.DUMMYFUNCTION("""COMPUTED_VALUE"""),100)</f>
        <v>100</v>
      </c>
    </row>
    <row r="849" spans="1:7" ht="13.2" x14ac:dyDescent="0.25">
      <c r="A849" s="5">
        <f ca="1">IFERROR(__xludf.DUMMYFUNCTION("""COMPUTED_VALUE"""),312)</f>
        <v>312</v>
      </c>
      <c r="B849" s="5" t="str">
        <f ca="1">IFERROR(__xludf.DUMMYFUNCTION("""COMPUTED_VALUE"""),"Демина")</f>
        <v>Демина</v>
      </c>
      <c r="C849" s="5" t="str">
        <f ca="1">IFERROR(__xludf.DUMMYFUNCTION("""COMPUTED_VALUE"""),"Анастасия")</f>
        <v>Анастасия</v>
      </c>
      <c r="D849" s="5" t="str">
        <f ca="1">IFERROR(__xludf.DUMMYFUNCTION("""COMPUTED_VALUE"""),"Викторовна")</f>
        <v>Викторовна</v>
      </c>
      <c r="E849" s="5" t="str">
        <f ca="1">IFERROR(__xludf.DUMMYFUNCTION("""COMPUTED_VALUE"""),"Команда №4148")</f>
        <v>Команда №4148</v>
      </c>
      <c r="F849" s="6" t="str">
        <f ca="1">IFERROR(__xludf.DUMMYFUNCTION("""COMPUTED_VALUE"""),"Разработка цифрового города")</f>
        <v>Разработка цифрового города</v>
      </c>
      <c r="G849" s="7">
        <f ca="1">IFERROR(__xludf.DUMMYFUNCTION("""COMPUTED_VALUE"""),80)</f>
        <v>80</v>
      </c>
    </row>
    <row r="850" spans="1:7" ht="13.2" x14ac:dyDescent="0.25">
      <c r="A850" s="5">
        <f ca="1">IFERROR(__xludf.DUMMYFUNCTION("""COMPUTED_VALUE"""),603)</f>
        <v>603</v>
      </c>
      <c r="B850" s="5" t="str">
        <f ca="1">IFERROR(__xludf.DUMMYFUNCTION("""COMPUTED_VALUE"""),"Кошеленко")</f>
        <v>Кошеленко</v>
      </c>
      <c r="C850" s="5" t="str">
        <f ca="1">IFERROR(__xludf.DUMMYFUNCTION("""COMPUTED_VALUE"""),"Иван")</f>
        <v>Иван</v>
      </c>
      <c r="D850" s="5" t="str">
        <f ca="1">IFERROR(__xludf.DUMMYFUNCTION("""COMPUTED_VALUE"""),"Денисович")</f>
        <v>Денисович</v>
      </c>
      <c r="E850" s="5" t="str">
        <f ca="1">IFERROR(__xludf.DUMMYFUNCTION("""COMPUTED_VALUE"""),"Команда №4148")</f>
        <v>Команда №4148</v>
      </c>
      <c r="F850" s="6" t="str">
        <f ca="1">IFERROR(__xludf.DUMMYFUNCTION("""COMPUTED_VALUE"""),"Разработка цифрового города")</f>
        <v>Разработка цифрового города</v>
      </c>
      <c r="G850" s="7">
        <f ca="1">IFERROR(__xludf.DUMMYFUNCTION("""COMPUTED_VALUE"""),80)</f>
        <v>80</v>
      </c>
    </row>
    <row r="851" spans="1:7" ht="13.2" x14ac:dyDescent="0.25">
      <c r="A851" s="5">
        <f ca="1">IFERROR(__xludf.DUMMYFUNCTION("""COMPUTED_VALUE"""),1143)</f>
        <v>1143</v>
      </c>
      <c r="B851" s="5" t="str">
        <f ca="1">IFERROR(__xludf.DUMMYFUNCTION("""COMPUTED_VALUE"""),"Тарасов")</f>
        <v>Тарасов</v>
      </c>
      <c r="C851" s="5" t="str">
        <f ca="1">IFERROR(__xludf.DUMMYFUNCTION("""COMPUTED_VALUE"""),"Лев")</f>
        <v>Лев</v>
      </c>
      <c r="D851" s="5" t="str">
        <f ca="1">IFERROR(__xludf.DUMMYFUNCTION("""COMPUTED_VALUE"""),"Владиславович")</f>
        <v>Владиславович</v>
      </c>
      <c r="E851" s="5" t="str">
        <f ca="1">IFERROR(__xludf.DUMMYFUNCTION("""COMPUTED_VALUE"""),"Команда №4148")</f>
        <v>Команда №4148</v>
      </c>
      <c r="F851" s="6" t="str">
        <f ca="1">IFERROR(__xludf.DUMMYFUNCTION("""COMPUTED_VALUE"""),"Разработка цифрового города")</f>
        <v>Разработка цифрового города</v>
      </c>
      <c r="G851" s="7">
        <f ca="1">IFERROR(__xludf.DUMMYFUNCTION("""COMPUTED_VALUE"""),80)</f>
        <v>80</v>
      </c>
    </row>
    <row r="852" spans="1:7" ht="13.2" x14ac:dyDescent="0.25">
      <c r="A852" s="5">
        <f ca="1">IFERROR(__xludf.DUMMYFUNCTION("""COMPUTED_VALUE"""),1160)</f>
        <v>1160</v>
      </c>
      <c r="B852" s="5" t="str">
        <f ca="1">IFERROR(__xludf.DUMMYFUNCTION("""COMPUTED_VALUE"""),"Токарев")</f>
        <v>Токарев</v>
      </c>
      <c r="C852" s="5" t="str">
        <f ca="1">IFERROR(__xludf.DUMMYFUNCTION("""COMPUTED_VALUE"""),"Алексей")</f>
        <v>Алексей</v>
      </c>
      <c r="D852" s="5" t="str">
        <f ca="1">IFERROR(__xludf.DUMMYFUNCTION("""COMPUTED_VALUE"""),"Владиславович")</f>
        <v>Владиславович</v>
      </c>
      <c r="E852" s="5" t="str">
        <f ca="1">IFERROR(__xludf.DUMMYFUNCTION("""COMPUTED_VALUE"""),"Команда №4148")</f>
        <v>Команда №4148</v>
      </c>
      <c r="F852" s="6" t="str">
        <f ca="1">IFERROR(__xludf.DUMMYFUNCTION("""COMPUTED_VALUE"""),"Разработка цифрового города")</f>
        <v>Разработка цифрового города</v>
      </c>
      <c r="G852" s="7">
        <f ca="1">IFERROR(__xludf.DUMMYFUNCTION("""COMPUTED_VALUE"""),80)</f>
        <v>80</v>
      </c>
    </row>
    <row r="853" spans="1:7" ht="13.2" x14ac:dyDescent="0.25">
      <c r="A853" s="5">
        <f ca="1">IFERROR(__xludf.DUMMYFUNCTION("""COMPUTED_VALUE"""),1199)</f>
        <v>1199</v>
      </c>
      <c r="B853" s="5" t="str">
        <f ca="1">IFERROR(__xludf.DUMMYFUNCTION("""COMPUTED_VALUE"""),"Устинов")</f>
        <v>Устинов</v>
      </c>
      <c r="C853" s="5" t="str">
        <f ca="1">IFERROR(__xludf.DUMMYFUNCTION("""COMPUTED_VALUE"""),"Никита")</f>
        <v>Никита</v>
      </c>
      <c r="D853" s="5" t="str">
        <f ca="1">IFERROR(__xludf.DUMMYFUNCTION("""COMPUTED_VALUE"""),"Валерьевич")</f>
        <v>Валерьевич</v>
      </c>
      <c r="E853" s="5" t="str">
        <f ca="1">IFERROR(__xludf.DUMMYFUNCTION("""COMPUTED_VALUE"""),"Команда №4148")</f>
        <v>Команда №4148</v>
      </c>
      <c r="F853" s="6" t="str">
        <f ca="1">IFERROR(__xludf.DUMMYFUNCTION("""COMPUTED_VALUE"""),"Разработка цифрового города")</f>
        <v>Разработка цифрового города</v>
      </c>
      <c r="G853" s="7">
        <f ca="1">IFERROR(__xludf.DUMMYFUNCTION("""COMPUTED_VALUE"""),80)</f>
        <v>80</v>
      </c>
    </row>
    <row r="854" spans="1:7" ht="26.4" x14ac:dyDescent="0.25">
      <c r="A854" s="5">
        <f ca="1">IFERROR(__xludf.DUMMYFUNCTION("""COMPUTED_VALUE"""),136)</f>
        <v>136</v>
      </c>
      <c r="B854" s="5" t="str">
        <f ca="1">IFERROR(__xludf.DUMMYFUNCTION("""COMPUTED_VALUE"""),"Бодров")</f>
        <v>Бодров</v>
      </c>
      <c r="C854" s="5" t="str">
        <f ca="1">IFERROR(__xludf.DUMMYFUNCTION("""COMPUTED_VALUE"""),"Матвей")</f>
        <v>Матвей</v>
      </c>
      <c r="D854" s="5" t="str">
        <f ca="1">IFERROR(__xludf.DUMMYFUNCTION("""COMPUTED_VALUE"""),"Алексеевич")</f>
        <v>Алексеевич</v>
      </c>
      <c r="E854" s="5" t="str">
        <f ca="1">IFERROR(__xludf.DUMMYFUNCTION("""COMPUTED_VALUE"""),"Команда №4167")</f>
        <v>Команда №4167</v>
      </c>
      <c r="F854" s="6" t="str">
        <f ca="1">IFERROR(__xludf.DUMMYFUNCTION("""COMPUTED_VALUE"""),"Создание игрового ПО для ПК в жанре стратегия реального времени.")</f>
        <v>Создание игрового ПО для ПК в жанре стратегия реального времени.</v>
      </c>
      <c r="G854" s="7">
        <f ca="1">IFERROR(__xludf.DUMMYFUNCTION("""COMPUTED_VALUE"""),85)</f>
        <v>85</v>
      </c>
    </row>
    <row r="855" spans="1:7" ht="26.4" x14ac:dyDescent="0.25">
      <c r="A855" s="5">
        <f ca="1">IFERROR(__xludf.DUMMYFUNCTION("""COMPUTED_VALUE"""),660)</f>
        <v>660</v>
      </c>
      <c r="B855" s="5" t="str">
        <f ca="1">IFERROR(__xludf.DUMMYFUNCTION("""COMPUTED_VALUE"""),"Лаптев")</f>
        <v>Лаптев</v>
      </c>
      <c r="C855" s="5" t="str">
        <f ca="1">IFERROR(__xludf.DUMMYFUNCTION("""COMPUTED_VALUE"""),"Вадим")</f>
        <v>Вадим</v>
      </c>
      <c r="D855" s="5" t="str">
        <f ca="1">IFERROR(__xludf.DUMMYFUNCTION("""COMPUTED_VALUE"""),"Сергеевич")</f>
        <v>Сергеевич</v>
      </c>
      <c r="E855" s="5" t="str">
        <f ca="1">IFERROR(__xludf.DUMMYFUNCTION("""COMPUTED_VALUE"""),"Команда №4167")</f>
        <v>Команда №4167</v>
      </c>
      <c r="F855" s="6" t="str">
        <f ca="1">IFERROR(__xludf.DUMMYFUNCTION("""COMPUTED_VALUE"""),"Создание игрового ПО для ПК в жанре стратегия реального времени.")</f>
        <v>Создание игрового ПО для ПК в жанре стратегия реального времени.</v>
      </c>
      <c r="G855" s="7">
        <f ca="1">IFERROR(__xludf.DUMMYFUNCTION("""COMPUTED_VALUE"""),85)</f>
        <v>85</v>
      </c>
    </row>
    <row r="856" spans="1:7" ht="26.4" x14ac:dyDescent="0.25">
      <c r="A856" s="5">
        <f ca="1">IFERROR(__xludf.DUMMYFUNCTION("""COMPUTED_VALUE"""),784)</f>
        <v>784</v>
      </c>
      <c r="B856" s="5" t="str">
        <f ca="1">IFERROR(__xludf.DUMMYFUNCTION("""COMPUTED_VALUE"""),"Морозов")</f>
        <v>Морозов</v>
      </c>
      <c r="C856" s="5" t="str">
        <f ca="1">IFERROR(__xludf.DUMMYFUNCTION("""COMPUTED_VALUE"""),"Артём")</f>
        <v>Артём</v>
      </c>
      <c r="D856" s="5" t="str">
        <f ca="1">IFERROR(__xludf.DUMMYFUNCTION("""COMPUTED_VALUE"""),"Кайратович")</f>
        <v>Кайратович</v>
      </c>
      <c r="E856" s="5" t="str">
        <f ca="1">IFERROR(__xludf.DUMMYFUNCTION("""COMPUTED_VALUE"""),"Команда №4167")</f>
        <v>Команда №4167</v>
      </c>
      <c r="F856" s="6" t="str">
        <f ca="1">IFERROR(__xludf.DUMMYFUNCTION("""COMPUTED_VALUE"""),"Создание игрового ПО для ПК в жанре стратегия реального времени.")</f>
        <v>Создание игрового ПО для ПК в жанре стратегия реального времени.</v>
      </c>
      <c r="G856" s="7">
        <f ca="1">IFERROR(__xludf.DUMMYFUNCTION("""COMPUTED_VALUE"""),85)</f>
        <v>85</v>
      </c>
    </row>
    <row r="857" spans="1:7" ht="26.4" x14ac:dyDescent="0.25">
      <c r="A857" s="5">
        <f ca="1">IFERROR(__xludf.DUMMYFUNCTION("""COMPUTED_VALUE"""),1174)</f>
        <v>1174</v>
      </c>
      <c r="B857" s="5" t="str">
        <f ca="1">IFERROR(__xludf.DUMMYFUNCTION("""COMPUTED_VALUE"""),"Трифонов")</f>
        <v>Трифонов</v>
      </c>
      <c r="C857" s="5" t="str">
        <f ca="1">IFERROR(__xludf.DUMMYFUNCTION("""COMPUTED_VALUE"""),"Виктор")</f>
        <v>Виктор</v>
      </c>
      <c r="D857" s="5" t="str">
        <f ca="1">IFERROR(__xludf.DUMMYFUNCTION("""COMPUTED_VALUE"""),"Владимирович")</f>
        <v>Владимирович</v>
      </c>
      <c r="E857" s="5" t="str">
        <f ca="1">IFERROR(__xludf.DUMMYFUNCTION("""COMPUTED_VALUE"""),"Команда №4167")</f>
        <v>Команда №4167</v>
      </c>
      <c r="F857" s="6" t="str">
        <f ca="1">IFERROR(__xludf.DUMMYFUNCTION("""COMPUTED_VALUE"""),"Создание игрового ПО для ПК в жанре стратегия реального времени.")</f>
        <v>Создание игрового ПО для ПК в жанре стратегия реального времени.</v>
      </c>
      <c r="G857" s="7">
        <f ca="1">IFERROR(__xludf.DUMMYFUNCTION("""COMPUTED_VALUE"""),85)</f>
        <v>85</v>
      </c>
    </row>
    <row r="858" spans="1:7" ht="26.4" x14ac:dyDescent="0.25">
      <c r="A858" s="5">
        <f ca="1">IFERROR(__xludf.DUMMYFUNCTION("""COMPUTED_VALUE"""),1307)</f>
        <v>1307</v>
      </c>
      <c r="B858" s="5" t="str">
        <f ca="1">IFERROR(__xludf.DUMMYFUNCTION("""COMPUTED_VALUE"""),"Шамшиев")</f>
        <v>Шамшиев</v>
      </c>
      <c r="C858" s="5" t="str">
        <f ca="1">IFERROR(__xludf.DUMMYFUNCTION("""COMPUTED_VALUE"""),"Эрланбек")</f>
        <v>Эрланбек</v>
      </c>
      <c r="D858" s="5" t="str">
        <f ca="1">IFERROR(__xludf.DUMMYFUNCTION("""COMPUTED_VALUE"""),"Батырбекович")</f>
        <v>Батырбекович</v>
      </c>
      <c r="E858" s="5" t="str">
        <f ca="1">IFERROR(__xludf.DUMMYFUNCTION("""COMPUTED_VALUE"""),"Команда №4167")</f>
        <v>Команда №4167</v>
      </c>
      <c r="F858" s="6" t="str">
        <f ca="1">IFERROR(__xludf.DUMMYFUNCTION("""COMPUTED_VALUE"""),"Создание игрового ПО для ПК в жанре стратегия реального времени.")</f>
        <v>Создание игрового ПО для ПК в жанре стратегия реального времени.</v>
      </c>
      <c r="G858" s="7">
        <f ca="1">IFERROR(__xludf.DUMMYFUNCTION("""COMPUTED_VALUE"""),85)</f>
        <v>85</v>
      </c>
    </row>
    <row r="859" spans="1:7" ht="39.6" x14ac:dyDescent="0.25">
      <c r="A859" s="5">
        <f ca="1">IFERROR(__xludf.DUMMYFUNCTION("""COMPUTED_VALUE"""),130)</f>
        <v>130</v>
      </c>
      <c r="B859" s="5" t="str">
        <f ca="1">IFERROR(__xludf.DUMMYFUNCTION("""COMPUTED_VALUE"""),"Блинков")</f>
        <v>Блинков</v>
      </c>
      <c r="C859" s="5" t="str">
        <f ca="1">IFERROR(__xludf.DUMMYFUNCTION("""COMPUTED_VALUE"""),"Максим")</f>
        <v>Максим</v>
      </c>
      <c r="D859" s="5" t="str">
        <f ca="1">IFERROR(__xludf.DUMMYFUNCTION("""COMPUTED_VALUE"""),"Витальевич")</f>
        <v>Витальевич</v>
      </c>
      <c r="E859" s="5" t="str">
        <f ca="1">IFERROR(__xludf.DUMMYFUNCTION("""COMPUTED_VALUE"""),"Команда №4168")</f>
        <v>Команда №4168</v>
      </c>
      <c r="F859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859" s="7">
        <f ca="1">IFERROR(__xludf.DUMMYFUNCTION("""COMPUTED_VALUE"""),78)</f>
        <v>78</v>
      </c>
    </row>
    <row r="860" spans="1:7" ht="39.6" x14ac:dyDescent="0.25">
      <c r="A860" s="5">
        <f ca="1">IFERROR(__xludf.DUMMYFUNCTION("""COMPUTED_VALUE"""),413)</f>
        <v>413</v>
      </c>
      <c r="B860" s="5" t="str">
        <f ca="1">IFERROR(__xludf.DUMMYFUNCTION("""COMPUTED_VALUE"""),"Зайцев")</f>
        <v>Зайцев</v>
      </c>
      <c r="C860" s="5" t="str">
        <f ca="1">IFERROR(__xludf.DUMMYFUNCTION("""COMPUTED_VALUE"""),"Антон")</f>
        <v>Антон</v>
      </c>
      <c r="D860" s="5" t="str">
        <f ca="1">IFERROR(__xludf.DUMMYFUNCTION("""COMPUTED_VALUE"""),"Алексеевич")</f>
        <v>Алексеевич</v>
      </c>
      <c r="E860" s="5" t="str">
        <f ca="1">IFERROR(__xludf.DUMMYFUNCTION("""COMPUTED_VALUE"""),"Команда №4168")</f>
        <v>Команда №4168</v>
      </c>
      <c r="F860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860" s="7">
        <f ca="1">IFERROR(__xludf.DUMMYFUNCTION("""COMPUTED_VALUE"""),78)</f>
        <v>78</v>
      </c>
    </row>
    <row r="861" spans="1:7" ht="39.6" x14ac:dyDescent="0.25">
      <c r="A861" s="5">
        <f ca="1">IFERROR(__xludf.DUMMYFUNCTION("""COMPUTED_VALUE"""),598)</f>
        <v>598</v>
      </c>
      <c r="B861" s="5" t="str">
        <f ca="1">IFERROR(__xludf.DUMMYFUNCTION("""COMPUTED_VALUE"""),"Котяшев")</f>
        <v>Котяшев</v>
      </c>
      <c r="C861" s="5" t="str">
        <f ca="1">IFERROR(__xludf.DUMMYFUNCTION("""COMPUTED_VALUE"""),"Артур")</f>
        <v>Артур</v>
      </c>
      <c r="D861" s="5" t="str">
        <f ca="1">IFERROR(__xludf.DUMMYFUNCTION("""COMPUTED_VALUE"""),"Александрович")</f>
        <v>Александрович</v>
      </c>
      <c r="E861" s="5" t="str">
        <f ca="1">IFERROR(__xludf.DUMMYFUNCTION("""COMPUTED_VALUE"""),"Команда №4168")</f>
        <v>Команда №4168</v>
      </c>
      <c r="F861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861" s="7">
        <f ca="1">IFERROR(__xludf.DUMMYFUNCTION("""COMPUTED_VALUE"""),78)</f>
        <v>78</v>
      </c>
    </row>
    <row r="862" spans="1:7" ht="39.6" x14ac:dyDescent="0.25">
      <c r="A862" s="5">
        <f ca="1">IFERROR(__xludf.DUMMYFUNCTION("""COMPUTED_VALUE"""),833)</f>
        <v>833</v>
      </c>
      <c r="B862" s="5" t="str">
        <f ca="1">IFERROR(__xludf.DUMMYFUNCTION("""COMPUTED_VALUE"""),"Несмиянов")</f>
        <v>Несмиянов</v>
      </c>
      <c r="C862" s="5" t="str">
        <f ca="1">IFERROR(__xludf.DUMMYFUNCTION("""COMPUTED_VALUE"""),"Матвей")</f>
        <v>Матвей</v>
      </c>
      <c r="D862" s="5" t="str">
        <f ca="1">IFERROR(__xludf.DUMMYFUNCTION("""COMPUTED_VALUE"""),"Андреевич")</f>
        <v>Андреевич</v>
      </c>
      <c r="E862" s="5" t="str">
        <f ca="1">IFERROR(__xludf.DUMMYFUNCTION("""COMPUTED_VALUE"""),"Команда №4168")</f>
        <v>Команда №4168</v>
      </c>
      <c r="F862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862" s="7">
        <f ca="1">IFERROR(__xludf.DUMMYFUNCTION("""COMPUTED_VALUE"""),78)</f>
        <v>78</v>
      </c>
    </row>
    <row r="863" spans="1:7" ht="39.6" x14ac:dyDescent="0.25">
      <c r="A863" s="5">
        <f ca="1">IFERROR(__xludf.DUMMYFUNCTION("""COMPUTED_VALUE"""),1356)</f>
        <v>1356</v>
      </c>
      <c r="B863" s="5" t="str">
        <f ca="1">IFERROR(__xludf.DUMMYFUNCTION("""COMPUTED_VALUE"""),"Щербачева")</f>
        <v>Щербачева</v>
      </c>
      <c r="C863" s="5" t="str">
        <f ca="1">IFERROR(__xludf.DUMMYFUNCTION("""COMPUTED_VALUE"""),"Анастасия")</f>
        <v>Анастасия</v>
      </c>
      <c r="D863" s="5" t="str">
        <f ca="1">IFERROR(__xludf.DUMMYFUNCTION("""COMPUTED_VALUE"""),"Александровна")</f>
        <v>Александровна</v>
      </c>
      <c r="E863" s="5" t="str">
        <f ca="1">IFERROR(__xludf.DUMMYFUNCTION("""COMPUTED_VALUE"""),"Команда №4168")</f>
        <v>Команда №4168</v>
      </c>
      <c r="F863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863" s="7">
        <f ca="1">IFERROR(__xludf.DUMMYFUNCTION("""COMPUTED_VALUE"""),78)</f>
        <v>78</v>
      </c>
    </row>
    <row r="864" spans="1:7" ht="26.4" x14ac:dyDescent="0.25">
      <c r="A864" s="5">
        <f ca="1">IFERROR(__xludf.DUMMYFUNCTION("""COMPUTED_VALUE"""),200)</f>
        <v>200</v>
      </c>
      <c r="B864" s="5" t="str">
        <f ca="1">IFERROR(__xludf.DUMMYFUNCTION("""COMPUTED_VALUE"""),"Винник")</f>
        <v>Винник</v>
      </c>
      <c r="C864" s="5" t="str">
        <f ca="1">IFERROR(__xludf.DUMMYFUNCTION("""COMPUTED_VALUE"""),"Константин")</f>
        <v>Константин</v>
      </c>
      <c r="D864" s="5" t="str">
        <f ca="1">IFERROR(__xludf.DUMMYFUNCTION("""COMPUTED_VALUE"""),"Алексеевич")</f>
        <v>Алексеевич</v>
      </c>
      <c r="E864" s="5" t="str">
        <f ca="1">IFERROR(__xludf.DUMMYFUNCTION("""COMPUTED_VALUE"""),"Команда №4238")</f>
        <v>Команда №4238</v>
      </c>
      <c r="F864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864" s="7">
        <f ca="1">IFERROR(__xludf.DUMMYFUNCTION("""COMPUTED_VALUE"""),85)</f>
        <v>85</v>
      </c>
    </row>
    <row r="865" spans="1:7" ht="26.4" x14ac:dyDescent="0.25">
      <c r="A865" s="5">
        <f ca="1">IFERROR(__xludf.DUMMYFUNCTION("""COMPUTED_VALUE"""),511)</f>
        <v>511</v>
      </c>
      <c r="B865" s="5" t="str">
        <f ca="1">IFERROR(__xludf.DUMMYFUNCTION("""COMPUTED_VALUE"""),"Киприянова")</f>
        <v>Киприянова</v>
      </c>
      <c r="C865" s="5" t="str">
        <f ca="1">IFERROR(__xludf.DUMMYFUNCTION("""COMPUTED_VALUE"""),"Полина")</f>
        <v>Полина</v>
      </c>
      <c r="D865" s="5" t="str">
        <f ca="1">IFERROR(__xludf.DUMMYFUNCTION("""COMPUTED_VALUE"""),"Олеговна")</f>
        <v>Олеговна</v>
      </c>
      <c r="E865" s="5" t="str">
        <f ca="1">IFERROR(__xludf.DUMMYFUNCTION("""COMPUTED_VALUE"""),"Команда №4238")</f>
        <v>Команда №4238</v>
      </c>
      <c r="F865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865" s="7">
        <f ca="1">IFERROR(__xludf.DUMMYFUNCTION("""COMPUTED_VALUE"""),85)</f>
        <v>85</v>
      </c>
    </row>
    <row r="866" spans="1:7" ht="26.4" x14ac:dyDescent="0.25">
      <c r="A866" s="5">
        <f ca="1">IFERROR(__xludf.DUMMYFUNCTION("""COMPUTED_VALUE"""),772)</f>
        <v>772</v>
      </c>
      <c r="B866" s="5" t="str">
        <f ca="1">IFERROR(__xludf.DUMMYFUNCTION("""COMPUTED_VALUE"""),"Михальченков")</f>
        <v>Михальченков</v>
      </c>
      <c r="C866" s="5" t="str">
        <f ca="1">IFERROR(__xludf.DUMMYFUNCTION("""COMPUTED_VALUE"""),"Андрей")</f>
        <v>Андрей</v>
      </c>
      <c r="D866" s="5" t="str">
        <f ca="1">IFERROR(__xludf.DUMMYFUNCTION("""COMPUTED_VALUE"""),"Павлович")</f>
        <v>Павлович</v>
      </c>
      <c r="E866" s="5" t="str">
        <f ca="1">IFERROR(__xludf.DUMMYFUNCTION("""COMPUTED_VALUE"""),"Команда №4238")</f>
        <v>Команда №4238</v>
      </c>
      <c r="F866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866" s="7">
        <f ca="1">IFERROR(__xludf.DUMMYFUNCTION("""COMPUTED_VALUE"""),85)</f>
        <v>85</v>
      </c>
    </row>
    <row r="867" spans="1:7" ht="26.4" x14ac:dyDescent="0.25">
      <c r="A867" s="5">
        <f ca="1">IFERROR(__xludf.DUMMYFUNCTION("""COMPUTED_VALUE"""),829)</f>
        <v>829</v>
      </c>
      <c r="B867" s="5" t="str">
        <f ca="1">IFERROR(__xludf.DUMMYFUNCTION("""COMPUTED_VALUE"""),"Ненилин")</f>
        <v>Ненилин</v>
      </c>
      <c r="C867" s="5" t="str">
        <f ca="1">IFERROR(__xludf.DUMMYFUNCTION("""COMPUTED_VALUE"""),"Владислав")</f>
        <v>Владислав</v>
      </c>
      <c r="D867" s="5" t="str">
        <f ca="1">IFERROR(__xludf.DUMMYFUNCTION("""COMPUTED_VALUE"""),"Олегович")</f>
        <v>Олегович</v>
      </c>
      <c r="E867" s="5" t="str">
        <f ca="1">IFERROR(__xludf.DUMMYFUNCTION("""COMPUTED_VALUE"""),"Команда №4238")</f>
        <v>Команда №4238</v>
      </c>
      <c r="F867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867" s="7">
        <f ca="1">IFERROR(__xludf.DUMMYFUNCTION("""COMPUTED_VALUE"""),85)</f>
        <v>85</v>
      </c>
    </row>
    <row r="868" spans="1:7" ht="26.4" x14ac:dyDescent="0.25">
      <c r="A868" s="5">
        <f ca="1">IFERROR(__xludf.DUMMYFUNCTION("""COMPUTED_VALUE"""),1305)</f>
        <v>1305</v>
      </c>
      <c r="B868" s="5" t="str">
        <f ca="1">IFERROR(__xludf.DUMMYFUNCTION("""COMPUTED_VALUE"""),"Шалканов")</f>
        <v>Шалканов</v>
      </c>
      <c r="C868" s="5" t="str">
        <f ca="1">IFERROR(__xludf.DUMMYFUNCTION("""COMPUTED_VALUE"""),"Илья")</f>
        <v>Илья</v>
      </c>
      <c r="D868" s="5" t="str">
        <f ca="1">IFERROR(__xludf.DUMMYFUNCTION("""COMPUTED_VALUE"""),"Алексеевич")</f>
        <v>Алексеевич</v>
      </c>
      <c r="E868" s="5" t="str">
        <f ca="1">IFERROR(__xludf.DUMMYFUNCTION("""COMPUTED_VALUE"""),"Команда №4238")</f>
        <v>Команда №4238</v>
      </c>
      <c r="F868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868" s="7">
        <f ca="1">IFERROR(__xludf.DUMMYFUNCTION("""COMPUTED_VALUE"""),85)</f>
        <v>85</v>
      </c>
    </row>
    <row r="869" spans="1:7" ht="26.4" x14ac:dyDescent="0.25">
      <c r="A869" s="5">
        <f ca="1">IFERROR(__xludf.DUMMYFUNCTION("""COMPUTED_VALUE"""),87)</f>
        <v>87</v>
      </c>
      <c r="B869" s="5" t="str">
        <f ca="1">IFERROR(__xludf.DUMMYFUNCTION("""COMPUTED_VALUE"""),"Балгишиев")</f>
        <v>Балгишиев</v>
      </c>
      <c r="C869" s="5" t="str">
        <f ca="1">IFERROR(__xludf.DUMMYFUNCTION("""COMPUTED_VALUE"""),"Батырхан")</f>
        <v>Батырхан</v>
      </c>
      <c r="D869" s="5" t="str">
        <f ca="1">IFERROR(__xludf.DUMMYFUNCTION("""COMPUTED_VALUE"""),"Балгишиевич")</f>
        <v>Балгишиевич</v>
      </c>
      <c r="E869" s="5" t="str">
        <f ca="1">IFERROR(__xludf.DUMMYFUNCTION("""COMPUTED_VALUE"""),"Команда №4250")</f>
        <v>Команда №4250</v>
      </c>
      <c r="F869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869" s="7">
        <f ca="1">IFERROR(__xludf.DUMMYFUNCTION("""COMPUTED_VALUE"""),40)</f>
        <v>40</v>
      </c>
    </row>
    <row r="870" spans="1:7" ht="26.4" x14ac:dyDescent="0.25">
      <c r="A870" s="5">
        <f ca="1">IFERROR(__xludf.DUMMYFUNCTION("""COMPUTED_VALUE"""),847)</f>
        <v>847</v>
      </c>
      <c r="B870" s="5" t="str">
        <f ca="1">IFERROR(__xludf.DUMMYFUNCTION("""COMPUTED_VALUE"""),"Никифоров")</f>
        <v>Никифоров</v>
      </c>
      <c r="C870" s="5" t="str">
        <f ca="1">IFERROR(__xludf.DUMMYFUNCTION("""COMPUTED_VALUE"""),"Егор")</f>
        <v>Егор</v>
      </c>
      <c r="D870" s="5" t="str">
        <f ca="1">IFERROR(__xludf.DUMMYFUNCTION("""COMPUTED_VALUE"""),"Андреевич")</f>
        <v>Андреевич</v>
      </c>
      <c r="E870" s="5" t="str">
        <f ca="1">IFERROR(__xludf.DUMMYFUNCTION("""COMPUTED_VALUE"""),"Команда №4250")</f>
        <v>Команда №4250</v>
      </c>
      <c r="F870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870" s="7">
        <f ca="1">IFERROR(__xludf.DUMMYFUNCTION("""COMPUTED_VALUE"""),40)</f>
        <v>40</v>
      </c>
    </row>
    <row r="871" spans="1:7" ht="26.4" x14ac:dyDescent="0.25">
      <c r="A871" s="5">
        <f ca="1">IFERROR(__xludf.DUMMYFUNCTION("""COMPUTED_VALUE"""),1290)</f>
        <v>1290</v>
      </c>
      <c r="B871" s="5" t="str">
        <f ca="1">IFERROR(__xludf.DUMMYFUNCTION("""COMPUTED_VALUE"""),"Чистопашин")</f>
        <v>Чистопашин</v>
      </c>
      <c r="C871" s="5" t="str">
        <f ca="1">IFERROR(__xludf.DUMMYFUNCTION("""COMPUTED_VALUE"""),"Герман")</f>
        <v>Герман</v>
      </c>
      <c r="D871" s="5" t="str">
        <f ca="1">IFERROR(__xludf.DUMMYFUNCTION("""COMPUTED_VALUE"""),"Михайлович")</f>
        <v>Михайлович</v>
      </c>
      <c r="E871" s="5" t="str">
        <f ca="1">IFERROR(__xludf.DUMMYFUNCTION("""COMPUTED_VALUE"""),"Команда №4250")</f>
        <v>Команда №4250</v>
      </c>
      <c r="F871" s="6" t="str">
        <f ca="1">IFERROR(__xludf.DUMMYFUNCTION("""COMPUTED_VALUE"""),"Разработка сервиса для автоматической отправки тестовых заданий практикантам.")</f>
        <v>Разработка сервиса для автоматической отправки тестовых заданий практикантам.</v>
      </c>
      <c r="G871" s="7">
        <f ca="1">IFERROR(__xludf.DUMMYFUNCTION("""COMPUTED_VALUE"""),40)</f>
        <v>40</v>
      </c>
    </row>
    <row r="872" spans="1:7" ht="26.4" x14ac:dyDescent="0.25">
      <c r="A872" s="5">
        <f ca="1">IFERROR(__xludf.DUMMYFUNCTION("""COMPUTED_VALUE"""),634)</f>
        <v>634</v>
      </c>
      <c r="B872" s="5" t="str">
        <f ca="1">IFERROR(__xludf.DUMMYFUNCTION("""COMPUTED_VALUE"""),"Куклин")</f>
        <v>Куклин</v>
      </c>
      <c r="C872" s="5" t="str">
        <f ca="1">IFERROR(__xludf.DUMMYFUNCTION("""COMPUTED_VALUE"""),"Александр")</f>
        <v>Александр</v>
      </c>
      <c r="D872" s="5" t="str">
        <f ca="1">IFERROR(__xludf.DUMMYFUNCTION("""COMPUTED_VALUE"""),"Сергеевич")</f>
        <v>Сергеевич</v>
      </c>
      <c r="E872" s="5" t="str">
        <f ca="1">IFERROR(__xludf.DUMMYFUNCTION("""COMPUTED_VALUE"""),"Команда №4255")</f>
        <v>Команда №4255</v>
      </c>
      <c r="F872" s="6" t="str">
        <f ca="1">IFERROR(__xludf.DUMMYFUNCTION("""COMPUTED_VALUE"""),"Автосервис. Разработка механики движения автомобилей для мобильной игры")</f>
        <v>Автосервис. Разработка механики движения автомобилей для мобильной игры</v>
      </c>
      <c r="G872" s="7">
        <f ca="1">IFERROR(__xludf.DUMMYFUNCTION("""COMPUTED_VALUE"""),0)</f>
        <v>0</v>
      </c>
    </row>
    <row r="873" spans="1:7" ht="26.4" x14ac:dyDescent="0.25">
      <c r="A873" s="5">
        <f ca="1">IFERROR(__xludf.DUMMYFUNCTION("""COMPUTED_VALUE"""),1245)</f>
        <v>1245</v>
      </c>
      <c r="B873" s="5" t="str">
        <f ca="1">IFERROR(__xludf.DUMMYFUNCTION("""COMPUTED_VALUE"""),"Хафез")</f>
        <v>Хафез</v>
      </c>
      <c r="C873" s="5" t="str">
        <f ca="1">IFERROR(__xludf.DUMMYFUNCTION("""COMPUTED_VALUE"""),"Ахмед")</f>
        <v>Ахмед</v>
      </c>
      <c r="D873" s="5" t="str">
        <f ca="1">IFERROR(__xludf.DUMMYFUNCTION("""COMPUTED_VALUE"""),"Кхалед")</f>
        <v>Кхалед</v>
      </c>
      <c r="E873" s="5" t="str">
        <f ca="1">IFERROR(__xludf.DUMMYFUNCTION("""COMPUTED_VALUE"""),"Команда №4255")</f>
        <v>Команда №4255</v>
      </c>
      <c r="F873" s="6" t="str">
        <f ca="1">IFERROR(__xludf.DUMMYFUNCTION("""COMPUTED_VALUE"""),"Автосервис. Разработка механики движения автомобилей для мобильной игры")</f>
        <v>Автосервис. Разработка механики движения автомобилей для мобильной игры</v>
      </c>
      <c r="G873" s="7">
        <f ca="1">IFERROR(__xludf.DUMMYFUNCTION("""COMPUTED_VALUE"""),0)</f>
        <v>0</v>
      </c>
    </row>
    <row r="874" spans="1:7" ht="26.4" x14ac:dyDescent="0.25">
      <c r="A874" s="5">
        <f ca="1">IFERROR(__xludf.DUMMYFUNCTION("""COMPUTED_VALUE"""),1272)</f>
        <v>1272</v>
      </c>
      <c r="B874" s="5" t="str">
        <f ca="1">IFERROR(__xludf.DUMMYFUNCTION("""COMPUTED_VALUE"""),"Чвиров")</f>
        <v>Чвиров</v>
      </c>
      <c r="C874" s="5" t="str">
        <f ca="1">IFERROR(__xludf.DUMMYFUNCTION("""COMPUTED_VALUE"""),"Игорь")</f>
        <v>Игорь</v>
      </c>
      <c r="D874" s="5" t="str">
        <f ca="1">IFERROR(__xludf.DUMMYFUNCTION("""COMPUTED_VALUE"""),"Евгеньевич")</f>
        <v>Евгеньевич</v>
      </c>
      <c r="E874" s="5" t="str">
        <f ca="1">IFERROR(__xludf.DUMMYFUNCTION("""COMPUTED_VALUE"""),"Команда №4255")</f>
        <v>Команда №4255</v>
      </c>
      <c r="F874" s="6" t="str">
        <f ca="1">IFERROR(__xludf.DUMMYFUNCTION("""COMPUTED_VALUE"""),"Автосервис. Разработка механики движения автомобилей для мобильной игры")</f>
        <v>Автосервис. Разработка механики движения автомобилей для мобильной игры</v>
      </c>
      <c r="G874" s="7">
        <f ca="1">IFERROR(__xludf.DUMMYFUNCTION("""COMPUTED_VALUE"""),0)</f>
        <v>0</v>
      </c>
    </row>
    <row r="875" spans="1:7" ht="13.2" x14ac:dyDescent="0.25">
      <c r="A875" s="5">
        <f ca="1">IFERROR(__xludf.DUMMYFUNCTION("""COMPUTED_VALUE"""),53)</f>
        <v>53</v>
      </c>
      <c r="B875" s="5" t="str">
        <f ca="1">IFERROR(__xludf.DUMMYFUNCTION("""COMPUTED_VALUE"""),"Аргамак")</f>
        <v>Аргамак</v>
      </c>
      <c r="C875" s="5" t="str">
        <f ca="1">IFERROR(__xludf.DUMMYFUNCTION("""COMPUTED_VALUE"""),"Дмитрий")</f>
        <v>Дмитрий</v>
      </c>
      <c r="D875" s="5" t="str">
        <f ca="1">IFERROR(__xludf.DUMMYFUNCTION("""COMPUTED_VALUE"""),"Игоревич")</f>
        <v>Игоревич</v>
      </c>
      <c r="E875" s="5" t="str">
        <f ca="1">IFERROR(__xludf.DUMMYFUNCTION("""COMPUTED_VALUE"""),"Команда №4256")</f>
        <v>Команда №4256</v>
      </c>
      <c r="F875" s="6" t="str">
        <f ca="1">IFERROR(__xludf.DUMMYFUNCTION("""COMPUTED_VALUE"""),"Система автоматизации ""Умный дом""")</f>
        <v>Система автоматизации "Умный дом"</v>
      </c>
      <c r="G875" s="7">
        <f ca="1">IFERROR(__xludf.DUMMYFUNCTION("""COMPUTED_VALUE"""),89)</f>
        <v>89</v>
      </c>
    </row>
    <row r="876" spans="1:7" ht="13.2" x14ac:dyDescent="0.25">
      <c r="A876" s="5">
        <f ca="1">IFERROR(__xludf.DUMMYFUNCTION("""COMPUTED_VALUE"""),182)</f>
        <v>182</v>
      </c>
      <c r="B876" s="5" t="str">
        <f ca="1">IFERROR(__xludf.DUMMYFUNCTION("""COMPUTED_VALUE"""),"Васкевич")</f>
        <v>Васкевич</v>
      </c>
      <c r="C876" s="5" t="str">
        <f ca="1">IFERROR(__xludf.DUMMYFUNCTION("""COMPUTED_VALUE"""),"Юрий")</f>
        <v>Юрий</v>
      </c>
      <c r="D876" s="5" t="str">
        <f ca="1">IFERROR(__xludf.DUMMYFUNCTION("""COMPUTED_VALUE"""),"Алексеевич")</f>
        <v>Алексеевич</v>
      </c>
      <c r="E876" s="5" t="str">
        <f ca="1">IFERROR(__xludf.DUMMYFUNCTION("""COMPUTED_VALUE"""),"Команда №4256")</f>
        <v>Команда №4256</v>
      </c>
      <c r="F876" s="6" t="str">
        <f ca="1">IFERROR(__xludf.DUMMYFUNCTION("""COMPUTED_VALUE"""),"Система автоматизации ""Умный дом""")</f>
        <v>Система автоматизации "Умный дом"</v>
      </c>
      <c r="G876" s="7">
        <f ca="1">IFERROR(__xludf.DUMMYFUNCTION("""COMPUTED_VALUE"""),89)</f>
        <v>89</v>
      </c>
    </row>
    <row r="877" spans="1:7" ht="13.2" x14ac:dyDescent="0.25">
      <c r="A877" s="5">
        <f ca="1">IFERROR(__xludf.DUMMYFUNCTION("""COMPUTED_VALUE"""),279)</f>
        <v>279</v>
      </c>
      <c r="B877" s="5" t="str">
        <f ca="1">IFERROR(__xludf.DUMMYFUNCTION("""COMPUTED_VALUE"""),"Григорьев")</f>
        <v>Григорьев</v>
      </c>
      <c r="C877" s="5" t="str">
        <f ca="1">IFERROR(__xludf.DUMMYFUNCTION("""COMPUTED_VALUE"""),"Игорь")</f>
        <v>Игорь</v>
      </c>
      <c r="D877" s="5" t="str">
        <f ca="1">IFERROR(__xludf.DUMMYFUNCTION("""COMPUTED_VALUE"""),"Дмитриевич")</f>
        <v>Дмитриевич</v>
      </c>
      <c r="E877" s="5" t="str">
        <f ca="1">IFERROR(__xludf.DUMMYFUNCTION("""COMPUTED_VALUE"""),"Команда №4256")</f>
        <v>Команда №4256</v>
      </c>
      <c r="F877" s="6" t="str">
        <f ca="1">IFERROR(__xludf.DUMMYFUNCTION("""COMPUTED_VALUE"""),"Система автоматизации ""Умный дом""")</f>
        <v>Система автоматизации "Умный дом"</v>
      </c>
      <c r="G877" s="7">
        <f ca="1">IFERROR(__xludf.DUMMYFUNCTION("""COMPUTED_VALUE"""),89)</f>
        <v>89</v>
      </c>
    </row>
    <row r="878" spans="1:7" ht="13.2" x14ac:dyDescent="0.25">
      <c r="A878" s="5">
        <f ca="1">IFERROR(__xludf.DUMMYFUNCTION("""COMPUTED_VALUE"""),321)</f>
        <v>321</v>
      </c>
      <c r="B878" s="5" t="str">
        <f ca="1">IFERROR(__xludf.DUMMYFUNCTION("""COMPUTED_VALUE"""),"Доброхотов")</f>
        <v>Доброхотов</v>
      </c>
      <c r="C878" s="5" t="str">
        <f ca="1">IFERROR(__xludf.DUMMYFUNCTION("""COMPUTED_VALUE"""),"Максим")</f>
        <v>Максим</v>
      </c>
      <c r="D878" s="5" t="str">
        <f ca="1">IFERROR(__xludf.DUMMYFUNCTION("""COMPUTED_VALUE"""),"Денисович")</f>
        <v>Денисович</v>
      </c>
      <c r="E878" s="5" t="str">
        <f ca="1">IFERROR(__xludf.DUMMYFUNCTION("""COMPUTED_VALUE"""),"Команда №4256")</f>
        <v>Команда №4256</v>
      </c>
      <c r="F878" s="6" t="str">
        <f ca="1">IFERROR(__xludf.DUMMYFUNCTION("""COMPUTED_VALUE"""),"Система автоматизации ""Умный дом""")</f>
        <v>Система автоматизации "Умный дом"</v>
      </c>
      <c r="G878" s="7">
        <f ca="1">IFERROR(__xludf.DUMMYFUNCTION("""COMPUTED_VALUE"""),89)</f>
        <v>89</v>
      </c>
    </row>
    <row r="879" spans="1:7" ht="13.2" x14ac:dyDescent="0.25">
      <c r="A879" s="5">
        <f ca="1">IFERROR(__xludf.DUMMYFUNCTION("""COMPUTED_VALUE"""),776)</f>
        <v>776</v>
      </c>
      <c r="B879" s="5" t="str">
        <f ca="1">IFERROR(__xludf.DUMMYFUNCTION("""COMPUTED_VALUE"""),"Моисеев")</f>
        <v>Моисеев</v>
      </c>
      <c r="C879" s="5" t="str">
        <f ca="1">IFERROR(__xludf.DUMMYFUNCTION("""COMPUTED_VALUE"""),"Артём")</f>
        <v>Артём</v>
      </c>
      <c r="D879" s="5" t="str">
        <f ca="1">IFERROR(__xludf.DUMMYFUNCTION("""COMPUTED_VALUE"""),"Александрович")</f>
        <v>Александрович</v>
      </c>
      <c r="E879" s="5" t="str">
        <f ca="1">IFERROR(__xludf.DUMMYFUNCTION("""COMPUTED_VALUE"""),"Команда №4256")</f>
        <v>Команда №4256</v>
      </c>
      <c r="F879" s="6" t="str">
        <f ca="1">IFERROR(__xludf.DUMMYFUNCTION("""COMPUTED_VALUE"""),"Система автоматизации ""Умный дом""")</f>
        <v>Система автоматизации "Умный дом"</v>
      </c>
      <c r="G879" s="7">
        <f ca="1">IFERROR(__xludf.DUMMYFUNCTION("""COMPUTED_VALUE"""),89)</f>
        <v>89</v>
      </c>
    </row>
    <row r="880" spans="1:7" ht="26.4" x14ac:dyDescent="0.25">
      <c r="A880" s="5">
        <f ca="1">IFERROR(__xludf.DUMMYFUNCTION("""COMPUTED_VALUE"""),140)</f>
        <v>140</v>
      </c>
      <c r="B880" s="5" t="str">
        <f ca="1">IFERROR(__xludf.DUMMYFUNCTION("""COMPUTED_VALUE"""),"Бондарев")</f>
        <v>Бондарев</v>
      </c>
      <c r="C880" s="5" t="str">
        <f ca="1">IFERROR(__xludf.DUMMYFUNCTION("""COMPUTED_VALUE"""),"Николай")</f>
        <v>Николай</v>
      </c>
      <c r="D880" s="5" t="str">
        <f ca="1">IFERROR(__xludf.DUMMYFUNCTION("""COMPUTED_VALUE"""),"Вадимович")</f>
        <v>Вадимович</v>
      </c>
      <c r="E880" s="5" t="str">
        <f ca="1">IFERROR(__xludf.DUMMYFUNCTION("""COMPUTED_VALUE"""),"Команда №4260")</f>
        <v>Команда №4260</v>
      </c>
      <c r="F880" s="6" t="str">
        <f ca="1">IFERROR(__xludf.DUMMYFUNCTION("""COMPUTED_VALUE"""),"Разработка алгоритма расчета сроков оплаты по договорам.")</f>
        <v>Разработка алгоритма расчета сроков оплаты по договорам.</v>
      </c>
      <c r="G880" s="7">
        <f ca="1">IFERROR(__xludf.DUMMYFUNCTION("""COMPUTED_VALUE"""),85)</f>
        <v>85</v>
      </c>
    </row>
    <row r="881" spans="1:7" ht="26.4" x14ac:dyDescent="0.25">
      <c r="A881" s="5">
        <f ca="1">IFERROR(__xludf.DUMMYFUNCTION("""COMPUTED_VALUE"""),411)</f>
        <v>411</v>
      </c>
      <c r="B881" s="5" t="str">
        <f ca="1">IFERROR(__xludf.DUMMYFUNCTION("""COMPUTED_VALUE"""),"Заитов")</f>
        <v>Заитов</v>
      </c>
      <c r="C881" s="5" t="str">
        <f ca="1">IFERROR(__xludf.DUMMYFUNCTION("""COMPUTED_VALUE"""),"Максим")</f>
        <v>Максим</v>
      </c>
      <c r="D881" s="5" t="str">
        <f ca="1">IFERROR(__xludf.DUMMYFUNCTION("""COMPUTED_VALUE"""),"Дмитриевич")</f>
        <v>Дмитриевич</v>
      </c>
      <c r="E881" s="5" t="str">
        <f ca="1">IFERROR(__xludf.DUMMYFUNCTION("""COMPUTED_VALUE"""),"Команда №4260")</f>
        <v>Команда №4260</v>
      </c>
      <c r="F881" s="6" t="str">
        <f ca="1">IFERROR(__xludf.DUMMYFUNCTION("""COMPUTED_VALUE"""),"Разработка алгоритма расчета сроков оплаты по договорам.")</f>
        <v>Разработка алгоритма расчета сроков оплаты по договорам.</v>
      </c>
      <c r="G881" s="7">
        <f ca="1">IFERROR(__xludf.DUMMYFUNCTION("""COMPUTED_VALUE"""),85)</f>
        <v>85</v>
      </c>
    </row>
    <row r="882" spans="1:7" ht="26.4" x14ac:dyDescent="0.25">
      <c r="A882" s="5">
        <f ca="1">IFERROR(__xludf.DUMMYFUNCTION("""COMPUTED_VALUE"""),702)</f>
        <v>702</v>
      </c>
      <c r="B882" s="5" t="str">
        <f ca="1">IFERROR(__xludf.DUMMYFUNCTION("""COMPUTED_VALUE"""),"Мавлутбаев")</f>
        <v>Мавлутбаев</v>
      </c>
      <c r="C882" s="5" t="str">
        <f ca="1">IFERROR(__xludf.DUMMYFUNCTION("""COMPUTED_VALUE"""),"Андрей")</f>
        <v>Андрей</v>
      </c>
      <c r="D882" s="5" t="str">
        <f ca="1">IFERROR(__xludf.DUMMYFUNCTION("""COMPUTED_VALUE"""),"Алексеевич")</f>
        <v>Алексеевич</v>
      </c>
      <c r="E882" s="5" t="str">
        <f ca="1">IFERROR(__xludf.DUMMYFUNCTION("""COMPUTED_VALUE"""),"Команда №4260")</f>
        <v>Команда №4260</v>
      </c>
      <c r="F882" s="6" t="str">
        <f ca="1">IFERROR(__xludf.DUMMYFUNCTION("""COMPUTED_VALUE"""),"Разработка алгоритма расчета сроков оплаты по договорам.")</f>
        <v>Разработка алгоритма расчета сроков оплаты по договорам.</v>
      </c>
      <c r="G882" s="7">
        <f ca="1">IFERROR(__xludf.DUMMYFUNCTION("""COMPUTED_VALUE"""),85)</f>
        <v>85</v>
      </c>
    </row>
    <row r="883" spans="1:7" ht="26.4" x14ac:dyDescent="0.25">
      <c r="A883" s="5">
        <f ca="1">IFERROR(__xludf.DUMMYFUNCTION("""COMPUTED_VALUE"""),1242)</f>
        <v>1242</v>
      </c>
      <c r="B883" s="5" t="str">
        <f ca="1">IFERROR(__xludf.DUMMYFUNCTION("""COMPUTED_VALUE"""),"Хандорин")</f>
        <v>Хандорин</v>
      </c>
      <c r="C883" s="5" t="str">
        <f ca="1">IFERROR(__xludf.DUMMYFUNCTION("""COMPUTED_VALUE"""),"Александр")</f>
        <v>Александр</v>
      </c>
      <c r="D883" s="5" t="str">
        <f ca="1">IFERROR(__xludf.DUMMYFUNCTION("""COMPUTED_VALUE"""),"Александрович")</f>
        <v>Александрович</v>
      </c>
      <c r="E883" s="5" t="str">
        <f ca="1">IFERROR(__xludf.DUMMYFUNCTION("""COMPUTED_VALUE"""),"Команда №4260")</f>
        <v>Команда №4260</v>
      </c>
      <c r="F883" s="6" t="str">
        <f ca="1">IFERROR(__xludf.DUMMYFUNCTION("""COMPUTED_VALUE"""),"Разработка алгоритма расчета сроков оплаты по договорам.")</f>
        <v>Разработка алгоритма расчета сроков оплаты по договорам.</v>
      </c>
      <c r="G883" s="7">
        <f ca="1">IFERROR(__xludf.DUMMYFUNCTION("""COMPUTED_VALUE"""),85)</f>
        <v>85</v>
      </c>
    </row>
    <row r="884" spans="1:7" ht="26.4" x14ac:dyDescent="0.25">
      <c r="A884" s="5">
        <f ca="1">IFERROR(__xludf.DUMMYFUNCTION("""COMPUTED_VALUE"""),1250)</f>
        <v>1250</v>
      </c>
      <c r="B884" s="5" t="str">
        <f ca="1">IFERROR(__xludf.DUMMYFUNCTION("""COMPUTED_VALUE"""),"Хламов")</f>
        <v>Хламов</v>
      </c>
      <c r="C884" s="5" t="str">
        <f ca="1">IFERROR(__xludf.DUMMYFUNCTION("""COMPUTED_VALUE"""),"Роман")</f>
        <v>Роман</v>
      </c>
      <c r="D884" s="5" t="str">
        <f ca="1">IFERROR(__xludf.DUMMYFUNCTION("""COMPUTED_VALUE"""),"Сергеевич")</f>
        <v>Сергеевич</v>
      </c>
      <c r="E884" s="5" t="str">
        <f ca="1">IFERROR(__xludf.DUMMYFUNCTION("""COMPUTED_VALUE"""),"Команда №4260")</f>
        <v>Команда №4260</v>
      </c>
      <c r="F884" s="6" t="str">
        <f ca="1">IFERROR(__xludf.DUMMYFUNCTION("""COMPUTED_VALUE"""),"Разработка алгоритма расчета сроков оплаты по договорам.")</f>
        <v>Разработка алгоритма расчета сроков оплаты по договорам.</v>
      </c>
      <c r="G884" s="7">
        <f ca="1">IFERROR(__xludf.DUMMYFUNCTION("""COMPUTED_VALUE"""),85)</f>
        <v>85</v>
      </c>
    </row>
    <row r="885" spans="1:7" ht="26.4" x14ac:dyDescent="0.25">
      <c r="A885" s="5">
        <f ca="1">IFERROR(__xludf.DUMMYFUNCTION("""COMPUTED_VALUE"""),95)</f>
        <v>95</v>
      </c>
      <c r="B885" s="5" t="str">
        <f ca="1">IFERROR(__xludf.DUMMYFUNCTION("""COMPUTED_VALUE"""),"Батраков")</f>
        <v>Батраков</v>
      </c>
      <c r="C885" s="5" t="str">
        <f ca="1">IFERROR(__xludf.DUMMYFUNCTION("""COMPUTED_VALUE"""),"Дмитрий")</f>
        <v>Дмитрий</v>
      </c>
      <c r="D885" s="5" t="str">
        <f ca="1">IFERROR(__xludf.DUMMYFUNCTION("""COMPUTED_VALUE"""),"Антонович")</f>
        <v>Антонович</v>
      </c>
      <c r="E885" s="5" t="str">
        <f ca="1">IFERROR(__xludf.DUMMYFUNCTION("""COMPUTED_VALUE"""),"Команда №4262")</f>
        <v>Команда №4262</v>
      </c>
      <c r="F885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885" s="7">
        <f ca="1">IFERROR(__xludf.DUMMYFUNCTION("""COMPUTED_VALUE"""),85)</f>
        <v>85</v>
      </c>
    </row>
    <row r="886" spans="1:7" ht="26.4" x14ac:dyDescent="0.25">
      <c r="A886" s="5">
        <f ca="1">IFERROR(__xludf.DUMMYFUNCTION("""COMPUTED_VALUE"""),337)</f>
        <v>337</v>
      </c>
      <c r="B886" s="5" t="str">
        <f ca="1">IFERROR(__xludf.DUMMYFUNCTION("""COMPUTED_VALUE"""),"Досмагамбетов")</f>
        <v>Досмагамбетов</v>
      </c>
      <c r="C886" s="5" t="str">
        <f ca="1">IFERROR(__xludf.DUMMYFUNCTION("""COMPUTED_VALUE"""),"Нуржан")</f>
        <v>Нуржан</v>
      </c>
      <c r="D886" s="5" t="str">
        <f ca="1">IFERROR(__xludf.DUMMYFUNCTION("""COMPUTED_VALUE"""),"Канатулы")</f>
        <v>Канатулы</v>
      </c>
      <c r="E886" s="5" t="str">
        <f ca="1">IFERROR(__xludf.DUMMYFUNCTION("""COMPUTED_VALUE"""),"Команда №4262")</f>
        <v>Команда №4262</v>
      </c>
      <c r="F886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886" s="7">
        <f ca="1">IFERROR(__xludf.DUMMYFUNCTION("""COMPUTED_VALUE"""),85)</f>
        <v>85</v>
      </c>
    </row>
    <row r="887" spans="1:7" ht="26.4" x14ac:dyDescent="0.25">
      <c r="A887" s="5">
        <f ca="1">IFERROR(__xludf.DUMMYFUNCTION("""COMPUTED_VALUE"""),988)</f>
        <v>988</v>
      </c>
      <c r="B887" s="5" t="str">
        <f ca="1">IFERROR(__xludf.DUMMYFUNCTION("""COMPUTED_VALUE"""),"Резов")</f>
        <v>Резов</v>
      </c>
      <c r="C887" s="5" t="str">
        <f ca="1">IFERROR(__xludf.DUMMYFUNCTION("""COMPUTED_VALUE"""),"Дмитрий")</f>
        <v>Дмитрий</v>
      </c>
      <c r="D887" s="5" t="str">
        <f ca="1">IFERROR(__xludf.DUMMYFUNCTION("""COMPUTED_VALUE"""),"Олегович")</f>
        <v>Олегович</v>
      </c>
      <c r="E887" s="5" t="str">
        <f ca="1">IFERROR(__xludf.DUMMYFUNCTION("""COMPUTED_VALUE"""),"Команда №4262")</f>
        <v>Команда №4262</v>
      </c>
      <c r="F887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887" s="7">
        <f ca="1">IFERROR(__xludf.DUMMYFUNCTION("""COMPUTED_VALUE"""),85)</f>
        <v>85</v>
      </c>
    </row>
    <row r="888" spans="1:7" ht="26.4" x14ac:dyDescent="0.25">
      <c r="A888" s="5">
        <f ca="1">IFERROR(__xludf.DUMMYFUNCTION("""COMPUTED_VALUE"""),1357)</f>
        <v>1357</v>
      </c>
      <c r="B888" s="5" t="str">
        <f ca="1">IFERROR(__xludf.DUMMYFUNCTION("""COMPUTED_VALUE"""),"Щипачев")</f>
        <v>Щипачев</v>
      </c>
      <c r="C888" s="5" t="str">
        <f ca="1">IFERROR(__xludf.DUMMYFUNCTION("""COMPUTED_VALUE"""),"Павел")</f>
        <v>Павел</v>
      </c>
      <c r="D888" s="5" t="str">
        <f ca="1">IFERROR(__xludf.DUMMYFUNCTION("""COMPUTED_VALUE"""),"Сергеевич")</f>
        <v>Сергеевич</v>
      </c>
      <c r="E888" s="5" t="str">
        <f ca="1">IFERROR(__xludf.DUMMYFUNCTION("""COMPUTED_VALUE"""),"Команда №4262")</f>
        <v>Команда №4262</v>
      </c>
      <c r="F888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888" s="7">
        <f ca="1">IFERROR(__xludf.DUMMYFUNCTION("""COMPUTED_VALUE"""),85)</f>
        <v>85</v>
      </c>
    </row>
    <row r="889" spans="1:7" ht="13.2" x14ac:dyDescent="0.25">
      <c r="A889" s="5">
        <f ca="1">IFERROR(__xludf.DUMMYFUNCTION("""COMPUTED_VALUE"""),247)</f>
        <v>247</v>
      </c>
      <c r="B889" s="5" t="str">
        <f ca="1">IFERROR(__xludf.DUMMYFUNCTION("""COMPUTED_VALUE"""),"Гесс")</f>
        <v>Гесс</v>
      </c>
      <c r="C889" s="5" t="str">
        <f ca="1">IFERROR(__xludf.DUMMYFUNCTION("""COMPUTED_VALUE"""),"Генрих")</f>
        <v>Генрих</v>
      </c>
      <c r="D889" s="5" t="str">
        <f ca="1">IFERROR(__xludf.DUMMYFUNCTION("""COMPUTED_VALUE"""),"Валерьевич")</f>
        <v>Валерьевич</v>
      </c>
      <c r="E889" s="5" t="str">
        <f ca="1">IFERROR(__xludf.DUMMYFUNCTION("""COMPUTED_VALUE"""),"Команда №4266")</f>
        <v>Команда №4266</v>
      </c>
      <c r="F889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89" s="7">
        <f ca="1">IFERROR(__xludf.DUMMYFUNCTION("""COMPUTED_VALUE"""),0)</f>
        <v>0</v>
      </c>
    </row>
    <row r="890" spans="1:7" ht="13.2" x14ac:dyDescent="0.25">
      <c r="A890" s="5">
        <f ca="1">IFERROR(__xludf.DUMMYFUNCTION("""COMPUTED_VALUE"""),880)</f>
        <v>880</v>
      </c>
      <c r="B890" s="5" t="str">
        <f ca="1">IFERROR(__xludf.DUMMYFUNCTION("""COMPUTED_VALUE"""),"Олехов")</f>
        <v>Олехов</v>
      </c>
      <c r="C890" s="5" t="str">
        <f ca="1">IFERROR(__xludf.DUMMYFUNCTION("""COMPUTED_VALUE"""),"Владислав")</f>
        <v>Владислав</v>
      </c>
      <c r="D890" s="5" t="str">
        <f ca="1">IFERROR(__xludf.DUMMYFUNCTION("""COMPUTED_VALUE"""),"Ильич")</f>
        <v>Ильич</v>
      </c>
      <c r="E890" s="5" t="str">
        <f ca="1">IFERROR(__xludf.DUMMYFUNCTION("""COMPUTED_VALUE"""),"Команда №4266")</f>
        <v>Команда №4266</v>
      </c>
      <c r="F890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90" s="7">
        <f ca="1">IFERROR(__xludf.DUMMYFUNCTION("""COMPUTED_VALUE"""),0)</f>
        <v>0</v>
      </c>
    </row>
    <row r="891" spans="1:7" ht="13.2" x14ac:dyDescent="0.25">
      <c r="A891" s="5">
        <f ca="1">IFERROR(__xludf.DUMMYFUNCTION("""COMPUTED_VALUE"""),1134)</f>
        <v>1134</v>
      </c>
      <c r="B891" s="5" t="str">
        <f ca="1">IFERROR(__xludf.DUMMYFUNCTION("""COMPUTED_VALUE"""),"Сухов")</f>
        <v>Сухов</v>
      </c>
      <c r="C891" s="5" t="str">
        <f ca="1">IFERROR(__xludf.DUMMYFUNCTION("""COMPUTED_VALUE"""),"Андрей")</f>
        <v>Андрей</v>
      </c>
      <c r="D891" s="5" t="str">
        <f ca="1">IFERROR(__xludf.DUMMYFUNCTION("""COMPUTED_VALUE"""),"Алексеевич")</f>
        <v>Алексеевич</v>
      </c>
      <c r="E891" s="5" t="str">
        <f ca="1">IFERROR(__xludf.DUMMYFUNCTION("""COMPUTED_VALUE"""),"Команда №4266")</f>
        <v>Команда №4266</v>
      </c>
      <c r="F891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91" s="7">
        <f ca="1">IFERROR(__xludf.DUMMYFUNCTION("""COMPUTED_VALUE"""),0)</f>
        <v>0</v>
      </c>
    </row>
    <row r="892" spans="1:7" ht="13.2" x14ac:dyDescent="0.25">
      <c r="A892" s="5">
        <f ca="1">IFERROR(__xludf.DUMMYFUNCTION("""COMPUTED_VALUE"""),1195)</f>
        <v>1195</v>
      </c>
      <c r="B892" s="5" t="str">
        <f ca="1">IFERROR(__xludf.DUMMYFUNCTION("""COMPUTED_VALUE"""),"Умудов")</f>
        <v>Умудов</v>
      </c>
      <c r="C892" s="5" t="str">
        <f ca="1">IFERROR(__xludf.DUMMYFUNCTION("""COMPUTED_VALUE"""),"Муталлим")</f>
        <v>Муталлим</v>
      </c>
      <c r="D892" s="5" t="str">
        <f ca="1">IFERROR(__xludf.DUMMYFUNCTION("""COMPUTED_VALUE"""),"Этибар")</f>
        <v>Этибар</v>
      </c>
      <c r="E892" s="5" t="str">
        <f ca="1">IFERROR(__xludf.DUMMYFUNCTION("""COMPUTED_VALUE"""),"Команда №4266")</f>
        <v>Команда №4266</v>
      </c>
      <c r="F892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92" s="7">
        <f ca="1">IFERROR(__xludf.DUMMYFUNCTION("""COMPUTED_VALUE"""),0)</f>
        <v>0</v>
      </c>
    </row>
    <row r="893" spans="1:7" ht="13.2" x14ac:dyDescent="0.25">
      <c r="A893" s="5">
        <f ca="1">IFERROR(__xludf.DUMMYFUNCTION("""COMPUTED_VALUE"""),1238)</f>
        <v>1238</v>
      </c>
      <c r="B893" s="5" t="str">
        <f ca="1">IFERROR(__xludf.DUMMYFUNCTION("""COMPUTED_VALUE"""),"Хакимов")</f>
        <v>Хакимов</v>
      </c>
      <c r="C893" s="5" t="str">
        <f ca="1">IFERROR(__xludf.DUMMYFUNCTION("""COMPUTED_VALUE"""),"Зафар")</f>
        <v>Зафар</v>
      </c>
      <c r="D893" s="5" t="str">
        <f ca="1">IFERROR(__xludf.DUMMYFUNCTION("""COMPUTED_VALUE"""),"Джафарович")</f>
        <v>Джафарович</v>
      </c>
      <c r="E893" s="5" t="str">
        <f ca="1">IFERROR(__xludf.DUMMYFUNCTION("""COMPUTED_VALUE"""),"Команда №4266")</f>
        <v>Команда №4266</v>
      </c>
      <c r="F893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93" s="7">
        <f ca="1">IFERROR(__xludf.DUMMYFUNCTION("""COMPUTED_VALUE"""),0)</f>
        <v>0</v>
      </c>
    </row>
    <row r="894" spans="1:7" ht="13.2" x14ac:dyDescent="0.25">
      <c r="A894" s="5">
        <f ca="1">IFERROR(__xludf.DUMMYFUNCTION("""COMPUTED_VALUE"""),1345)</f>
        <v>1345</v>
      </c>
      <c r="B894" s="5" t="str">
        <f ca="1">IFERROR(__xludf.DUMMYFUNCTION("""COMPUTED_VALUE"""),"Шокиров")</f>
        <v>Шокиров</v>
      </c>
      <c r="C894" s="5" t="str">
        <f ca="1">IFERROR(__xludf.DUMMYFUNCTION("""COMPUTED_VALUE"""),"Ахаджон")</f>
        <v>Ахаджон</v>
      </c>
      <c r="D894" s="5" t="str">
        <f ca="1">IFERROR(__xludf.DUMMYFUNCTION("""COMPUTED_VALUE"""),"Амонджонович")</f>
        <v>Амонджонович</v>
      </c>
      <c r="E894" s="5" t="str">
        <f ca="1">IFERROR(__xludf.DUMMYFUNCTION("""COMPUTED_VALUE"""),"Команда №4266")</f>
        <v>Команда №4266</v>
      </c>
      <c r="F894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894" s="7">
        <f ca="1">IFERROR(__xludf.DUMMYFUNCTION("""COMPUTED_VALUE"""),0)</f>
        <v>0</v>
      </c>
    </row>
    <row r="895" spans="1:7" ht="13.2" x14ac:dyDescent="0.25">
      <c r="A895" s="5">
        <f ca="1">IFERROR(__xludf.DUMMYFUNCTION("""COMPUTED_VALUE"""),463)</f>
        <v>463</v>
      </c>
      <c r="B895" s="5" t="str">
        <f ca="1">IFERROR(__xludf.DUMMYFUNCTION("""COMPUTED_VALUE"""),"Ильин")</f>
        <v>Ильин</v>
      </c>
      <c r="C895" s="5" t="str">
        <f ca="1">IFERROR(__xludf.DUMMYFUNCTION("""COMPUTED_VALUE"""),"Ярослав")</f>
        <v>Ярослав</v>
      </c>
      <c r="D895" s="5" t="str">
        <f ca="1">IFERROR(__xludf.DUMMYFUNCTION("""COMPUTED_VALUE"""),"Валерьевич")</f>
        <v>Валерьевич</v>
      </c>
      <c r="E895" s="5" t="str">
        <f ca="1">IFERROR(__xludf.DUMMYFUNCTION("""COMPUTED_VALUE"""),"Команда №4270")</f>
        <v>Команда №4270</v>
      </c>
      <c r="F895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895" s="7">
        <f ca="1">IFERROR(__xludf.DUMMYFUNCTION("""COMPUTED_VALUE"""),80)</f>
        <v>80</v>
      </c>
    </row>
    <row r="896" spans="1:7" ht="13.2" x14ac:dyDescent="0.25">
      <c r="A896" s="5">
        <f ca="1">IFERROR(__xludf.DUMMYFUNCTION("""COMPUTED_VALUE"""),1127)</f>
        <v>1127</v>
      </c>
      <c r="B896" s="5" t="str">
        <f ca="1">IFERROR(__xludf.DUMMYFUNCTION("""COMPUTED_VALUE"""),"Султанов")</f>
        <v>Султанов</v>
      </c>
      <c r="C896" s="5" t="str">
        <f ca="1">IFERROR(__xludf.DUMMYFUNCTION("""COMPUTED_VALUE"""),"Егор")</f>
        <v>Егор</v>
      </c>
      <c r="D896" s="5" t="str">
        <f ca="1">IFERROR(__xludf.DUMMYFUNCTION("""COMPUTED_VALUE"""),"Альбертович")</f>
        <v>Альбертович</v>
      </c>
      <c r="E896" s="5" t="str">
        <f ca="1">IFERROR(__xludf.DUMMYFUNCTION("""COMPUTED_VALUE"""),"Команда №4270")</f>
        <v>Команда №4270</v>
      </c>
      <c r="F896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896" s="7">
        <f ca="1">IFERROR(__xludf.DUMMYFUNCTION("""COMPUTED_VALUE"""),80)</f>
        <v>80</v>
      </c>
    </row>
    <row r="897" spans="1:7" ht="13.2" x14ac:dyDescent="0.25">
      <c r="A897" s="5">
        <f ca="1">IFERROR(__xludf.DUMMYFUNCTION("""COMPUTED_VALUE"""),1179)</f>
        <v>1179</v>
      </c>
      <c r="B897" s="5" t="str">
        <f ca="1">IFERROR(__xludf.DUMMYFUNCTION("""COMPUTED_VALUE"""),"Трутнев")</f>
        <v>Трутнев</v>
      </c>
      <c r="C897" s="5" t="str">
        <f ca="1">IFERROR(__xludf.DUMMYFUNCTION("""COMPUTED_VALUE"""),"Артем")</f>
        <v>Артем</v>
      </c>
      <c r="D897" s="5" t="str">
        <f ca="1">IFERROR(__xludf.DUMMYFUNCTION("""COMPUTED_VALUE"""),"Андреевич")</f>
        <v>Андреевич</v>
      </c>
      <c r="E897" s="5" t="str">
        <f ca="1">IFERROR(__xludf.DUMMYFUNCTION("""COMPUTED_VALUE"""),"Команда №4270")</f>
        <v>Команда №4270</v>
      </c>
      <c r="F897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897" s="7">
        <f ca="1">IFERROR(__xludf.DUMMYFUNCTION("""COMPUTED_VALUE"""),80)</f>
        <v>80</v>
      </c>
    </row>
    <row r="898" spans="1:7" ht="13.2" x14ac:dyDescent="0.25">
      <c r="A898" s="5">
        <f ca="1">IFERROR(__xludf.DUMMYFUNCTION("""COMPUTED_VALUE"""),1346)</f>
        <v>1346</v>
      </c>
      <c r="B898" s="5" t="str">
        <f ca="1">IFERROR(__xludf.DUMMYFUNCTION("""COMPUTED_VALUE"""),"Шубин")</f>
        <v>Шубин</v>
      </c>
      <c r="C898" s="5" t="str">
        <f ca="1">IFERROR(__xludf.DUMMYFUNCTION("""COMPUTED_VALUE"""),"Игорь")</f>
        <v>Игорь</v>
      </c>
      <c r="D898" s="5" t="str">
        <f ca="1">IFERROR(__xludf.DUMMYFUNCTION("""COMPUTED_VALUE"""),"Васильевич")</f>
        <v>Васильевич</v>
      </c>
      <c r="E898" s="5" t="str">
        <f ca="1">IFERROR(__xludf.DUMMYFUNCTION("""COMPUTED_VALUE"""),"Команда №4270")</f>
        <v>Команда №4270</v>
      </c>
      <c r="F898" s="6" t="str">
        <f ca="1">IFERROR(__xludf.DUMMYFUNCTION("""COMPUTED_VALUE"""),"Разработка цифровых решений в образовании")</f>
        <v>Разработка цифровых решений в образовании</v>
      </c>
      <c r="G898" s="7">
        <f ca="1">IFERROR(__xludf.DUMMYFUNCTION("""COMPUTED_VALUE"""),80)</f>
        <v>80</v>
      </c>
    </row>
    <row r="899" spans="1:7" ht="39.6" x14ac:dyDescent="0.25">
      <c r="A899" s="5">
        <f ca="1">IFERROR(__xludf.DUMMYFUNCTION("""COMPUTED_VALUE"""),949)</f>
        <v>949</v>
      </c>
      <c r="B899" s="5" t="str">
        <f ca="1">IFERROR(__xludf.DUMMYFUNCTION("""COMPUTED_VALUE"""),"Попов")</f>
        <v>Попов</v>
      </c>
      <c r="C899" s="5" t="str">
        <f ca="1">IFERROR(__xludf.DUMMYFUNCTION("""COMPUTED_VALUE"""),"Григорий")</f>
        <v>Григорий</v>
      </c>
      <c r="D899" s="5" t="str">
        <f ca="1">IFERROR(__xludf.DUMMYFUNCTION("""COMPUTED_VALUE"""),"Александрович")</f>
        <v>Александрович</v>
      </c>
      <c r="E899" s="5" t="str">
        <f ca="1">IFERROR(__xludf.DUMMYFUNCTION("""COMPUTED_VALUE"""),"Команда №4283")</f>
        <v>Команда №4283</v>
      </c>
      <c r="F899" s="6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G899" s="7">
        <f ca="1">IFERROR(__xludf.DUMMYFUNCTION("""COMPUTED_VALUE"""),0)</f>
        <v>0</v>
      </c>
    </row>
    <row r="900" spans="1:7" ht="26.4" x14ac:dyDescent="0.25">
      <c r="A900" s="5">
        <f ca="1">IFERROR(__xludf.DUMMYFUNCTION("""COMPUTED_VALUE"""),734)</f>
        <v>734</v>
      </c>
      <c r="B900" s="5" t="str">
        <f ca="1">IFERROR(__xludf.DUMMYFUNCTION("""COMPUTED_VALUE"""),"Маслянчук")</f>
        <v>Маслянчук</v>
      </c>
      <c r="C900" s="5" t="str">
        <f ca="1">IFERROR(__xludf.DUMMYFUNCTION("""COMPUTED_VALUE"""),"Глеб")</f>
        <v>Глеб</v>
      </c>
      <c r="D900" s="5" t="str">
        <f ca="1">IFERROR(__xludf.DUMMYFUNCTION("""COMPUTED_VALUE"""),"Александрович")</f>
        <v>Александрович</v>
      </c>
      <c r="E900" s="5" t="str">
        <f ca="1">IFERROR(__xludf.DUMMYFUNCTION("""COMPUTED_VALUE"""),"Команда №4290")</f>
        <v>Команда №4290</v>
      </c>
      <c r="F900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900" s="7">
        <f ca="1">IFERROR(__xludf.DUMMYFUNCTION("""COMPUTED_VALUE"""),85)</f>
        <v>85</v>
      </c>
    </row>
    <row r="901" spans="1:7" ht="26.4" x14ac:dyDescent="0.25">
      <c r="A901" s="5">
        <f ca="1">IFERROR(__xludf.DUMMYFUNCTION("""COMPUTED_VALUE"""),887)</f>
        <v>887</v>
      </c>
      <c r="B901" s="5" t="str">
        <f ca="1">IFERROR(__xludf.DUMMYFUNCTION("""COMPUTED_VALUE"""),"Орлянская")</f>
        <v>Орлянская</v>
      </c>
      <c r="C901" s="5" t="str">
        <f ca="1">IFERROR(__xludf.DUMMYFUNCTION("""COMPUTED_VALUE"""),"Анна")</f>
        <v>Анна</v>
      </c>
      <c r="D901" s="5" t="str">
        <f ca="1">IFERROR(__xludf.DUMMYFUNCTION("""COMPUTED_VALUE"""),"Сергеевна")</f>
        <v>Сергеевна</v>
      </c>
      <c r="E901" s="5" t="str">
        <f ca="1">IFERROR(__xludf.DUMMYFUNCTION("""COMPUTED_VALUE"""),"Команда №4290")</f>
        <v>Команда №4290</v>
      </c>
      <c r="F901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901" s="7">
        <f ca="1">IFERROR(__xludf.DUMMYFUNCTION("""COMPUTED_VALUE"""),85)</f>
        <v>85</v>
      </c>
    </row>
    <row r="902" spans="1:7" ht="26.4" x14ac:dyDescent="0.25">
      <c r="A902" s="5">
        <f ca="1">IFERROR(__xludf.DUMMYFUNCTION("""COMPUTED_VALUE"""),1364)</f>
        <v>1364</v>
      </c>
      <c r="B902" s="5" t="str">
        <f ca="1">IFERROR(__xludf.DUMMYFUNCTION("""COMPUTED_VALUE"""),"Юнусов")</f>
        <v>Юнусов</v>
      </c>
      <c r="C902" s="5" t="str">
        <f ca="1">IFERROR(__xludf.DUMMYFUNCTION("""COMPUTED_VALUE"""),"Эмир")</f>
        <v>Эмир</v>
      </c>
      <c r="D902" s="5" t="str">
        <f ca="1">IFERROR(__xludf.DUMMYFUNCTION("""COMPUTED_VALUE"""),"Дамирович")</f>
        <v>Дамирович</v>
      </c>
      <c r="E902" s="5" t="str">
        <f ca="1">IFERROR(__xludf.DUMMYFUNCTION("""COMPUTED_VALUE"""),"Команда №4290")</f>
        <v>Команда №4290</v>
      </c>
      <c r="F902" s="6" t="str">
        <f ca="1">IFERROR(__xludf.DUMMYFUNCTION("""COMPUTED_VALUE"""),"Ведение и продвижение социальных сетей ИТ компании")</f>
        <v>Ведение и продвижение социальных сетей ИТ компании</v>
      </c>
      <c r="G902" s="7">
        <f ca="1">IFERROR(__xludf.DUMMYFUNCTION("""COMPUTED_VALUE"""),85)</f>
        <v>85</v>
      </c>
    </row>
    <row r="903" spans="1:7" ht="39.6" x14ac:dyDescent="0.25">
      <c r="A903" s="5">
        <f ca="1">IFERROR(__xludf.DUMMYFUNCTION("""COMPUTED_VALUE"""),59)</f>
        <v>59</v>
      </c>
      <c r="B903" s="5" t="str">
        <f ca="1">IFERROR(__xludf.DUMMYFUNCTION("""COMPUTED_VALUE"""),"Артеменко")</f>
        <v>Артеменко</v>
      </c>
      <c r="C903" s="5" t="str">
        <f ca="1">IFERROR(__xludf.DUMMYFUNCTION("""COMPUTED_VALUE"""),"Антон")</f>
        <v>Антон</v>
      </c>
      <c r="D903" s="5" t="str">
        <f ca="1">IFERROR(__xludf.DUMMYFUNCTION("""COMPUTED_VALUE"""),"Сергеевич")</f>
        <v>Сергеевич</v>
      </c>
      <c r="E903" s="5" t="str">
        <f ca="1">IFERROR(__xludf.DUMMYFUNCTION("""COMPUTED_VALUE"""),"Команда №4302")</f>
        <v>Команда №4302</v>
      </c>
      <c r="F903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903" s="7">
        <f ca="1">IFERROR(__xludf.DUMMYFUNCTION("""COMPUTED_VALUE"""),55)</f>
        <v>55</v>
      </c>
    </row>
    <row r="904" spans="1:7" ht="39.6" x14ac:dyDescent="0.25">
      <c r="A904" s="5">
        <f ca="1">IFERROR(__xludf.DUMMYFUNCTION("""COMPUTED_VALUE"""),118)</f>
        <v>118</v>
      </c>
      <c r="B904" s="5" t="str">
        <f ca="1">IFERROR(__xludf.DUMMYFUNCTION("""COMPUTED_VALUE"""),"Бердышев")</f>
        <v>Бердышев</v>
      </c>
      <c r="C904" s="5" t="str">
        <f ca="1">IFERROR(__xludf.DUMMYFUNCTION("""COMPUTED_VALUE"""),"Артём")</f>
        <v>Артём</v>
      </c>
      <c r="D904" s="5" t="str">
        <f ca="1">IFERROR(__xludf.DUMMYFUNCTION("""COMPUTED_VALUE"""),"Александрович")</f>
        <v>Александрович</v>
      </c>
      <c r="E904" s="5" t="str">
        <f ca="1">IFERROR(__xludf.DUMMYFUNCTION("""COMPUTED_VALUE"""),"Команда №4302")</f>
        <v>Команда №4302</v>
      </c>
      <c r="F904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904" s="7">
        <f ca="1">IFERROR(__xludf.DUMMYFUNCTION("""COMPUTED_VALUE"""),55)</f>
        <v>55</v>
      </c>
    </row>
    <row r="905" spans="1:7" ht="39.6" x14ac:dyDescent="0.25">
      <c r="A905" s="5">
        <f ca="1">IFERROR(__xludf.DUMMYFUNCTION("""COMPUTED_VALUE"""),362)</f>
        <v>362</v>
      </c>
      <c r="B905" s="5" t="str">
        <f ca="1">IFERROR(__xludf.DUMMYFUNCTION("""COMPUTED_VALUE"""),"Емелин")</f>
        <v>Емелин</v>
      </c>
      <c r="C905" s="5" t="str">
        <f ca="1">IFERROR(__xludf.DUMMYFUNCTION("""COMPUTED_VALUE"""),"Евгений")</f>
        <v>Евгений</v>
      </c>
      <c r="D905" s="5" t="str">
        <f ca="1">IFERROR(__xludf.DUMMYFUNCTION("""COMPUTED_VALUE"""),"Алексеевич")</f>
        <v>Алексеевич</v>
      </c>
      <c r="E905" s="5" t="str">
        <f ca="1">IFERROR(__xludf.DUMMYFUNCTION("""COMPUTED_VALUE"""),"Команда №4302")</f>
        <v>Команда №4302</v>
      </c>
      <c r="F905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905" s="7">
        <f ca="1">IFERROR(__xludf.DUMMYFUNCTION("""COMPUTED_VALUE"""),55)</f>
        <v>55</v>
      </c>
    </row>
    <row r="906" spans="1:7" ht="26.4" x14ac:dyDescent="0.25">
      <c r="A906" s="5">
        <f ca="1">IFERROR(__xludf.DUMMYFUNCTION("""COMPUTED_VALUE"""),461)</f>
        <v>461</v>
      </c>
      <c r="B906" s="5" t="str">
        <f ca="1">IFERROR(__xludf.DUMMYFUNCTION("""COMPUTED_VALUE"""),"Игошев")</f>
        <v>Игошев</v>
      </c>
      <c r="C906" s="5" t="str">
        <f ca="1">IFERROR(__xludf.DUMMYFUNCTION("""COMPUTED_VALUE"""),"Андрей")</f>
        <v>Андрей</v>
      </c>
      <c r="D906" s="5" t="str">
        <f ca="1">IFERROR(__xludf.DUMMYFUNCTION("""COMPUTED_VALUE"""),"Вадимович")</f>
        <v>Вадимович</v>
      </c>
      <c r="E906" s="5" t="str">
        <f ca="1">IFERROR(__xludf.DUMMYFUNCTION("""COMPUTED_VALUE"""),"Команда №4304")</f>
        <v>Команда №4304</v>
      </c>
      <c r="F906" s="6" t="str">
        <f ca="1">IFERROR(__xludf.DUMMYFUNCTION("""COMPUTED_VALUE"""),"Создание хранилища внешних отчетов и обработок")</f>
        <v>Создание хранилища внешних отчетов и обработок</v>
      </c>
      <c r="G906" s="7">
        <f ca="1">IFERROR(__xludf.DUMMYFUNCTION("""COMPUTED_VALUE"""),90)</f>
        <v>90</v>
      </c>
    </row>
    <row r="907" spans="1:7" ht="26.4" x14ac:dyDescent="0.25">
      <c r="A907" s="5">
        <f ca="1">IFERROR(__xludf.DUMMYFUNCTION("""COMPUTED_VALUE"""),760)</f>
        <v>760</v>
      </c>
      <c r="B907" s="5" t="str">
        <f ca="1">IFERROR(__xludf.DUMMYFUNCTION("""COMPUTED_VALUE"""),"Месилов")</f>
        <v>Месилов</v>
      </c>
      <c r="C907" s="5" t="str">
        <f ca="1">IFERROR(__xludf.DUMMYFUNCTION("""COMPUTED_VALUE"""),"Андрей")</f>
        <v>Андрей</v>
      </c>
      <c r="D907" s="5" t="str">
        <f ca="1">IFERROR(__xludf.DUMMYFUNCTION("""COMPUTED_VALUE"""),"Денисович")</f>
        <v>Денисович</v>
      </c>
      <c r="E907" s="5" t="str">
        <f ca="1">IFERROR(__xludf.DUMMYFUNCTION("""COMPUTED_VALUE"""),"Команда №4304")</f>
        <v>Команда №4304</v>
      </c>
      <c r="F907" s="6" t="str">
        <f ca="1">IFERROR(__xludf.DUMMYFUNCTION("""COMPUTED_VALUE"""),"Создание хранилища внешних отчетов и обработок")</f>
        <v>Создание хранилища внешних отчетов и обработок</v>
      </c>
      <c r="G907" s="7">
        <f ca="1">IFERROR(__xludf.DUMMYFUNCTION("""COMPUTED_VALUE"""),90)</f>
        <v>90</v>
      </c>
    </row>
    <row r="908" spans="1:7" ht="26.4" x14ac:dyDescent="0.25">
      <c r="A908" s="5">
        <f ca="1">IFERROR(__xludf.DUMMYFUNCTION("""COMPUTED_VALUE"""),1098)</f>
        <v>1098</v>
      </c>
      <c r="B908" s="5" t="str">
        <f ca="1">IFERROR(__xludf.DUMMYFUNCTION("""COMPUTED_VALUE"""),"Соколовский")</f>
        <v>Соколовский</v>
      </c>
      <c r="C908" s="5" t="str">
        <f ca="1">IFERROR(__xludf.DUMMYFUNCTION("""COMPUTED_VALUE"""),"Владислав")</f>
        <v>Владислав</v>
      </c>
      <c r="D908" s="5" t="str">
        <f ca="1">IFERROR(__xludf.DUMMYFUNCTION("""COMPUTED_VALUE"""),"Валентинович")</f>
        <v>Валентинович</v>
      </c>
      <c r="E908" s="5" t="str">
        <f ca="1">IFERROR(__xludf.DUMMYFUNCTION("""COMPUTED_VALUE"""),"Команда №4304")</f>
        <v>Команда №4304</v>
      </c>
      <c r="F908" s="6" t="str">
        <f ca="1">IFERROR(__xludf.DUMMYFUNCTION("""COMPUTED_VALUE"""),"Создание хранилища внешних отчетов и обработок")</f>
        <v>Создание хранилища внешних отчетов и обработок</v>
      </c>
      <c r="G908" s="7">
        <f ca="1">IFERROR(__xludf.DUMMYFUNCTION("""COMPUTED_VALUE"""),90)</f>
        <v>90</v>
      </c>
    </row>
    <row r="909" spans="1:7" ht="26.4" x14ac:dyDescent="0.25">
      <c r="A909" s="5">
        <f ca="1">IFERROR(__xludf.DUMMYFUNCTION("""COMPUTED_VALUE"""),1217)</f>
        <v>1217</v>
      </c>
      <c r="B909" s="5" t="str">
        <f ca="1">IFERROR(__xludf.DUMMYFUNCTION("""COMPUTED_VALUE"""),"Фер")</f>
        <v>Фер</v>
      </c>
      <c r="C909" s="5" t="str">
        <f ca="1">IFERROR(__xludf.DUMMYFUNCTION("""COMPUTED_VALUE"""),"Андрей")</f>
        <v>Андрей</v>
      </c>
      <c r="D909" s="5" t="str">
        <f ca="1">IFERROR(__xludf.DUMMYFUNCTION("""COMPUTED_VALUE"""),"Вадимович")</f>
        <v>Вадимович</v>
      </c>
      <c r="E909" s="5" t="str">
        <f ca="1">IFERROR(__xludf.DUMMYFUNCTION("""COMPUTED_VALUE"""),"Команда №4304")</f>
        <v>Команда №4304</v>
      </c>
      <c r="F909" s="6" t="str">
        <f ca="1">IFERROR(__xludf.DUMMYFUNCTION("""COMPUTED_VALUE"""),"Создание хранилища внешних отчетов и обработок")</f>
        <v>Создание хранилища внешних отчетов и обработок</v>
      </c>
      <c r="G909" s="7">
        <f ca="1">IFERROR(__xludf.DUMMYFUNCTION("""COMPUTED_VALUE"""),90)</f>
        <v>90</v>
      </c>
    </row>
    <row r="910" spans="1:7" ht="26.4" x14ac:dyDescent="0.25">
      <c r="A910" s="5">
        <f ca="1">IFERROR(__xludf.DUMMYFUNCTION("""COMPUTED_VALUE"""),1234)</f>
        <v>1234</v>
      </c>
      <c r="B910" s="5" t="str">
        <f ca="1">IFERROR(__xludf.DUMMYFUNCTION("""COMPUTED_VALUE"""),"Фризен")</f>
        <v>Фризен</v>
      </c>
      <c r="C910" s="5" t="str">
        <f ca="1">IFERROR(__xludf.DUMMYFUNCTION("""COMPUTED_VALUE"""),"Генрих")</f>
        <v>Генрих</v>
      </c>
      <c r="D910" s="5" t="str">
        <f ca="1">IFERROR(__xludf.DUMMYFUNCTION("""COMPUTED_VALUE"""),"Даниилович")</f>
        <v>Даниилович</v>
      </c>
      <c r="E910" s="5" t="str">
        <f ca="1">IFERROR(__xludf.DUMMYFUNCTION("""COMPUTED_VALUE"""),"Команда №4304")</f>
        <v>Команда №4304</v>
      </c>
      <c r="F910" s="6" t="str">
        <f ca="1">IFERROR(__xludf.DUMMYFUNCTION("""COMPUTED_VALUE"""),"Создание хранилища внешних отчетов и обработок")</f>
        <v>Создание хранилища внешних отчетов и обработок</v>
      </c>
      <c r="G910" s="7">
        <f ca="1">IFERROR(__xludf.DUMMYFUNCTION("""COMPUTED_VALUE"""),90)</f>
        <v>90</v>
      </c>
    </row>
    <row r="911" spans="1:7" ht="26.4" x14ac:dyDescent="0.25">
      <c r="A911" s="5">
        <f ca="1">IFERROR(__xludf.DUMMYFUNCTION("""COMPUTED_VALUE"""),280)</f>
        <v>280</v>
      </c>
      <c r="B911" s="5" t="str">
        <f ca="1">IFERROR(__xludf.DUMMYFUNCTION("""COMPUTED_VALUE"""),"Григорьев")</f>
        <v>Григорьев</v>
      </c>
      <c r="C911" s="5" t="str">
        <f ca="1">IFERROR(__xludf.DUMMYFUNCTION("""COMPUTED_VALUE"""),"Алексей")</f>
        <v>Алексей</v>
      </c>
      <c r="D911" s="5" t="str">
        <f ca="1">IFERROR(__xludf.DUMMYFUNCTION("""COMPUTED_VALUE"""),"Олегович")</f>
        <v>Олегович</v>
      </c>
      <c r="E911" s="5" t="str">
        <f ca="1">IFERROR(__xludf.DUMMYFUNCTION("""COMPUTED_VALUE"""),"Команда №4306")</f>
        <v>Команда №4306</v>
      </c>
      <c r="F911" s="6" t="str">
        <f ca="1">IFERROR(__xludf.DUMMYFUNCTION("""COMPUTED_VALUE"""),"Создание автоматизированного штатива для создание фото 360")</f>
        <v>Создание автоматизированного штатива для создание фото 360</v>
      </c>
      <c r="G911" s="7">
        <f ca="1">IFERROR(__xludf.DUMMYFUNCTION("""COMPUTED_VALUE"""),40)</f>
        <v>40</v>
      </c>
    </row>
    <row r="912" spans="1:7" ht="26.4" x14ac:dyDescent="0.25">
      <c r="A912" s="5">
        <f ca="1">IFERROR(__xludf.DUMMYFUNCTION("""COMPUTED_VALUE"""),1126)</f>
        <v>1126</v>
      </c>
      <c r="B912" s="5" t="str">
        <f ca="1">IFERROR(__xludf.DUMMYFUNCTION("""COMPUTED_VALUE"""),"Стрюкова")</f>
        <v>Стрюкова</v>
      </c>
      <c r="C912" s="5" t="str">
        <f ca="1">IFERROR(__xludf.DUMMYFUNCTION("""COMPUTED_VALUE"""),"Полина")</f>
        <v>Полина</v>
      </c>
      <c r="D912" s="5" t="str">
        <f ca="1">IFERROR(__xludf.DUMMYFUNCTION("""COMPUTED_VALUE"""),"Николаевна")</f>
        <v>Николаевна</v>
      </c>
      <c r="E912" s="5" t="str">
        <f ca="1">IFERROR(__xludf.DUMMYFUNCTION("""COMPUTED_VALUE"""),"Команда №4306")</f>
        <v>Команда №4306</v>
      </c>
      <c r="F912" s="6" t="str">
        <f ca="1">IFERROR(__xludf.DUMMYFUNCTION("""COMPUTED_VALUE"""),"Создание автоматизированного штатива для создание фото 360")</f>
        <v>Создание автоматизированного штатива для создание фото 360</v>
      </c>
      <c r="G912" s="7">
        <f ca="1">IFERROR(__xludf.DUMMYFUNCTION("""COMPUTED_VALUE"""),40)</f>
        <v>40</v>
      </c>
    </row>
    <row r="913" spans="1:7" ht="26.4" x14ac:dyDescent="0.25">
      <c r="A913" s="5">
        <f ca="1">IFERROR(__xludf.DUMMYFUNCTION("""COMPUTED_VALUE"""),1128)</f>
        <v>1128</v>
      </c>
      <c r="B913" s="5" t="str">
        <f ca="1">IFERROR(__xludf.DUMMYFUNCTION("""COMPUTED_VALUE"""),"Сундуй")</f>
        <v>Сундуй</v>
      </c>
      <c r="C913" s="5" t="str">
        <f ca="1">IFERROR(__xludf.DUMMYFUNCTION("""COMPUTED_VALUE"""),"Эвелина")</f>
        <v>Эвелина</v>
      </c>
      <c r="D913" s="5" t="str">
        <f ca="1">IFERROR(__xludf.DUMMYFUNCTION("""COMPUTED_VALUE"""),"Зелимовна")</f>
        <v>Зелимовна</v>
      </c>
      <c r="E913" s="5" t="str">
        <f ca="1">IFERROR(__xludf.DUMMYFUNCTION("""COMPUTED_VALUE"""),"Команда №4306")</f>
        <v>Команда №4306</v>
      </c>
      <c r="F913" s="6" t="str">
        <f ca="1">IFERROR(__xludf.DUMMYFUNCTION("""COMPUTED_VALUE"""),"Создание автоматизированного штатива для создание фото 360")</f>
        <v>Создание автоматизированного штатива для создание фото 360</v>
      </c>
      <c r="G913" s="7">
        <f ca="1">IFERROR(__xludf.DUMMYFUNCTION("""COMPUTED_VALUE"""),40)</f>
        <v>40</v>
      </c>
    </row>
    <row r="914" spans="1:7" ht="26.4" x14ac:dyDescent="0.25">
      <c r="A914" s="5">
        <f ca="1">IFERROR(__xludf.DUMMYFUNCTION("""COMPUTED_VALUE"""),1376)</f>
        <v>1376</v>
      </c>
      <c r="B914" s="5" t="str">
        <f ca="1">IFERROR(__xludf.DUMMYFUNCTION("""COMPUTED_VALUE"""),"Яковенко")</f>
        <v>Яковенко</v>
      </c>
      <c r="C914" s="5" t="str">
        <f ca="1">IFERROR(__xludf.DUMMYFUNCTION("""COMPUTED_VALUE"""),"Виталий")</f>
        <v>Виталий</v>
      </c>
      <c r="D914" s="5" t="str">
        <f ca="1">IFERROR(__xludf.DUMMYFUNCTION("""COMPUTED_VALUE"""),"Андреевич")</f>
        <v>Андреевич</v>
      </c>
      <c r="E914" s="5" t="str">
        <f ca="1">IFERROR(__xludf.DUMMYFUNCTION("""COMPUTED_VALUE"""),"Команда №4306")</f>
        <v>Команда №4306</v>
      </c>
      <c r="F914" s="6" t="str">
        <f ca="1">IFERROR(__xludf.DUMMYFUNCTION("""COMPUTED_VALUE"""),"Создание автоматизированного штатива для создание фото 360")</f>
        <v>Создание автоматизированного штатива для создание фото 360</v>
      </c>
      <c r="G914" s="7">
        <f ca="1">IFERROR(__xludf.DUMMYFUNCTION("""COMPUTED_VALUE"""),40)</f>
        <v>40</v>
      </c>
    </row>
    <row r="915" spans="1:7" ht="26.4" x14ac:dyDescent="0.25">
      <c r="A915" s="5">
        <f ca="1">IFERROR(__xludf.DUMMYFUNCTION("""COMPUTED_VALUE"""),98)</f>
        <v>98</v>
      </c>
      <c r="B915" s="5" t="str">
        <f ca="1">IFERROR(__xludf.DUMMYFUNCTION("""COMPUTED_VALUE"""),"Бачурин")</f>
        <v>Бачурин</v>
      </c>
      <c r="C915" s="5" t="str">
        <f ca="1">IFERROR(__xludf.DUMMYFUNCTION("""COMPUTED_VALUE"""),"Вадим")</f>
        <v>Вадим</v>
      </c>
      <c r="D915" s="5" t="str">
        <f ca="1">IFERROR(__xludf.DUMMYFUNCTION("""COMPUTED_VALUE"""),"Евгеньевич")</f>
        <v>Евгеньевич</v>
      </c>
      <c r="E915" s="5" t="str">
        <f ca="1">IFERROR(__xludf.DUMMYFUNCTION("""COMPUTED_VALUE"""),"Команда №4308")</f>
        <v>Команда №4308</v>
      </c>
      <c r="F915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915" s="7">
        <f ca="1">IFERROR(__xludf.DUMMYFUNCTION("""COMPUTED_VALUE"""),65)</f>
        <v>65</v>
      </c>
    </row>
    <row r="916" spans="1:7" ht="26.4" x14ac:dyDescent="0.25">
      <c r="A916" s="5">
        <f ca="1">IFERROR(__xludf.DUMMYFUNCTION("""COMPUTED_VALUE"""),587)</f>
        <v>587</v>
      </c>
      <c r="B916" s="5" t="str">
        <f ca="1">IFERROR(__xludf.DUMMYFUNCTION("""COMPUTED_VALUE"""),"Коробов")</f>
        <v>Коробов</v>
      </c>
      <c r="C916" s="5" t="str">
        <f ca="1">IFERROR(__xludf.DUMMYFUNCTION("""COMPUTED_VALUE"""),"Павел")</f>
        <v>Павел</v>
      </c>
      <c r="D916" s="5" t="str">
        <f ca="1">IFERROR(__xludf.DUMMYFUNCTION("""COMPUTED_VALUE"""),"Кириллович")</f>
        <v>Кириллович</v>
      </c>
      <c r="E916" s="5" t="str">
        <f ca="1">IFERROR(__xludf.DUMMYFUNCTION("""COMPUTED_VALUE"""),"Команда №4308")</f>
        <v>Команда №4308</v>
      </c>
      <c r="F916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916" s="7">
        <f ca="1">IFERROR(__xludf.DUMMYFUNCTION("""COMPUTED_VALUE"""),65)</f>
        <v>65</v>
      </c>
    </row>
    <row r="917" spans="1:7" ht="26.4" x14ac:dyDescent="0.25">
      <c r="A917" s="5">
        <f ca="1">IFERROR(__xludf.DUMMYFUNCTION("""COMPUTED_VALUE"""),656)</f>
        <v>656</v>
      </c>
      <c r="B917" s="5" t="str">
        <f ca="1">IFERROR(__xludf.DUMMYFUNCTION("""COMPUTED_VALUE"""),"Лайша")</f>
        <v>Лайша</v>
      </c>
      <c r="C917" s="5" t="str">
        <f ca="1">IFERROR(__xludf.DUMMYFUNCTION("""COMPUTED_VALUE"""),"Александр")</f>
        <v>Александр</v>
      </c>
      <c r="D917" s="5" t="str">
        <f ca="1">IFERROR(__xludf.DUMMYFUNCTION("""COMPUTED_VALUE"""),"Дмитриевич")</f>
        <v>Дмитриевич</v>
      </c>
      <c r="E917" s="5" t="str">
        <f ca="1">IFERROR(__xludf.DUMMYFUNCTION("""COMPUTED_VALUE"""),"Команда №4308")</f>
        <v>Команда №4308</v>
      </c>
      <c r="F917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917" s="7">
        <f ca="1">IFERROR(__xludf.DUMMYFUNCTION("""COMPUTED_VALUE"""),65)</f>
        <v>65</v>
      </c>
    </row>
    <row r="918" spans="1:7" ht="26.4" x14ac:dyDescent="0.25">
      <c r="A918" s="5">
        <f ca="1">IFERROR(__xludf.DUMMYFUNCTION("""COMPUTED_VALUE"""),934)</f>
        <v>934</v>
      </c>
      <c r="B918" s="5" t="str">
        <f ca="1">IFERROR(__xludf.DUMMYFUNCTION("""COMPUTED_VALUE"""),"Плетт")</f>
        <v>Плетт</v>
      </c>
      <c r="C918" s="5" t="str">
        <f ca="1">IFERROR(__xludf.DUMMYFUNCTION("""COMPUTED_VALUE"""),"Евгений")</f>
        <v>Евгений</v>
      </c>
      <c r="D918" s="5" t="str">
        <f ca="1">IFERROR(__xludf.DUMMYFUNCTION("""COMPUTED_VALUE"""),"Николаевич")</f>
        <v>Николаевич</v>
      </c>
      <c r="E918" s="5" t="str">
        <f ca="1">IFERROR(__xludf.DUMMYFUNCTION("""COMPUTED_VALUE"""),"Команда №4308")</f>
        <v>Команда №4308</v>
      </c>
      <c r="F918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918" s="7">
        <f ca="1">IFERROR(__xludf.DUMMYFUNCTION("""COMPUTED_VALUE"""),65)</f>
        <v>65</v>
      </c>
    </row>
    <row r="919" spans="1:7" ht="26.4" x14ac:dyDescent="0.25">
      <c r="A919" s="5">
        <f ca="1">IFERROR(__xludf.DUMMYFUNCTION("""COMPUTED_VALUE"""),1186)</f>
        <v>1186</v>
      </c>
      <c r="B919" s="5" t="str">
        <f ca="1">IFERROR(__xludf.DUMMYFUNCTION("""COMPUTED_VALUE"""),"Тюлюбаев")</f>
        <v>Тюлюбаев</v>
      </c>
      <c r="C919" s="5" t="str">
        <f ca="1">IFERROR(__xludf.DUMMYFUNCTION("""COMPUTED_VALUE"""),"Арстан")</f>
        <v>Арстан</v>
      </c>
      <c r="D919" s="5" t="str">
        <f ca="1">IFERROR(__xludf.DUMMYFUNCTION("""COMPUTED_VALUE"""),"Амиргалиевич")</f>
        <v>Амиргалиевич</v>
      </c>
      <c r="E919" s="5" t="str">
        <f ca="1">IFERROR(__xludf.DUMMYFUNCTION("""COMPUTED_VALUE"""),"Команда №4308")</f>
        <v>Команда №4308</v>
      </c>
      <c r="F919" s="6" t="str">
        <f ca="1">IFERROR(__xludf.DUMMYFUNCTION("""COMPUTED_VALUE"""),"Создание игры ""Тренажер эмоциональной неуязвимости""")</f>
        <v>Создание игры "Тренажер эмоциональной неуязвимости"</v>
      </c>
      <c r="G919" s="7">
        <f ca="1">IFERROR(__xludf.DUMMYFUNCTION("""COMPUTED_VALUE"""),65)</f>
        <v>65</v>
      </c>
    </row>
    <row r="920" spans="1:7" ht="39.6" x14ac:dyDescent="0.25">
      <c r="A920" s="5">
        <f ca="1">IFERROR(__xludf.DUMMYFUNCTION("""COMPUTED_VALUE"""),1097)</f>
        <v>1097</v>
      </c>
      <c r="B920" s="5" t="str">
        <f ca="1">IFERROR(__xludf.DUMMYFUNCTION("""COMPUTED_VALUE"""),"Соколова")</f>
        <v>Соколова</v>
      </c>
      <c r="C920" s="5" t="str">
        <f ca="1">IFERROR(__xludf.DUMMYFUNCTION("""COMPUTED_VALUE"""),"Валерия")</f>
        <v>Валерия</v>
      </c>
      <c r="D920" s="5" t="str">
        <f ca="1">IFERROR(__xludf.DUMMYFUNCTION("""COMPUTED_VALUE"""),"Юльевна")</f>
        <v>Юльевна</v>
      </c>
      <c r="E920" s="5" t="str">
        <f ca="1">IFERROR(__xludf.DUMMYFUNCTION("""COMPUTED_VALUE"""),"Команда №4310")</f>
        <v>Команда №4310</v>
      </c>
      <c r="F920" s="6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G920" s="7">
        <f ca="1">IFERROR(__xludf.DUMMYFUNCTION("""COMPUTED_VALUE"""),90)</f>
        <v>90</v>
      </c>
    </row>
    <row r="921" spans="1:7" ht="39.6" x14ac:dyDescent="0.25">
      <c r="A921" s="5">
        <f ca="1">IFERROR(__xludf.DUMMYFUNCTION("""COMPUTED_VALUE"""),848)</f>
        <v>848</v>
      </c>
      <c r="B921" s="5" t="str">
        <f ca="1">IFERROR(__xludf.DUMMYFUNCTION("""COMPUTED_VALUE"""),"Николаев")</f>
        <v>Николаев</v>
      </c>
      <c r="C921" s="5" t="str">
        <f ca="1">IFERROR(__xludf.DUMMYFUNCTION("""COMPUTED_VALUE"""),"Илья")</f>
        <v>Илья</v>
      </c>
      <c r="D921" s="5" t="str">
        <f ca="1">IFERROR(__xludf.DUMMYFUNCTION("""COMPUTED_VALUE"""),"Александрович")</f>
        <v>Александрович</v>
      </c>
      <c r="E921" s="5" t="str">
        <f ca="1">IFERROR(__xludf.DUMMYFUNCTION("""COMPUTED_VALUE"""),"Команда №4314")</f>
        <v>Команда №4314</v>
      </c>
      <c r="F921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21" s="7">
        <f ca="1">IFERROR(__xludf.DUMMYFUNCTION("""COMPUTED_VALUE"""),0)</f>
        <v>0</v>
      </c>
    </row>
    <row r="922" spans="1:7" ht="39.6" x14ac:dyDescent="0.25">
      <c r="A922" s="5">
        <f ca="1">IFERROR(__xludf.DUMMYFUNCTION("""COMPUTED_VALUE"""),198)</f>
        <v>198</v>
      </c>
      <c r="B922" s="5" t="str">
        <f ca="1">IFERROR(__xludf.DUMMYFUNCTION("""COMPUTED_VALUE"""),"Вильданов")</f>
        <v>Вильданов</v>
      </c>
      <c r="C922" s="5" t="str">
        <f ca="1">IFERROR(__xludf.DUMMYFUNCTION("""COMPUTED_VALUE"""),"Артём")</f>
        <v>Артём</v>
      </c>
      <c r="D922" s="5" t="str">
        <f ca="1">IFERROR(__xludf.DUMMYFUNCTION("""COMPUTED_VALUE"""),"Алексеевич")</f>
        <v>Алексеевич</v>
      </c>
      <c r="E922" s="5" t="str">
        <f ca="1">IFERROR(__xludf.DUMMYFUNCTION("""COMPUTED_VALUE"""),"Команда №4323")</f>
        <v>Команда №4323</v>
      </c>
      <c r="F922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922" s="7">
        <f ca="1">IFERROR(__xludf.DUMMYFUNCTION("""COMPUTED_VALUE"""),45)</f>
        <v>45</v>
      </c>
    </row>
    <row r="923" spans="1:7" ht="39.6" x14ac:dyDescent="0.25">
      <c r="A923" s="5">
        <f ca="1">IFERROR(__xludf.DUMMYFUNCTION("""COMPUTED_VALUE"""),701)</f>
        <v>701</v>
      </c>
      <c r="B923" s="5" t="str">
        <f ca="1">IFERROR(__xludf.DUMMYFUNCTION("""COMPUTED_VALUE"""),"Ляшева")</f>
        <v>Ляшева</v>
      </c>
      <c r="C923" s="5" t="str">
        <f ca="1">IFERROR(__xludf.DUMMYFUNCTION("""COMPUTED_VALUE"""),"Юлия")</f>
        <v>Юлия</v>
      </c>
      <c r="D923" s="5" t="str">
        <f ca="1">IFERROR(__xludf.DUMMYFUNCTION("""COMPUTED_VALUE"""),"Евгеньевна")</f>
        <v>Евгеньевна</v>
      </c>
      <c r="E923" s="5" t="str">
        <f ca="1">IFERROR(__xludf.DUMMYFUNCTION("""COMPUTED_VALUE"""),"Команда №4323")</f>
        <v>Команда №4323</v>
      </c>
      <c r="F923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923" s="7">
        <f ca="1">IFERROR(__xludf.DUMMYFUNCTION("""COMPUTED_VALUE"""),45)</f>
        <v>45</v>
      </c>
    </row>
    <row r="924" spans="1:7" ht="39.6" x14ac:dyDescent="0.25">
      <c r="A924" s="5">
        <f ca="1">IFERROR(__xludf.DUMMYFUNCTION("""COMPUTED_VALUE"""),1047)</f>
        <v>1047</v>
      </c>
      <c r="B924" s="5" t="str">
        <f ca="1">IFERROR(__xludf.DUMMYFUNCTION("""COMPUTED_VALUE"""),"Севастьянов")</f>
        <v>Севастьянов</v>
      </c>
      <c r="C924" s="5" t="str">
        <f ca="1">IFERROR(__xludf.DUMMYFUNCTION("""COMPUTED_VALUE"""),"Дмитрий")</f>
        <v>Дмитрий</v>
      </c>
      <c r="D924" s="5" t="str">
        <f ca="1">IFERROR(__xludf.DUMMYFUNCTION("""COMPUTED_VALUE"""),"Павлович")</f>
        <v>Павлович</v>
      </c>
      <c r="E924" s="5" t="str">
        <f ca="1">IFERROR(__xludf.DUMMYFUNCTION("""COMPUTED_VALUE"""),"Команда №4323")</f>
        <v>Команда №4323</v>
      </c>
      <c r="F924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924" s="7">
        <f ca="1">IFERROR(__xludf.DUMMYFUNCTION("""COMPUTED_VALUE"""),45)</f>
        <v>45</v>
      </c>
    </row>
    <row r="925" spans="1:7" ht="13.2" x14ac:dyDescent="0.25">
      <c r="A925" s="5">
        <f ca="1">IFERROR(__xludf.DUMMYFUNCTION("""COMPUTED_VALUE"""),554)</f>
        <v>554</v>
      </c>
      <c r="B925" s="5" t="str">
        <f ca="1">IFERROR(__xludf.DUMMYFUNCTION("""COMPUTED_VALUE"""),"Коломейцев")</f>
        <v>Коломейцев</v>
      </c>
      <c r="C925" s="5" t="str">
        <f ca="1">IFERROR(__xludf.DUMMYFUNCTION("""COMPUTED_VALUE"""),"Михаил")</f>
        <v>Михаил</v>
      </c>
      <c r="D925" s="5" t="str">
        <f ca="1">IFERROR(__xludf.DUMMYFUNCTION("""COMPUTED_VALUE"""),"Вячеславович")</f>
        <v>Вячеславович</v>
      </c>
      <c r="E925" s="5" t="str">
        <f ca="1">IFERROR(__xludf.DUMMYFUNCTION("""COMPUTED_VALUE"""),"Команда №4327")</f>
        <v>Команда №4327</v>
      </c>
      <c r="F925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925" s="7">
        <f ca="1">IFERROR(__xludf.DUMMYFUNCTION("""COMPUTED_VALUE"""),80)</f>
        <v>80</v>
      </c>
    </row>
    <row r="926" spans="1:7" ht="13.2" x14ac:dyDescent="0.25">
      <c r="A926" s="5">
        <f ca="1">IFERROR(__xludf.DUMMYFUNCTION("""COMPUTED_VALUE"""),560)</f>
        <v>560</v>
      </c>
      <c r="B926" s="5" t="str">
        <f ca="1">IFERROR(__xludf.DUMMYFUNCTION("""COMPUTED_VALUE"""),"Колчин")</f>
        <v>Колчин</v>
      </c>
      <c r="C926" s="5" t="str">
        <f ca="1">IFERROR(__xludf.DUMMYFUNCTION("""COMPUTED_VALUE"""),"Никита")</f>
        <v>Никита</v>
      </c>
      <c r="D926" s="5" t="str">
        <f ca="1">IFERROR(__xludf.DUMMYFUNCTION("""COMPUTED_VALUE"""),"Евгеньевич")</f>
        <v>Евгеньевич</v>
      </c>
      <c r="E926" s="5" t="str">
        <f ca="1">IFERROR(__xludf.DUMMYFUNCTION("""COMPUTED_VALUE"""),"Команда №4327")</f>
        <v>Команда №4327</v>
      </c>
      <c r="F926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926" s="7">
        <f ca="1">IFERROR(__xludf.DUMMYFUNCTION("""COMPUTED_VALUE"""),80)</f>
        <v>80</v>
      </c>
    </row>
    <row r="927" spans="1:7" ht="13.2" x14ac:dyDescent="0.25">
      <c r="A927" s="5">
        <f ca="1">IFERROR(__xludf.DUMMYFUNCTION("""COMPUTED_VALUE"""),1014)</f>
        <v>1014</v>
      </c>
      <c r="B927" s="5" t="str">
        <f ca="1">IFERROR(__xludf.DUMMYFUNCTION("""COMPUTED_VALUE"""),"Рясин")</f>
        <v>Рясин</v>
      </c>
      <c r="C927" s="5" t="str">
        <f ca="1">IFERROR(__xludf.DUMMYFUNCTION("""COMPUTED_VALUE"""),"Степан")</f>
        <v>Степан</v>
      </c>
      <c r="D927" s="5" t="str">
        <f ca="1">IFERROR(__xludf.DUMMYFUNCTION("""COMPUTED_VALUE"""),"Михайлович")</f>
        <v>Михайлович</v>
      </c>
      <c r="E927" s="5" t="str">
        <f ca="1">IFERROR(__xludf.DUMMYFUNCTION("""COMPUTED_VALUE"""),"Команда №4327")</f>
        <v>Команда №4327</v>
      </c>
      <c r="F927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927" s="7">
        <f ca="1">IFERROR(__xludf.DUMMYFUNCTION("""COMPUTED_VALUE"""),80)</f>
        <v>80</v>
      </c>
    </row>
    <row r="928" spans="1:7" ht="13.2" x14ac:dyDescent="0.25">
      <c r="A928" s="5">
        <f ca="1">IFERROR(__xludf.DUMMYFUNCTION("""COMPUTED_VALUE"""),1079)</f>
        <v>1079</v>
      </c>
      <c r="B928" s="5" t="str">
        <f ca="1">IFERROR(__xludf.DUMMYFUNCTION("""COMPUTED_VALUE"""),"Слобода")</f>
        <v>Слобода</v>
      </c>
      <c r="C928" s="5" t="str">
        <f ca="1">IFERROR(__xludf.DUMMYFUNCTION("""COMPUTED_VALUE"""),"Кирилл")</f>
        <v>Кирилл</v>
      </c>
      <c r="D928" s="5" t="str">
        <f ca="1">IFERROR(__xludf.DUMMYFUNCTION("""COMPUTED_VALUE"""),"Владимирович")</f>
        <v>Владимирович</v>
      </c>
      <c r="E928" s="5" t="str">
        <f ca="1">IFERROR(__xludf.DUMMYFUNCTION("""COMPUTED_VALUE"""),"Команда №4327")</f>
        <v>Команда №4327</v>
      </c>
      <c r="F928" s="6" t="str">
        <f ca="1">IFERROR(__xludf.DUMMYFUNCTION("""COMPUTED_VALUE"""),"Разработка образовательного веб-сервиса")</f>
        <v>Разработка образовательного веб-сервиса</v>
      </c>
      <c r="G928" s="7">
        <f ca="1">IFERROR(__xludf.DUMMYFUNCTION("""COMPUTED_VALUE"""),80)</f>
        <v>80</v>
      </c>
    </row>
    <row r="929" spans="1:7" ht="39.6" x14ac:dyDescent="0.25">
      <c r="A929" s="5">
        <f ca="1">IFERROR(__xludf.DUMMYFUNCTION("""COMPUTED_VALUE"""),33)</f>
        <v>33</v>
      </c>
      <c r="B929" s="5" t="str">
        <f ca="1">IFERROR(__xludf.DUMMYFUNCTION("""COMPUTED_VALUE"""),"Аминов")</f>
        <v>Аминов</v>
      </c>
      <c r="C929" s="5" t="str">
        <f ca="1">IFERROR(__xludf.DUMMYFUNCTION("""COMPUTED_VALUE"""),"Хикматуллох")</f>
        <v>Хикматуллох</v>
      </c>
      <c r="D929" s="5" t="str">
        <f ca="1">IFERROR(__xludf.DUMMYFUNCTION("""COMPUTED_VALUE"""),"Лоикович")</f>
        <v>Лоикович</v>
      </c>
      <c r="E929" s="5" t="str">
        <f ca="1">IFERROR(__xludf.DUMMYFUNCTION("""COMPUTED_VALUE"""),"Команда №4336")</f>
        <v>Команда №4336</v>
      </c>
      <c r="F929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929" s="7">
        <f ca="1">IFERROR(__xludf.DUMMYFUNCTION("""COMPUTED_VALUE"""),70)</f>
        <v>70</v>
      </c>
    </row>
    <row r="930" spans="1:7" ht="39.6" x14ac:dyDescent="0.25">
      <c r="A930" s="5">
        <f ca="1">IFERROR(__xludf.DUMMYFUNCTION("""COMPUTED_VALUE"""),167)</f>
        <v>167</v>
      </c>
      <c r="B930" s="5" t="str">
        <f ca="1">IFERROR(__xludf.DUMMYFUNCTION("""COMPUTED_VALUE"""),"Быстрицкий")</f>
        <v>Быстрицкий</v>
      </c>
      <c r="C930" s="5" t="str">
        <f ca="1">IFERROR(__xludf.DUMMYFUNCTION("""COMPUTED_VALUE"""),"Никита")</f>
        <v>Никита</v>
      </c>
      <c r="D930" s="5" t="str">
        <f ca="1">IFERROR(__xludf.DUMMYFUNCTION("""COMPUTED_VALUE"""),"Александрович")</f>
        <v>Александрович</v>
      </c>
      <c r="E930" s="5" t="str">
        <f ca="1">IFERROR(__xludf.DUMMYFUNCTION("""COMPUTED_VALUE"""),"Команда №4336")</f>
        <v>Команда №4336</v>
      </c>
      <c r="F930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930" s="7">
        <f ca="1">IFERROR(__xludf.DUMMYFUNCTION("""COMPUTED_VALUE"""),70)</f>
        <v>70</v>
      </c>
    </row>
    <row r="931" spans="1:7" ht="39.6" x14ac:dyDescent="0.25">
      <c r="A931" s="5">
        <f ca="1">IFERROR(__xludf.DUMMYFUNCTION("""COMPUTED_VALUE"""),457)</f>
        <v>457</v>
      </c>
      <c r="B931" s="5" t="str">
        <f ca="1">IFERROR(__xludf.DUMMYFUNCTION("""COMPUTED_VALUE"""),"Иванов")</f>
        <v>Иванов</v>
      </c>
      <c r="C931" s="5" t="str">
        <f ca="1">IFERROR(__xludf.DUMMYFUNCTION("""COMPUTED_VALUE"""),"Владимир")</f>
        <v>Владимир</v>
      </c>
      <c r="D931" s="5" t="str">
        <f ca="1">IFERROR(__xludf.DUMMYFUNCTION("""COMPUTED_VALUE"""),"Сергеевич")</f>
        <v>Сергеевич</v>
      </c>
      <c r="E931" s="5" t="str">
        <f ca="1">IFERROR(__xludf.DUMMYFUNCTION("""COMPUTED_VALUE"""),"Команда №4336")</f>
        <v>Команда №4336</v>
      </c>
      <c r="F931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931" s="7">
        <f ca="1">IFERROR(__xludf.DUMMYFUNCTION("""COMPUTED_VALUE"""),70)</f>
        <v>70</v>
      </c>
    </row>
    <row r="932" spans="1:7" ht="39.6" x14ac:dyDescent="0.25">
      <c r="A932" s="5">
        <f ca="1">IFERROR(__xludf.DUMMYFUNCTION("""COMPUTED_VALUE"""),810)</f>
        <v>810</v>
      </c>
      <c r="B932" s="5" t="str">
        <f ca="1">IFERROR(__xludf.DUMMYFUNCTION("""COMPUTED_VALUE"""),"Нагибина")</f>
        <v>Нагибина</v>
      </c>
      <c r="C932" s="5" t="str">
        <f ca="1">IFERROR(__xludf.DUMMYFUNCTION("""COMPUTED_VALUE"""),"Ульяна")</f>
        <v>Ульяна</v>
      </c>
      <c r="D932" s="5" t="str">
        <f ca="1">IFERROR(__xludf.DUMMYFUNCTION("""COMPUTED_VALUE"""),"Вадимовна")</f>
        <v>Вадимовна</v>
      </c>
      <c r="E932" s="5" t="str">
        <f ca="1">IFERROR(__xludf.DUMMYFUNCTION("""COMPUTED_VALUE"""),"Команда №4336")</f>
        <v>Команда №4336</v>
      </c>
      <c r="F932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932" s="7">
        <f ca="1">IFERROR(__xludf.DUMMYFUNCTION("""COMPUTED_VALUE"""),70)</f>
        <v>70</v>
      </c>
    </row>
    <row r="933" spans="1:7" ht="39.6" x14ac:dyDescent="0.25">
      <c r="A933" s="5">
        <f ca="1">IFERROR(__xludf.DUMMYFUNCTION("""COMPUTED_VALUE"""),1150)</f>
        <v>1150</v>
      </c>
      <c r="B933" s="5" t="str">
        <f ca="1">IFERROR(__xludf.DUMMYFUNCTION("""COMPUTED_VALUE"""),"Терещенко")</f>
        <v>Терещенко</v>
      </c>
      <c r="C933" s="5" t="str">
        <f ca="1">IFERROR(__xludf.DUMMYFUNCTION("""COMPUTED_VALUE"""),"Владислав")</f>
        <v>Владислав</v>
      </c>
      <c r="D933" s="5" t="str">
        <f ca="1">IFERROR(__xludf.DUMMYFUNCTION("""COMPUTED_VALUE"""),"Павлович")</f>
        <v>Павлович</v>
      </c>
      <c r="E933" s="5" t="str">
        <f ca="1">IFERROR(__xludf.DUMMYFUNCTION("""COMPUTED_VALUE"""),"Команда №4336")</f>
        <v>Команда №4336</v>
      </c>
      <c r="F933" s="6" t="str">
        <f ca="1">IFERROR(__xludf.DUMMYFUNCTION("""COMPUTED_VALUE"""),"Разработка нового цифрового образовательного сервиса (ресурса) для повышения мотивации учащихся школы, уровня обученности")</f>
        <v>Разработка нового цифрового образовательного сервиса (ресурса) для повышения мотивации учащихся школы, уровня обученности</v>
      </c>
      <c r="G933" s="7">
        <f ca="1">IFERROR(__xludf.DUMMYFUNCTION("""COMPUTED_VALUE"""),70)</f>
        <v>70</v>
      </c>
    </row>
    <row r="934" spans="1:7" ht="26.4" x14ac:dyDescent="0.25">
      <c r="A934" s="5">
        <f ca="1">IFERROR(__xludf.DUMMYFUNCTION("""COMPUTED_VALUE"""),96)</f>
        <v>96</v>
      </c>
      <c r="B934" s="5" t="str">
        <f ca="1">IFERROR(__xludf.DUMMYFUNCTION("""COMPUTED_VALUE"""),"Батуев")</f>
        <v>Батуев</v>
      </c>
      <c r="C934" s="5" t="str">
        <f ca="1">IFERROR(__xludf.DUMMYFUNCTION("""COMPUTED_VALUE"""),"Макар")</f>
        <v>Макар</v>
      </c>
      <c r="D934" s="5" t="str">
        <f ca="1">IFERROR(__xludf.DUMMYFUNCTION("""COMPUTED_VALUE"""),"Андреевич")</f>
        <v>Андреевич</v>
      </c>
      <c r="E934" s="5" t="str">
        <f ca="1">IFERROR(__xludf.DUMMYFUNCTION("""COMPUTED_VALUE"""),"Команда №4337")</f>
        <v>Команда №4337</v>
      </c>
      <c r="F934" s="6" t="str">
        <f ca="1">IFERROR(__xludf.DUMMYFUNCTION("""COMPUTED_VALUE"""),"Создание механизма обработки данных по сотрудникам компании")</f>
        <v>Создание механизма обработки данных по сотрудникам компании</v>
      </c>
      <c r="G934" s="7">
        <f ca="1">IFERROR(__xludf.DUMMYFUNCTION("""COMPUTED_VALUE"""),92)</f>
        <v>92</v>
      </c>
    </row>
    <row r="935" spans="1:7" ht="26.4" x14ac:dyDescent="0.25">
      <c r="A935" s="5">
        <f ca="1">IFERROR(__xludf.DUMMYFUNCTION("""COMPUTED_VALUE"""),224)</f>
        <v>224</v>
      </c>
      <c r="B935" s="5" t="str">
        <f ca="1">IFERROR(__xludf.DUMMYFUNCTION("""COMPUTED_VALUE"""),"Ворстер")</f>
        <v>Ворстер</v>
      </c>
      <c r="C935" s="5" t="str">
        <f ca="1">IFERROR(__xludf.DUMMYFUNCTION("""COMPUTED_VALUE"""),"Артем")</f>
        <v>Артем</v>
      </c>
      <c r="D935" s="5" t="str">
        <f ca="1">IFERROR(__xludf.DUMMYFUNCTION("""COMPUTED_VALUE"""),"Антонович")</f>
        <v>Антонович</v>
      </c>
      <c r="E935" s="5" t="str">
        <f ca="1">IFERROR(__xludf.DUMMYFUNCTION("""COMPUTED_VALUE"""),"Команда №4337")</f>
        <v>Команда №4337</v>
      </c>
      <c r="F935" s="6" t="str">
        <f ca="1">IFERROR(__xludf.DUMMYFUNCTION("""COMPUTED_VALUE"""),"Создание механизма обработки данных по сотрудникам компании")</f>
        <v>Создание механизма обработки данных по сотрудникам компании</v>
      </c>
      <c r="G935" s="7">
        <f ca="1">IFERROR(__xludf.DUMMYFUNCTION("""COMPUTED_VALUE"""),92)</f>
        <v>92</v>
      </c>
    </row>
    <row r="936" spans="1:7" ht="26.4" x14ac:dyDescent="0.25">
      <c r="A936" s="5">
        <f ca="1">IFERROR(__xludf.DUMMYFUNCTION("""COMPUTED_VALUE"""),741)</f>
        <v>741</v>
      </c>
      <c r="B936" s="5" t="str">
        <f ca="1">IFERROR(__xludf.DUMMYFUNCTION("""COMPUTED_VALUE"""),"Мацулевич")</f>
        <v>Мацулевич</v>
      </c>
      <c r="C936" s="5" t="str">
        <f ca="1">IFERROR(__xludf.DUMMYFUNCTION("""COMPUTED_VALUE"""),"Максим")</f>
        <v>Максим</v>
      </c>
      <c r="D936" s="5" t="str">
        <f ca="1">IFERROR(__xludf.DUMMYFUNCTION("""COMPUTED_VALUE"""),"Алексеевич")</f>
        <v>Алексеевич</v>
      </c>
      <c r="E936" s="5" t="str">
        <f ca="1">IFERROR(__xludf.DUMMYFUNCTION("""COMPUTED_VALUE"""),"Команда №4337")</f>
        <v>Команда №4337</v>
      </c>
      <c r="F936" s="6" t="str">
        <f ca="1">IFERROR(__xludf.DUMMYFUNCTION("""COMPUTED_VALUE"""),"Создание механизма обработки данных по сотрудникам компании")</f>
        <v>Создание механизма обработки данных по сотрудникам компании</v>
      </c>
      <c r="G936" s="7">
        <f ca="1">IFERROR(__xludf.DUMMYFUNCTION("""COMPUTED_VALUE"""),92)</f>
        <v>92</v>
      </c>
    </row>
    <row r="937" spans="1:7" ht="26.4" x14ac:dyDescent="0.25">
      <c r="A937" s="5">
        <f ca="1">IFERROR(__xludf.DUMMYFUNCTION("""COMPUTED_VALUE"""),1056)</f>
        <v>1056</v>
      </c>
      <c r="B937" s="5" t="str">
        <f ca="1">IFERROR(__xludf.DUMMYFUNCTION("""COMPUTED_VALUE"""),"Сергиеня")</f>
        <v>Сергиеня</v>
      </c>
      <c r="C937" s="5" t="str">
        <f ca="1">IFERROR(__xludf.DUMMYFUNCTION("""COMPUTED_VALUE"""),"Анна")</f>
        <v>Анна</v>
      </c>
      <c r="D937" s="5" t="str">
        <f ca="1">IFERROR(__xludf.DUMMYFUNCTION("""COMPUTED_VALUE"""),"Александровна")</f>
        <v>Александровна</v>
      </c>
      <c r="E937" s="5" t="str">
        <f ca="1">IFERROR(__xludf.DUMMYFUNCTION("""COMPUTED_VALUE"""),"Команда №4337")</f>
        <v>Команда №4337</v>
      </c>
      <c r="F937" s="6" t="str">
        <f ca="1">IFERROR(__xludf.DUMMYFUNCTION("""COMPUTED_VALUE"""),"Создание механизма обработки данных по сотрудникам компании")</f>
        <v>Создание механизма обработки данных по сотрудникам компании</v>
      </c>
      <c r="G937" s="7">
        <f ca="1">IFERROR(__xludf.DUMMYFUNCTION("""COMPUTED_VALUE"""),92)</f>
        <v>92</v>
      </c>
    </row>
    <row r="938" spans="1:7" ht="26.4" x14ac:dyDescent="0.25">
      <c r="A938" s="5">
        <f ca="1">IFERROR(__xludf.DUMMYFUNCTION("""COMPUTED_VALUE"""),13)</f>
        <v>13</v>
      </c>
      <c r="B938" s="5" t="str">
        <f ca="1">IFERROR(__xludf.DUMMYFUNCTION("""COMPUTED_VALUE"""),"Абрамов")</f>
        <v>Абрамов</v>
      </c>
      <c r="C938" s="5" t="str">
        <f ca="1">IFERROR(__xludf.DUMMYFUNCTION("""COMPUTED_VALUE"""),"Кирилл")</f>
        <v>Кирилл</v>
      </c>
      <c r="D938" s="5" t="str">
        <f ca="1">IFERROR(__xludf.DUMMYFUNCTION("""COMPUTED_VALUE"""),"Сергеевич")</f>
        <v>Сергеевич</v>
      </c>
      <c r="E938" s="5" t="str">
        <f ca="1">IFERROR(__xludf.DUMMYFUNCTION("""COMPUTED_VALUE"""),"Команда №4343")</f>
        <v>Команда №4343</v>
      </c>
      <c r="F938" s="6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G938" s="7">
        <f ca="1">IFERROR(__xludf.DUMMYFUNCTION("""COMPUTED_VALUE"""),85)</f>
        <v>85</v>
      </c>
    </row>
    <row r="939" spans="1:7" ht="26.4" x14ac:dyDescent="0.25">
      <c r="A939" s="5">
        <f ca="1">IFERROR(__xludf.DUMMYFUNCTION("""COMPUTED_VALUE"""),301)</f>
        <v>301</v>
      </c>
      <c r="B939" s="5" t="str">
        <f ca="1">IFERROR(__xludf.DUMMYFUNCTION("""COMPUTED_VALUE"""),"Данькин")</f>
        <v>Данькин</v>
      </c>
      <c r="C939" s="5" t="str">
        <f ca="1">IFERROR(__xludf.DUMMYFUNCTION("""COMPUTED_VALUE"""),"Сергей")</f>
        <v>Сергей</v>
      </c>
      <c r="D939" s="5" t="str">
        <f ca="1">IFERROR(__xludf.DUMMYFUNCTION("""COMPUTED_VALUE"""),"Викторович")</f>
        <v>Викторович</v>
      </c>
      <c r="E939" s="5" t="str">
        <f ca="1">IFERROR(__xludf.DUMMYFUNCTION("""COMPUTED_VALUE"""),"Команда №4343")</f>
        <v>Команда №4343</v>
      </c>
      <c r="F939" s="6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G939" s="7">
        <f ca="1">IFERROR(__xludf.DUMMYFUNCTION("""COMPUTED_VALUE"""),85)</f>
        <v>85</v>
      </c>
    </row>
    <row r="940" spans="1:7" ht="26.4" x14ac:dyDescent="0.25">
      <c r="A940" s="5">
        <f ca="1">IFERROR(__xludf.DUMMYFUNCTION("""COMPUTED_VALUE"""),574)</f>
        <v>574</v>
      </c>
      <c r="B940" s="5" t="str">
        <f ca="1">IFERROR(__xludf.DUMMYFUNCTION("""COMPUTED_VALUE"""),"Конюшенко")</f>
        <v>Конюшенко</v>
      </c>
      <c r="C940" s="5" t="str">
        <f ca="1">IFERROR(__xludf.DUMMYFUNCTION("""COMPUTED_VALUE"""),"Дарья")</f>
        <v>Дарья</v>
      </c>
      <c r="D940" s="5" t="str">
        <f ca="1">IFERROR(__xludf.DUMMYFUNCTION("""COMPUTED_VALUE"""),"Сергеевна")</f>
        <v>Сергеевна</v>
      </c>
      <c r="E940" s="5" t="str">
        <f ca="1">IFERROR(__xludf.DUMMYFUNCTION("""COMPUTED_VALUE"""),"Команда №4343")</f>
        <v>Команда №4343</v>
      </c>
      <c r="F940" s="6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G940" s="7">
        <f ca="1">IFERROR(__xludf.DUMMYFUNCTION("""COMPUTED_VALUE"""),85)</f>
        <v>85</v>
      </c>
    </row>
    <row r="941" spans="1:7" ht="26.4" x14ac:dyDescent="0.25">
      <c r="A941" s="5">
        <f ca="1">IFERROR(__xludf.DUMMYFUNCTION("""COMPUTED_VALUE"""),1040)</f>
        <v>1040</v>
      </c>
      <c r="B941" s="5" t="str">
        <f ca="1">IFERROR(__xludf.DUMMYFUNCTION("""COMPUTED_VALUE"""),"Саулькина")</f>
        <v>Саулькина</v>
      </c>
      <c r="C941" s="5" t="str">
        <f ca="1">IFERROR(__xludf.DUMMYFUNCTION("""COMPUTED_VALUE"""),"Екатерина")</f>
        <v>Екатерина</v>
      </c>
      <c r="D941" s="5" t="str">
        <f ca="1">IFERROR(__xludf.DUMMYFUNCTION("""COMPUTED_VALUE"""),"Дмитриевна")</f>
        <v>Дмитриевна</v>
      </c>
      <c r="E941" s="5" t="str">
        <f ca="1">IFERROR(__xludf.DUMMYFUNCTION("""COMPUTED_VALUE"""),"Команда №4343")</f>
        <v>Команда №4343</v>
      </c>
      <c r="F941" s="6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G941" s="7">
        <f ca="1">IFERROR(__xludf.DUMMYFUNCTION("""COMPUTED_VALUE"""),85)</f>
        <v>85</v>
      </c>
    </row>
    <row r="942" spans="1:7" ht="39.6" x14ac:dyDescent="0.25">
      <c r="A942" s="5">
        <f ca="1">IFERROR(__xludf.DUMMYFUNCTION("""COMPUTED_VALUE"""),253)</f>
        <v>253</v>
      </c>
      <c r="B942" s="5" t="str">
        <f ca="1">IFERROR(__xludf.DUMMYFUNCTION("""COMPUTED_VALUE"""),"Гиренко")</f>
        <v>Гиренко</v>
      </c>
      <c r="C942" s="5" t="str">
        <f ca="1">IFERROR(__xludf.DUMMYFUNCTION("""COMPUTED_VALUE"""),"Захар")</f>
        <v>Захар</v>
      </c>
      <c r="D942" s="5" t="str">
        <f ca="1">IFERROR(__xludf.DUMMYFUNCTION("""COMPUTED_VALUE"""),"Денисович")</f>
        <v>Денисович</v>
      </c>
      <c r="E942" s="5" t="str">
        <f ca="1">IFERROR(__xludf.DUMMYFUNCTION("""COMPUTED_VALUE"""),"Команда №4362")</f>
        <v>Команда №4362</v>
      </c>
      <c r="F942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42" s="7">
        <f ca="1">IFERROR(__xludf.DUMMYFUNCTION("""COMPUTED_VALUE"""),95)</f>
        <v>95</v>
      </c>
    </row>
    <row r="943" spans="1:7" ht="39.6" x14ac:dyDescent="0.25">
      <c r="A943" s="5">
        <f ca="1">IFERROR(__xludf.DUMMYFUNCTION("""COMPUTED_VALUE"""),396)</f>
        <v>396</v>
      </c>
      <c r="B943" s="5" t="str">
        <f ca="1">IFERROR(__xludf.DUMMYFUNCTION("""COMPUTED_VALUE"""),"Журавлёв")</f>
        <v>Журавлёв</v>
      </c>
      <c r="C943" s="5" t="str">
        <f ca="1">IFERROR(__xludf.DUMMYFUNCTION("""COMPUTED_VALUE"""),"Данил")</f>
        <v>Данил</v>
      </c>
      <c r="D943" s="5" t="str">
        <f ca="1">IFERROR(__xludf.DUMMYFUNCTION("""COMPUTED_VALUE"""),"Алексеевич")</f>
        <v>Алексеевич</v>
      </c>
      <c r="E943" s="5" t="str">
        <f ca="1">IFERROR(__xludf.DUMMYFUNCTION("""COMPUTED_VALUE"""),"Команда №4362")</f>
        <v>Команда №4362</v>
      </c>
      <c r="F943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43" s="7">
        <f ca="1">IFERROR(__xludf.DUMMYFUNCTION("""COMPUTED_VALUE"""),95)</f>
        <v>95</v>
      </c>
    </row>
    <row r="944" spans="1:7" ht="39.6" x14ac:dyDescent="0.25">
      <c r="A944" s="5">
        <f ca="1">IFERROR(__xludf.DUMMYFUNCTION("""COMPUTED_VALUE"""),997)</f>
        <v>997</v>
      </c>
      <c r="B944" s="5" t="str">
        <f ca="1">IFERROR(__xludf.DUMMYFUNCTION("""COMPUTED_VALUE"""),"Ромащенко")</f>
        <v>Ромащенко</v>
      </c>
      <c r="C944" s="5" t="str">
        <f ca="1">IFERROR(__xludf.DUMMYFUNCTION("""COMPUTED_VALUE"""),"Владислав")</f>
        <v>Владислав</v>
      </c>
      <c r="D944" s="5" t="str">
        <f ca="1">IFERROR(__xludf.DUMMYFUNCTION("""COMPUTED_VALUE"""),"Андреевич")</f>
        <v>Андреевич</v>
      </c>
      <c r="E944" s="5" t="str">
        <f ca="1">IFERROR(__xludf.DUMMYFUNCTION("""COMPUTED_VALUE"""),"Команда №4362")</f>
        <v>Команда №4362</v>
      </c>
      <c r="F944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44" s="7">
        <f ca="1">IFERROR(__xludf.DUMMYFUNCTION("""COMPUTED_VALUE"""),95)</f>
        <v>95</v>
      </c>
    </row>
    <row r="945" spans="1:7" ht="39.6" x14ac:dyDescent="0.25">
      <c r="A945" s="5">
        <f ca="1">IFERROR(__xludf.DUMMYFUNCTION("""COMPUTED_VALUE"""),1265)</f>
        <v>1265</v>
      </c>
      <c r="B945" s="5" t="str">
        <f ca="1">IFERROR(__xludf.DUMMYFUNCTION("""COMPUTED_VALUE"""),"Царев")</f>
        <v>Царев</v>
      </c>
      <c r="C945" s="5" t="str">
        <f ca="1">IFERROR(__xludf.DUMMYFUNCTION("""COMPUTED_VALUE"""),"Глеб")</f>
        <v>Глеб</v>
      </c>
      <c r="D945" s="5" t="str">
        <f ca="1">IFERROR(__xludf.DUMMYFUNCTION("""COMPUTED_VALUE"""),"Андреевич")</f>
        <v>Андреевич</v>
      </c>
      <c r="E945" s="5" t="str">
        <f ca="1">IFERROR(__xludf.DUMMYFUNCTION("""COMPUTED_VALUE"""),"Команда №4362")</f>
        <v>Команда №4362</v>
      </c>
      <c r="F945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45" s="7">
        <f ca="1">IFERROR(__xludf.DUMMYFUNCTION("""COMPUTED_VALUE"""),95)</f>
        <v>95</v>
      </c>
    </row>
    <row r="946" spans="1:7" ht="39.6" x14ac:dyDescent="0.25">
      <c r="A946" s="5">
        <f ca="1">IFERROR(__xludf.DUMMYFUNCTION("""COMPUTED_VALUE"""),1332)</f>
        <v>1332</v>
      </c>
      <c r="B946" s="5" t="str">
        <f ca="1">IFERROR(__xludf.DUMMYFUNCTION("""COMPUTED_VALUE"""),"Широков")</f>
        <v>Широков</v>
      </c>
      <c r="C946" s="5" t="str">
        <f ca="1">IFERROR(__xludf.DUMMYFUNCTION("""COMPUTED_VALUE"""),"Глеб")</f>
        <v>Глеб</v>
      </c>
      <c r="D946" s="5" t="str">
        <f ca="1">IFERROR(__xludf.DUMMYFUNCTION("""COMPUTED_VALUE"""),"Игоревич")</f>
        <v>Игоревич</v>
      </c>
      <c r="E946" s="5" t="str">
        <f ca="1">IFERROR(__xludf.DUMMYFUNCTION("""COMPUTED_VALUE"""),"Команда №4362")</f>
        <v>Команда №4362</v>
      </c>
      <c r="F946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46" s="7">
        <f ca="1">IFERROR(__xludf.DUMMYFUNCTION("""COMPUTED_VALUE"""),95)</f>
        <v>95</v>
      </c>
    </row>
    <row r="947" spans="1:7" ht="39.6" x14ac:dyDescent="0.25">
      <c r="A947" s="5">
        <f ca="1">IFERROR(__xludf.DUMMYFUNCTION("""COMPUTED_VALUE"""),1382)</f>
        <v>1382</v>
      </c>
      <c r="B947" s="5" t="str">
        <f ca="1">IFERROR(__xludf.DUMMYFUNCTION("""COMPUTED_VALUE"""),"Ямбушев")</f>
        <v>Ямбушев</v>
      </c>
      <c r="C947" s="5" t="str">
        <f ca="1">IFERROR(__xludf.DUMMYFUNCTION("""COMPUTED_VALUE"""),"Артём")</f>
        <v>Артём</v>
      </c>
      <c r="D947" s="5" t="str">
        <f ca="1">IFERROR(__xludf.DUMMYFUNCTION("""COMPUTED_VALUE"""),"Дамирович")</f>
        <v>Дамирович</v>
      </c>
      <c r="E947" s="5" t="str">
        <f ca="1">IFERROR(__xludf.DUMMYFUNCTION("""COMPUTED_VALUE"""),"Команда №4362")</f>
        <v>Команда №4362</v>
      </c>
      <c r="F947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47" s="7">
        <f ca="1">IFERROR(__xludf.DUMMYFUNCTION("""COMPUTED_VALUE"""),95)</f>
        <v>95</v>
      </c>
    </row>
    <row r="948" spans="1:7" ht="13.2" x14ac:dyDescent="0.25">
      <c r="A948" s="5">
        <f ca="1">IFERROR(__xludf.DUMMYFUNCTION("""COMPUTED_VALUE"""),444)</f>
        <v>444</v>
      </c>
      <c r="B948" s="5" t="str">
        <f ca="1">IFERROR(__xludf.DUMMYFUNCTION("""COMPUTED_VALUE"""),"Зыков")</f>
        <v>Зыков</v>
      </c>
      <c r="C948" s="5" t="str">
        <f ca="1">IFERROR(__xludf.DUMMYFUNCTION("""COMPUTED_VALUE"""),"Роман")</f>
        <v>Роман</v>
      </c>
      <c r="D948" s="5" t="str">
        <f ca="1">IFERROR(__xludf.DUMMYFUNCTION("""COMPUTED_VALUE"""),"Константинович")</f>
        <v>Константинович</v>
      </c>
      <c r="E948" s="5" t="str">
        <f ca="1">IFERROR(__xludf.DUMMYFUNCTION("""COMPUTED_VALUE"""),"Команда №4363")</f>
        <v>Команда №4363</v>
      </c>
      <c r="F948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948" s="7">
        <f ca="1">IFERROR(__xludf.DUMMYFUNCTION("""COMPUTED_VALUE"""),85)</f>
        <v>85</v>
      </c>
    </row>
    <row r="949" spans="1:7" ht="13.2" x14ac:dyDescent="0.25">
      <c r="A949" s="5">
        <f ca="1">IFERROR(__xludf.DUMMYFUNCTION("""COMPUTED_VALUE"""),710)</f>
        <v>710</v>
      </c>
      <c r="B949" s="5" t="str">
        <f ca="1">IFERROR(__xludf.DUMMYFUNCTION("""COMPUTED_VALUE"""),"Макаров")</f>
        <v>Макаров</v>
      </c>
      <c r="C949" s="5" t="str">
        <f ca="1">IFERROR(__xludf.DUMMYFUNCTION("""COMPUTED_VALUE"""),"Максим")</f>
        <v>Максим</v>
      </c>
      <c r="D949" s="5" t="str">
        <f ca="1">IFERROR(__xludf.DUMMYFUNCTION("""COMPUTED_VALUE"""),"Александрович")</f>
        <v>Александрович</v>
      </c>
      <c r="E949" s="5" t="str">
        <f ca="1">IFERROR(__xludf.DUMMYFUNCTION("""COMPUTED_VALUE"""),"Команда №4363")</f>
        <v>Команда №4363</v>
      </c>
      <c r="F949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949" s="7">
        <f ca="1">IFERROR(__xludf.DUMMYFUNCTION("""COMPUTED_VALUE"""),85)</f>
        <v>85</v>
      </c>
    </row>
    <row r="950" spans="1:7" ht="13.2" x14ac:dyDescent="0.25">
      <c r="A950" s="5">
        <f ca="1">IFERROR(__xludf.DUMMYFUNCTION("""COMPUTED_VALUE"""),1001)</f>
        <v>1001</v>
      </c>
      <c r="B950" s="5" t="str">
        <f ca="1">IFERROR(__xludf.DUMMYFUNCTION("""COMPUTED_VALUE"""),"Рубцова")</f>
        <v>Рубцова</v>
      </c>
      <c r="C950" s="5" t="str">
        <f ca="1">IFERROR(__xludf.DUMMYFUNCTION("""COMPUTED_VALUE"""),"Диана")</f>
        <v>Диана</v>
      </c>
      <c r="D950" s="5" t="str">
        <f ca="1">IFERROR(__xludf.DUMMYFUNCTION("""COMPUTED_VALUE"""),"Дмитриевна")</f>
        <v>Дмитриевна</v>
      </c>
      <c r="E950" s="5" t="str">
        <f ca="1">IFERROR(__xludf.DUMMYFUNCTION("""COMPUTED_VALUE"""),"Команда №4363")</f>
        <v>Команда №4363</v>
      </c>
      <c r="F950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950" s="7">
        <f ca="1">IFERROR(__xludf.DUMMYFUNCTION("""COMPUTED_VALUE"""),85)</f>
        <v>85</v>
      </c>
    </row>
    <row r="951" spans="1:7" ht="13.2" x14ac:dyDescent="0.25">
      <c r="A951" s="5">
        <f ca="1">IFERROR(__xludf.DUMMYFUNCTION("""COMPUTED_VALUE"""),1216)</f>
        <v>1216</v>
      </c>
      <c r="B951" s="5" t="str">
        <f ca="1">IFERROR(__xludf.DUMMYFUNCTION("""COMPUTED_VALUE"""),"Федянина")</f>
        <v>Федянина</v>
      </c>
      <c r="C951" s="5" t="str">
        <f ca="1">IFERROR(__xludf.DUMMYFUNCTION("""COMPUTED_VALUE"""),"Алена")</f>
        <v>Алена</v>
      </c>
      <c r="D951" s="5" t="str">
        <f ca="1">IFERROR(__xludf.DUMMYFUNCTION("""COMPUTED_VALUE"""),"Викторовна")</f>
        <v>Викторовна</v>
      </c>
      <c r="E951" s="5" t="str">
        <f ca="1">IFERROR(__xludf.DUMMYFUNCTION("""COMPUTED_VALUE"""),"Команда №4363")</f>
        <v>Команда №4363</v>
      </c>
      <c r="F951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951" s="7">
        <f ca="1">IFERROR(__xludf.DUMMYFUNCTION("""COMPUTED_VALUE"""),85)</f>
        <v>85</v>
      </c>
    </row>
    <row r="952" spans="1:7" ht="13.2" x14ac:dyDescent="0.25">
      <c r="A952" s="5">
        <f ca="1">IFERROR(__xludf.DUMMYFUNCTION("""COMPUTED_VALUE"""),1241)</f>
        <v>1241</v>
      </c>
      <c r="B952" s="5" t="str">
        <f ca="1">IFERROR(__xludf.DUMMYFUNCTION("""COMPUTED_VALUE"""),"Хамоян")</f>
        <v>Хамоян</v>
      </c>
      <c r="C952" s="5" t="str">
        <f ca="1">IFERROR(__xludf.DUMMYFUNCTION("""COMPUTED_VALUE"""),"Максим")</f>
        <v>Максим</v>
      </c>
      <c r="D952" s="5" t="str">
        <f ca="1">IFERROR(__xludf.DUMMYFUNCTION("""COMPUTED_VALUE"""),"Ираклиевич")</f>
        <v>Ираклиевич</v>
      </c>
      <c r="E952" s="5" t="str">
        <f ca="1">IFERROR(__xludf.DUMMYFUNCTION("""COMPUTED_VALUE"""),"Команда №4363")</f>
        <v>Команда №4363</v>
      </c>
      <c r="F952" s="6" t="str">
        <f ca="1">IFERROR(__xludf.DUMMYFUNCTION("""COMPUTED_VALUE"""),"Создание 3D лабораторных по электродинамике")</f>
        <v>Создание 3D лабораторных по электродинамике</v>
      </c>
      <c r="G952" s="7">
        <f ca="1">IFERROR(__xludf.DUMMYFUNCTION("""COMPUTED_VALUE"""),85)</f>
        <v>85</v>
      </c>
    </row>
    <row r="953" spans="1:7" ht="13.2" x14ac:dyDescent="0.25">
      <c r="A953" s="5">
        <f ca="1">IFERROR(__xludf.DUMMYFUNCTION("""COMPUTED_VALUE"""),502)</f>
        <v>502</v>
      </c>
      <c r="B953" s="5" t="str">
        <f ca="1">IFERROR(__xludf.DUMMYFUNCTION("""COMPUTED_VALUE"""),"Качусов")</f>
        <v>Качусов</v>
      </c>
      <c r="C953" s="5" t="str">
        <f ca="1">IFERROR(__xludf.DUMMYFUNCTION("""COMPUTED_VALUE"""),"Михаил")</f>
        <v>Михаил</v>
      </c>
      <c r="D953" s="5" t="str">
        <f ca="1">IFERROR(__xludf.DUMMYFUNCTION("""COMPUTED_VALUE"""),"Михайлович")</f>
        <v>Михайлович</v>
      </c>
      <c r="E953" s="5" t="str">
        <f ca="1">IFERROR(__xludf.DUMMYFUNCTION("""COMPUTED_VALUE"""),"Команда №4368")</f>
        <v>Команда №4368</v>
      </c>
      <c r="F953" s="6" t="str">
        <f ca="1">IFERROR(__xludf.DUMMYFUNCTION("""COMPUTED_VALUE"""),"Разработка аналога сервиса ArGIN")</f>
        <v>Разработка аналога сервиса ArGIN</v>
      </c>
      <c r="G953" s="7">
        <f ca="1">IFERROR(__xludf.DUMMYFUNCTION("""COMPUTED_VALUE"""),0)</f>
        <v>0</v>
      </c>
    </row>
    <row r="954" spans="1:7" ht="13.2" x14ac:dyDescent="0.25">
      <c r="A954" s="5">
        <f ca="1">IFERROR(__xludf.DUMMYFUNCTION("""COMPUTED_VALUE"""),528)</f>
        <v>528</v>
      </c>
      <c r="B954" s="5" t="str">
        <f ca="1">IFERROR(__xludf.DUMMYFUNCTION("""COMPUTED_VALUE"""),"Князев")</f>
        <v>Князев</v>
      </c>
      <c r="C954" s="5" t="str">
        <f ca="1">IFERROR(__xludf.DUMMYFUNCTION("""COMPUTED_VALUE"""),"Роман")</f>
        <v>Роман</v>
      </c>
      <c r="D954" s="5" t="str">
        <f ca="1">IFERROR(__xludf.DUMMYFUNCTION("""COMPUTED_VALUE"""),"Иванович")</f>
        <v>Иванович</v>
      </c>
      <c r="E954" s="5" t="str">
        <f ca="1">IFERROR(__xludf.DUMMYFUNCTION("""COMPUTED_VALUE"""),"Команда №4368")</f>
        <v>Команда №4368</v>
      </c>
      <c r="F954" s="6" t="str">
        <f ca="1">IFERROR(__xludf.DUMMYFUNCTION("""COMPUTED_VALUE"""),"Разработка аналога сервиса ArGIN")</f>
        <v>Разработка аналога сервиса ArGIN</v>
      </c>
      <c r="G954" s="7">
        <f ca="1">IFERROR(__xludf.DUMMYFUNCTION("""COMPUTED_VALUE"""),0)</f>
        <v>0</v>
      </c>
    </row>
    <row r="955" spans="1:7" ht="13.2" x14ac:dyDescent="0.25">
      <c r="A955" s="5">
        <f ca="1">IFERROR(__xludf.DUMMYFUNCTION("""COMPUTED_VALUE"""),909)</f>
        <v>909</v>
      </c>
      <c r="B955" s="5" t="str">
        <f ca="1">IFERROR(__xludf.DUMMYFUNCTION("""COMPUTED_VALUE"""),"Пащенко")</f>
        <v>Пащенко</v>
      </c>
      <c r="C955" s="5" t="str">
        <f ca="1">IFERROR(__xludf.DUMMYFUNCTION("""COMPUTED_VALUE"""),"Никита")</f>
        <v>Никита</v>
      </c>
      <c r="D955" s="5" t="str">
        <f ca="1">IFERROR(__xludf.DUMMYFUNCTION("""COMPUTED_VALUE"""),"Алексеевич")</f>
        <v>Алексеевич</v>
      </c>
      <c r="E955" s="5" t="str">
        <f ca="1">IFERROR(__xludf.DUMMYFUNCTION("""COMPUTED_VALUE"""),"Команда №4368")</f>
        <v>Команда №4368</v>
      </c>
      <c r="F955" s="6" t="str">
        <f ca="1">IFERROR(__xludf.DUMMYFUNCTION("""COMPUTED_VALUE"""),"Разработка аналога сервиса ArGIN")</f>
        <v>Разработка аналога сервиса ArGIN</v>
      </c>
      <c r="G955" s="7">
        <f ca="1">IFERROR(__xludf.DUMMYFUNCTION("""COMPUTED_VALUE"""),0)</f>
        <v>0</v>
      </c>
    </row>
    <row r="956" spans="1:7" ht="13.2" x14ac:dyDescent="0.25">
      <c r="A956" s="5">
        <f ca="1">IFERROR(__xludf.DUMMYFUNCTION("""COMPUTED_VALUE"""),1144)</f>
        <v>1144</v>
      </c>
      <c r="B956" s="5" t="str">
        <f ca="1">IFERROR(__xludf.DUMMYFUNCTION("""COMPUTED_VALUE"""),"Тарбаев")</f>
        <v>Тарбаев</v>
      </c>
      <c r="C956" s="5" t="str">
        <f ca="1">IFERROR(__xludf.DUMMYFUNCTION("""COMPUTED_VALUE"""),"Андрей")</f>
        <v>Андрей</v>
      </c>
      <c r="D956" s="5" t="str">
        <f ca="1">IFERROR(__xludf.DUMMYFUNCTION("""COMPUTED_VALUE"""),"Алексеевич")</f>
        <v>Алексеевич</v>
      </c>
      <c r="E956" s="5" t="str">
        <f ca="1">IFERROR(__xludf.DUMMYFUNCTION("""COMPUTED_VALUE"""),"Команда №4368")</f>
        <v>Команда №4368</v>
      </c>
      <c r="F956" s="6" t="str">
        <f ca="1">IFERROR(__xludf.DUMMYFUNCTION("""COMPUTED_VALUE"""),"Разработка аналога сервиса ArGIN")</f>
        <v>Разработка аналога сервиса ArGIN</v>
      </c>
      <c r="G956" s="7">
        <f ca="1">IFERROR(__xludf.DUMMYFUNCTION("""COMPUTED_VALUE"""),0)</f>
        <v>0</v>
      </c>
    </row>
    <row r="957" spans="1:7" ht="13.2" x14ac:dyDescent="0.25">
      <c r="A957" s="5">
        <f ca="1">IFERROR(__xludf.DUMMYFUNCTION("""COMPUTED_VALUE"""),1317)</f>
        <v>1317</v>
      </c>
      <c r="B957" s="5" t="str">
        <f ca="1">IFERROR(__xludf.DUMMYFUNCTION("""COMPUTED_VALUE"""),"Шардыко")</f>
        <v>Шардыко</v>
      </c>
      <c r="C957" s="5" t="str">
        <f ca="1">IFERROR(__xludf.DUMMYFUNCTION("""COMPUTED_VALUE"""),"Федор")</f>
        <v>Федор</v>
      </c>
      <c r="D957" s="5" t="str">
        <f ca="1">IFERROR(__xludf.DUMMYFUNCTION("""COMPUTED_VALUE"""),"Владимирович")</f>
        <v>Владимирович</v>
      </c>
      <c r="E957" s="5" t="str">
        <f ca="1">IFERROR(__xludf.DUMMYFUNCTION("""COMPUTED_VALUE"""),"Команда №4368")</f>
        <v>Команда №4368</v>
      </c>
      <c r="F957" s="6" t="str">
        <f ca="1">IFERROR(__xludf.DUMMYFUNCTION("""COMPUTED_VALUE"""),"Разработка аналога сервиса ArGIN")</f>
        <v>Разработка аналога сервиса ArGIN</v>
      </c>
      <c r="G957" s="7">
        <f ca="1">IFERROR(__xludf.DUMMYFUNCTION("""COMPUTED_VALUE"""),0)</f>
        <v>0</v>
      </c>
    </row>
    <row r="958" spans="1:7" ht="39.6" x14ac:dyDescent="0.25">
      <c r="A958" s="5">
        <f ca="1">IFERROR(__xludf.DUMMYFUNCTION("""COMPUTED_VALUE"""),814)</f>
        <v>814</v>
      </c>
      <c r="B958" s="5" t="str">
        <f ca="1">IFERROR(__xludf.DUMMYFUNCTION("""COMPUTED_VALUE"""),"Назаров")</f>
        <v>Назаров</v>
      </c>
      <c r="C958" s="5" t="str">
        <f ca="1">IFERROR(__xludf.DUMMYFUNCTION("""COMPUTED_VALUE"""),"Максим")</f>
        <v>Максим</v>
      </c>
      <c r="D958" s="5" t="str">
        <f ca="1">IFERROR(__xludf.DUMMYFUNCTION("""COMPUTED_VALUE"""),"Игоревич")</f>
        <v>Игоревич</v>
      </c>
      <c r="E958" s="5" t="str">
        <f ca="1">IFERROR(__xludf.DUMMYFUNCTION("""COMPUTED_VALUE"""),"Команда №4371")</f>
        <v>Команда №4371</v>
      </c>
      <c r="F958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58" s="7">
        <f ca="1">IFERROR(__xludf.DUMMYFUNCTION("""COMPUTED_VALUE"""),90)</f>
        <v>90</v>
      </c>
    </row>
    <row r="959" spans="1:7" ht="39.6" x14ac:dyDescent="0.25">
      <c r="A959" s="5">
        <f ca="1">IFERROR(__xludf.DUMMYFUNCTION("""COMPUTED_VALUE"""),1340)</f>
        <v>1340</v>
      </c>
      <c r="B959" s="5" t="str">
        <f ca="1">IFERROR(__xludf.DUMMYFUNCTION("""COMPUTED_VALUE"""),"Шлыков")</f>
        <v>Шлыков</v>
      </c>
      <c r="C959" s="5" t="str">
        <f ca="1">IFERROR(__xludf.DUMMYFUNCTION("""COMPUTED_VALUE"""),"Алексей")</f>
        <v>Алексей</v>
      </c>
      <c r="D959" s="5" t="str">
        <f ca="1">IFERROR(__xludf.DUMMYFUNCTION("""COMPUTED_VALUE"""),"Игоревич")</f>
        <v>Игоревич</v>
      </c>
      <c r="E959" s="5" t="str">
        <f ca="1">IFERROR(__xludf.DUMMYFUNCTION("""COMPUTED_VALUE"""),"Команда №4371")</f>
        <v>Команда №4371</v>
      </c>
      <c r="F959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959" s="7">
        <f ca="1">IFERROR(__xludf.DUMMYFUNCTION("""COMPUTED_VALUE"""),90)</f>
        <v>90</v>
      </c>
    </row>
    <row r="960" spans="1:7" ht="26.4" x14ac:dyDescent="0.25">
      <c r="A960" s="5">
        <f ca="1">IFERROR(__xludf.DUMMYFUNCTION("""COMPUTED_VALUE"""),126)</f>
        <v>126</v>
      </c>
      <c r="B960" s="5" t="str">
        <f ca="1">IFERROR(__xludf.DUMMYFUNCTION("""COMPUTED_VALUE"""),"Бирюкова")</f>
        <v>Бирюкова</v>
      </c>
      <c r="C960" s="5" t="str">
        <f ca="1">IFERROR(__xludf.DUMMYFUNCTION("""COMPUTED_VALUE"""),"Александра")</f>
        <v>Александра</v>
      </c>
      <c r="D960" s="5" t="str">
        <f ca="1">IFERROR(__xludf.DUMMYFUNCTION("""COMPUTED_VALUE"""),"Вячеславовна")</f>
        <v>Вячеславовна</v>
      </c>
      <c r="E960" s="5" t="str">
        <f ca="1">IFERROR(__xludf.DUMMYFUNCTION("""COMPUTED_VALUE"""),"Команда №4372")</f>
        <v>Команда №4372</v>
      </c>
      <c r="F960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960" s="7">
        <f ca="1">IFERROR(__xludf.DUMMYFUNCTION("""COMPUTED_VALUE"""),99)</f>
        <v>99</v>
      </c>
    </row>
    <row r="961" spans="1:7" ht="26.4" x14ac:dyDescent="0.25">
      <c r="A961" s="5">
        <f ca="1">IFERROR(__xludf.DUMMYFUNCTION("""COMPUTED_VALUE"""),203)</f>
        <v>203</v>
      </c>
      <c r="B961" s="5" t="str">
        <f ca="1">IFERROR(__xludf.DUMMYFUNCTION("""COMPUTED_VALUE"""),"Виханова")</f>
        <v>Виханова</v>
      </c>
      <c r="C961" s="5" t="str">
        <f ca="1">IFERROR(__xludf.DUMMYFUNCTION("""COMPUTED_VALUE"""),"Марина")</f>
        <v>Марина</v>
      </c>
      <c r="D961" s="5" t="str">
        <f ca="1">IFERROR(__xludf.DUMMYFUNCTION("""COMPUTED_VALUE"""),"Дмитриевна")</f>
        <v>Дмитриевна</v>
      </c>
      <c r="E961" s="5" t="str">
        <f ca="1">IFERROR(__xludf.DUMMYFUNCTION("""COMPUTED_VALUE"""),"Команда №4372")</f>
        <v>Команда №4372</v>
      </c>
      <c r="F961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961" s="7">
        <f ca="1">IFERROR(__xludf.DUMMYFUNCTION("""COMPUTED_VALUE"""),99)</f>
        <v>99</v>
      </c>
    </row>
    <row r="962" spans="1:7" ht="26.4" x14ac:dyDescent="0.25">
      <c r="A962" s="5">
        <f ca="1">IFERROR(__xludf.DUMMYFUNCTION("""COMPUTED_VALUE"""),765)</f>
        <v>765</v>
      </c>
      <c r="B962" s="5" t="str">
        <f ca="1">IFERROR(__xludf.DUMMYFUNCTION("""COMPUTED_VALUE"""),"Мироненко")</f>
        <v>Мироненко</v>
      </c>
      <c r="C962" s="5" t="str">
        <f ca="1">IFERROR(__xludf.DUMMYFUNCTION("""COMPUTED_VALUE"""),"Виктория")</f>
        <v>Виктория</v>
      </c>
      <c r="D962" s="5" t="str">
        <f ca="1">IFERROR(__xludf.DUMMYFUNCTION("""COMPUTED_VALUE"""),"Дмитриевна")</f>
        <v>Дмитриевна</v>
      </c>
      <c r="E962" s="5" t="str">
        <f ca="1">IFERROR(__xludf.DUMMYFUNCTION("""COMPUTED_VALUE"""),"Команда №4372")</f>
        <v>Команда №4372</v>
      </c>
      <c r="F962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962" s="7">
        <f ca="1">IFERROR(__xludf.DUMMYFUNCTION("""COMPUTED_VALUE"""),99)</f>
        <v>99</v>
      </c>
    </row>
    <row r="963" spans="1:7" ht="26.4" x14ac:dyDescent="0.25">
      <c r="A963" s="5">
        <f ca="1">IFERROR(__xludf.DUMMYFUNCTION("""COMPUTED_VALUE"""),970)</f>
        <v>970</v>
      </c>
      <c r="B963" s="5" t="str">
        <f ca="1">IFERROR(__xludf.DUMMYFUNCTION("""COMPUTED_VALUE"""),"Пряничникова")</f>
        <v>Пряничникова</v>
      </c>
      <c r="C963" s="5" t="str">
        <f ca="1">IFERROR(__xludf.DUMMYFUNCTION("""COMPUTED_VALUE"""),"Мария")</f>
        <v>Мария</v>
      </c>
      <c r="D963" s="5" t="str">
        <f ca="1">IFERROR(__xludf.DUMMYFUNCTION("""COMPUTED_VALUE"""),"Павловна")</f>
        <v>Павловна</v>
      </c>
      <c r="E963" s="5" t="str">
        <f ca="1">IFERROR(__xludf.DUMMYFUNCTION("""COMPUTED_VALUE"""),"Команда №4372")</f>
        <v>Команда №4372</v>
      </c>
      <c r="F963" s="6" t="str">
        <f ca="1">IFERROR(__xludf.DUMMYFUNCTION("""COMPUTED_VALUE"""),"Разработка приложения, позволяющего анализировать голос и речь человека")</f>
        <v>Разработка приложения, позволяющего анализировать голос и речь человека</v>
      </c>
      <c r="G963" s="7">
        <f ca="1">IFERROR(__xludf.DUMMYFUNCTION("""COMPUTED_VALUE"""),99)</f>
        <v>99</v>
      </c>
    </row>
    <row r="964" spans="1:7" ht="39.6" x14ac:dyDescent="0.25">
      <c r="A964" s="5">
        <f ca="1">IFERROR(__xludf.DUMMYFUNCTION("""COMPUTED_VALUE"""),83)</f>
        <v>83</v>
      </c>
      <c r="B964" s="5" t="str">
        <f ca="1">IFERROR(__xludf.DUMMYFUNCTION("""COMPUTED_VALUE"""),"Бакилин")</f>
        <v>Бакилин</v>
      </c>
      <c r="C964" s="5" t="str">
        <f ca="1">IFERROR(__xludf.DUMMYFUNCTION("""COMPUTED_VALUE"""),"Михаил")</f>
        <v>Михаил</v>
      </c>
      <c r="D964" s="5" t="str">
        <f ca="1">IFERROR(__xludf.DUMMYFUNCTION("""COMPUTED_VALUE"""),"Андреевич")</f>
        <v>Андреевич</v>
      </c>
      <c r="E964" s="5" t="str">
        <f ca="1">IFERROR(__xludf.DUMMYFUNCTION("""COMPUTED_VALUE"""),"Команда №4373")</f>
        <v>Команда №4373</v>
      </c>
      <c r="F964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964" s="7">
        <f ca="1">IFERROR(__xludf.DUMMYFUNCTION("""COMPUTED_VALUE"""),85)</f>
        <v>85</v>
      </c>
    </row>
    <row r="965" spans="1:7" ht="39.6" x14ac:dyDescent="0.25">
      <c r="A965" s="5">
        <f ca="1">IFERROR(__xludf.DUMMYFUNCTION("""COMPUTED_VALUE"""),576)</f>
        <v>576</v>
      </c>
      <c r="B965" s="5" t="str">
        <f ca="1">IFERROR(__xludf.DUMMYFUNCTION("""COMPUTED_VALUE"""),"Коперкин")</f>
        <v>Коперкин</v>
      </c>
      <c r="C965" s="5" t="str">
        <f ca="1">IFERROR(__xludf.DUMMYFUNCTION("""COMPUTED_VALUE"""),"Владислав")</f>
        <v>Владислав</v>
      </c>
      <c r="D965" s="5" t="str">
        <f ca="1">IFERROR(__xludf.DUMMYFUNCTION("""COMPUTED_VALUE"""),"Александрович")</f>
        <v>Александрович</v>
      </c>
      <c r="E965" s="5" t="str">
        <f ca="1">IFERROR(__xludf.DUMMYFUNCTION("""COMPUTED_VALUE"""),"Команда №4373")</f>
        <v>Команда №4373</v>
      </c>
      <c r="F965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965" s="7">
        <f ca="1">IFERROR(__xludf.DUMMYFUNCTION("""COMPUTED_VALUE"""),85)</f>
        <v>85</v>
      </c>
    </row>
    <row r="966" spans="1:7" ht="39.6" x14ac:dyDescent="0.25">
      <c r="A966" s="5">
        <f ca="1">IFERROR(__xludf.DUMMYFUNCTION("""COMPUTED_VALUE"""),596)</f>
        <v>596</v>
      </c>
      <c r="B966" s="5" t="str">
        <f ca="1">IFERROR(__xludf.DUMMYFUNCTION("""COMPUTED_VALUE"""),"Котельников")</f>
        <v>Котельников</v>
      </c>
      <c r="C966" s="5" t="str">
        <f ca="1">IFERROR(__xludf.DUMMYFUNCTION("""COMPUTED_VALUE"""),"Владислав")</f>
        <v>Владислав</v>
      </c>
      <c r="D966" s="5" t="str">
        <f ca="1">IFERROR(__xludf.DUMMYFUNCTION("""COMPUTED_VALUE"""),"Константинович")</f>
        <v>Константинович</v>
      </c>
      <c r="E966" s="5" t="str">
        <f ca="1">IFERROR(__xludf.DUMMYFUNCTION("""COMPUTED_VALUE"""),"Команда №4373")</f>
        <v>Команда №4373</v>
      </c>
      <c r="F966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966" s="7">
        <f ca="1">IFERROR(__xludf.DUMMYFUNCTION("""COMPUTED_VALUE"""),85)</f>
        <v>85</v>
      </c>
    </row>
    <row r="967" spans="1:7" ht="39.6" x14ac:dyDescent="0.25">
      <c r="A967" s="5">
        <f ca="1">IFERROR(__xludf.DUMMYFUNCTION("""COMPUTED_VALUE"""),1112)</f>
        <v>1112</v>
      </c>
      <c r="B967" s="5" t="str">
        <f ca="1">IFERROR(__xludf.DUMMYFUNCTION("""COMPUTED_VALUE"""),"Софьин")</f>
        <v>Софьин</v>
      </c>
      <c r="C967" s="5" t="str">
        <f ca="1">IFERROR(__xludf.DUMMYFUNCTION("""COMPUTED_VALUE"""),"Артем")</f>
        <v>Артем</v>
      </c>
      <c r="D967" s="5" t="str">
        <f ca="1">IFERROR(__xludf.DUMMYFUNCTION("""COMPUTED_VALUE"""),"Владимирович")</f>
        <v>Владимирович</v>
      </c>
      <c r="E967" s="5" t="str">
        <f ca="1">IFERROR(__xludf.DUMMYFUNCTION("""COMPUTED_VALUE"""),"Команда №4373")</f>
        <v>Команда №4373</v>
      </c>
      <c r="F967" s="6" t="str">
        <f ca="1">IFERROR(__xludf.DUMMYFUNCTION("""COMPUTED_VALUE"""),"Разработка приложения, позволяющего анализировать изображения злокачественных новообразований")</f>
        <v>Разработка приложения, позволяющего анализировать изображения злокачественных новообразований</v>
      </c>
      <c r="G967" s="7">
        <f ca="1">IFERROR(__xludf.DUMMYFUNCTION("""COMPUTED_VALUE"""),85)</f>
        <v>85</v>
      </c>
    </row>
    <row r="968" spans="1:7" ht="39.6" x14ac:dyDescent="0.25">
      <c r="A968" s="5">
        <f ca="1">IFERROR(__xludf.DUMMYFUNCTION("""COMPUTED_VALUE"""),93)</f>
        <v>93</v>
      </c>
      <c r="B968" s="5" t="str">
        <f ca="1">IFERROR(__xludf.DUMMYFUNCTION("""COMPUTED_VALUE"""),"Басманов")</f>
        <v>Басманов</v>
      </c>
      <c r="C968" s="5" t="str">
        <f ca="1">IFERROR(__xludf.DUMMYFUNCTION("""COMPUTED_VALUE"""),"Никита")</f>
        <v>Никита</v>
      </c>
      <c r="D968" s="5" t="str">
        <f ca="1">IFERROR(__xludf.DUMMYFUNCTION("""COMPUTED_VALUE"""),"Александрович")</f>
        <v>Александрович</v>
      </c>
      <c r="E968" s="5" t="str">
        <f ca="1">IFERROR(__xludf.DUMMYFUNCTION("""COMPUTED_VALUE"""),"Команда №4377")</f>
        <v>Команда №4377</v>
      </c>
      <c r="F968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68" s="7">
        <f ca="1">IFERROR(__xludf.DUMMYFUNCTION("""COMPUTED_VALUE"""),84)</f>
        <v>84</v>
      </c>
    </row>
    <row r="969" spans="1:7" ht="39.6" x14ac:dyDescent="0.25">
      <c r="A969" s="5">
        <f ca="1">IFERROR(__xludf.DUMMYFUNCTION("""COMPUTED_VALUE"""),315)</f>
        <v>315</v>
      </c>
      <c r="B969" s="5" t="str">
        <f ca="1">IFERROR(__xludf.DUMMYFUNCTION("""COMPUTED_VALUE"""),"Деревнин")</f>
        <v>Деревнин</v>
      </c>
      <c r="C969" s="5" t="str">
        <f ca="1">IFERROR(__xludf.DUMMYFUNCTION("""COMPUTED_VALUE"""),"Данил")</f>
        <v>Данил</v>
      </c>
      <c r="D969" s="5" t="str">
        <f ca="1">IFERROR(__xludf.DUMMYFUNCTION("""COMPUTED_VALUE"""),"Александрович")</f>
        <v>Александрович</v>
      </c>
      <c r="E969" s="5" t="str">
        <f ca="1">IFERROR(__xludf.DUMMYFUNCTION("""COMPUTED_VALUE"""),"Команда №4377")</f>
        <v>Команда №4377</v>
      </c>
      <c r="F969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69" s="7">
        <f ca="1">IFERROR(__xludf.DUMMYFUNCTION("""COMPUTED_VALUE"""),84)</f>
        <v>84</v>
      </c>
    </row>
    <row r="970" spans="1:7" ht="39.6" x14ac:dyDescent="0.25">
      <c r="A970" s="5">
        <f ca="1">IFERROR(__xludf.DUMMYFUNCTION("""COMPUTED_VALUE"""),1371)</f>
        <v>1371</v>
      </c>
      <c r="B970" s="5" t="str">
        <f ca="1">IFERROR(__xludf.DUMMYFUNCTION("""COMPUTED_VALUE"""),"Юсим")</f>
        <v>Юсим</v>
      </c>
      <c r="C970" s="5" t="str">
        <f ca="1">IFERROR(__xludf.DUMMYFUNCTION("""COMPUTED_VALUE"""),"Евгений")</f>
        <v>Евгений</v>
      </c>
      <c r="D970" s="5" t="str">
        <f ca="1">IFERROR(__xludf.DUMMYFUNCTION("""COMPUTED_VALUE"""),"Павлович")</f>
        <v>Павлович</v>
      </c>
      <c r="E970" s="5" t="str">
        <f ca="1">IFERROR(__xludf.DUMMYFUNCTION("""COMPUTED_VALUE"""),"Команда №4377")</f>
        <v>Команда №4377</v>
      </c>
      <c r="F970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70" s="7">
        <f ca="1">IFERROR(__xludf.DUMMYFUNCTION("""COMPUTED_VALUE"""),84)</f>
        <v>84</v>
      </c>
    </row>
    <row r="971" spans="1:7" ht="13.2" x14ac:dyDescent="0.25">
      <c r="A971" s="5">
        <f ca="1">IFERROR(__xludf.DUMMYFUNCTION("""COMPUTED_VALUE"""),230)</f>
        <v>230</v>
      </c>
      <c r="B971" s="5" t="str">
        <f ca="1">IFERROR(__xludf.DUMMYFUNCTION("""COMPUTED_VALUE"""),"Вяцков")</f>
        <v>Вяцков</v>
      </c>
      <c r="C971" s="5" t="str">
        <f ca="1">IFERROR(__xludf.DUMMYFUNCTION("""COMPUTED_VALUE"""),"Семен")</f>
        <v>Семен</v>
      </c>
      <c r="D971" s="5" t="str">
        <f ca="1">IFERROR(__xludf.DUMMYFUNCTION("""COMPUTED_VALUE"""),"Валерьевич")</f>
        <v>Валерьевич</v>
      </c>
      <c r="E971" s="5" t="str">
        <f ca="1">IFERROR(__xludf.DUMMYFUNCTION("""COMPUTED_VALUE"""),"Команда №4380")</f>
        <v>Команда №4380</v>
      </c>
      <c r="F971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971" s="7">
        <f ca="1">IFERROR(__xludf.DUMMYFUNCTION("""COMPUTED_VALUE"""),88)</f>
        <v>88</v>
      </c>
    </row>
    <row r="972" spans="1:7" ht="13.2" x14ac:dyDescent="0.25">
      <c r="A972" s="5">
        <f ca="1">IFERROR(__xludf.DUMMYFUNCTION("""COMPUTED_VALUE"""),330)</f>
        <v>330</v>
      </c>
      <c r="B972" s="5" t="str">
        <f ca="1">IFERROR(__xludf.DUMMYFUNCTION("""COMPUTED_VALUE"""),"Долгов")</f>
        <v>Долгов</v>
      </c>
      <c r="C972" s="5" t="str">
        <f ca="1">IFERROR(__xludf.DUMMYFUNCTION("""COMPUTED_VALUE"""),"Михаил")</f>
        <v>Михаил</v>
      </c>
      <c r="D972" s="5" t="str">
        <f ca="1">IFERROR(__xludf.DUMMYFUNCTION("""COMPUTED_VALUE"""),"Иванович")</f>
        <v>Иванович</v>
      </c>
      <c r="E972" s="5" t="str">
        <f ca="1">IFERROR(__xludf.DUMMYFUNCTION("""COMPUTED_VALUE"""),"Команда №4380")</f>
        <v>Команда №4380</v>
      </c>
      <c r="F972" s="6" t="str">
        <f ca="1">IFERROR(__xludf.DUMMYFUNCTION("""COMPUTED_VALUE"""),"Создание библиотеки для глубокого обучения")</f>
        <v>Создание библиотеки для глубокого обучения</v>
      </c>
      <c r="G972" s="7">
        <f ca="1">IFERROR(__xludf.DUMMYFUNCTION("""COMPUTED_VALUE"""),88)</f>
        <v>88</v>
      </c>
    </row>
    <row r="973" spans="1:7" ht="39.6" x14ac:dyDescent="0.25">
      <c r="A973" s="5">
        <f ca="1">IFERROR(__xludf.DUMMYFUNCTION("""COMPUTED_VALUE"""),298)</f>
        <v>298</v>
      </c>
      <c r="B973" s="5" t="str">
        <f ca="1">IFERROR(__xludf.DUMMYFUNCTION("""COMPUTED_VALUE"""),"Гущина")</f>
        <v>Гущина</v>
      </c>
      <c r="C973" s="5" t="str">
        <f ca="1">IFERROR(__xludf.DUMMYFUNCTION("""COMPUTED_VALUE"""),"Юлия")</f>
        <v>Юлия</v>
      </c>
      <c r="D973" s="5" t="str">
        <f ca="1">IFERROR(__xludf.DUMMYFUNCTION("""COMPUTED_VALUE"""),"Александровна")</f>
        <v>Александровна</v>
      </c>
      <c r="E973" s="5" t="str">
        <f ca="1">IFERROR(__xludf.DUMMYFUNCTION("""COMPUTED_VALUE"""),"Команда №4383")</f>
        <v>Команда №4383</v>
      </c>
      <c r="F973" s="6" t="str">
        <f ca="1">IFERROR(__xludf.DUMMYFUNCTION("""COMPUTED_VALUE"""),"Создание системы визуального контроля и мониторинга оборудования «Умного месторождения»")</f>
        <v>Создание системы визуального контроля и мониторинга оборудования «Умного месторождения»</v>
      </c>
      <c r="G973" s="7">
        <f ca="1">IFERROR(__xludf.DUMMYFUNCTION("""COMPUTED_VALUE"""),60)</f>
        <v>60</v>
      </c>
    </row>
    <row r="974" spans="1:7" ht="39.6" x14ac:dyDescent="0.25">
      <c r="A974" s="5">
        <f ca="1">IFERROR(__xludf.DUMMYFUNCTION("""COMPUTED_VALUE"""),780)</f>
        <v>780</v>
      </c>
      <c r="B974" s="5" t="str">
        <f ca="1">IFERROR(__xludf.DUMMYFUNCTION("""COMPUTED_VALUE"""),"Молчанов")</f>
        <v>Молчанов</v>
      </c>
      <c r="C974" s="5" t="str">
        <f ca="1">IFERROR(__xludf.DUMMYFUNCTION("""COMPUTED_VALUE"""),"Тимофей")</f>
        <v>Тимофей</v>
      </c>
      <c r="D974" s="5" t="str">
        <f ca="1">IFERROR(__xludf.DUMMYFUNCTION("""COMPUTED_VALUE"""),"Семенович")</f>
        <v>Семенович</v>
      </c>
      <c r="E974" s="5" t="str">
        <f ca="1">IFERROR(__xludf.DUMMYFUNCTION("""COMPUTED_VALUE"""),"Команда №4383")</f>
        <v>Команда №4383</v>
      </c>
      <c r="F974" s="6" t="str">
        <f ca="1">IFERROR(__xludf.DUMMYFUNCTION("""COMPUTED_VALUE"""),"Создание системы визуального контроля и мониторинга оборудования «Умного месторождения»")</f>
        <v>Создание системы визуального контроля и мониторинга оборудования «Умного месторождения»</v>
      </c>
      <c r="G974" s="7">
        <f ca="1">IFERROR(__xludf.DUMMYFUNCTION("""COMPUTED_VALUE"""),60)</f>
        <v>60</v>
      </c>
    </row>
    <row r="975" spans="1:7" ht="39.6" x14ac:dyDescent="0.25">
      <c r="A975" s="5">
        <f ca="1">IFERROR(__xludf.DUMMYFUNCTION("""COMPUTED_VALUE"""),1161)</f>
        <v>1161</v>
      </c>
      <c r="B975" s="5" t="str">
        <f ca="1">IFERROR(__xludf.DUMMYFUNCTION("""COMPUTED_VALUE"""),"Токарев")</f>
        <v>Токарев</v>
      </c>
      <c r="C975" s="5" t="str">
        <f ca="1">IFERROR(__xludf.DUMMYFUNCTION("""COMPUTED_VALUE"""),"Александр")</f>
        <v>Александр</v>
      </c>
      <c r="D975" s="5" t="str">
        <f ca="1">IFERROR(__xludf.DUMMYFUNCTION("""COMPUTED_VALUE"""),"Александрович")</f>
        <v>Александрович</v>
      </c>
      <c r="E975" s="5" t="str">
        <f ca="1">IFERROR(__xludf.DUMMYFUNCTION("""COMPUTED_VALUE"""),"Команда №4383")</f>
        <v>Команда №4383</v>
      </c>
      <c r="F975" s="6" t="str">
        <f ca="1">IFERROR(__xludf.DUMMYFUNCTION("""COMPUTED_VALUE"""),"Создание системы визуального контроля и мониторинга оборудования «Умного месторождения»")</f>
        <v>Создание системы визуального контроля и мониторинга оборудования «Умного месторождения»</v>
      </c>
      <c r="G975" s="7">
        <f ca="1">IFERROR(__xludf.DUMMYFUNCTION("""COMPUTED_VALUE"""),60)</f>
        <v>60</v>
      </c>
    </row>
    <row r="976" spans="1:7" ht="26.4" x14ac:dyDescent="0.25">
      <c r="A976" s="5">
        <f ca="1">IFERROR(__xludf.DUMMYFUNCTION("""COMPUTED_VALUE"""),51)</f>
        <v>51</v>
      </c>
      <c r="B976" s="5" t="str">
        <f ca="1">IFERROR(__xludf.DUMMYFUNCTION("""COMPUTED_VALUE"""),"Апенков")</f>
        <v>Апенков</v>
      </c>
      <c r="C976" s="5" t="str">
        <f ca="1">IFERROR(__xludf.DUMMYFUNCTION("""COMPUTED_VALUE"""),"Егор")</f>
        <v>Егор</v>
      </c>
      <c r="D976" s="5" t="str">
        <f ca="1">IFERROR(__xludf.DUMMYFUNCTION("""COMPUTED_VALUE"""),"Максимович")</f>
        <v>Максимович</v>
      </c>
      <c r="E976" s="5" t="str">
        <f ca="1">IFERROR(__xludf.DUMMYFUNCTION("""COMPUTED_VALUE"""),"Команда №4392")</f>
        <v>Команда №4392</v>
      </c>
      <c r="F976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976" s="7">
        <f ca="1">IFERROR(__xludf.DUMMYFUNCTION("""COMPUTED_VALUE"""),100)</f>
        <v>100</v>
      </c>
    </row>
    <row r="977" spans="1:7" ht="26.4" x14ac:dyDescent="0.25">
      <c r="A977" s="5">
        <f ca="1">IFERROR(__xludf.DUMMYFUNCTION("""COMPUTED_VALUE"""),188)</f>
        <v>188</v>
      </c>
      <c r="B977" s="5" t="str">
        <f ca="1">IFERROR(__xludf.DUMMYFUNCTION("""COMPUTED_VALUE"""),"Вахрушев")</f>
        <v>Вахрушев</v>
      </c>
      <c r="C977" s="5" t="str">
        <f ca="1">IFERROR(__xludf.DUMMYFUNCTION("""COMPUTED_VALUE"""),"Артемий")</f>
        <v>Артемий</v>
      </c>
      <c r="D977" s="5" t="str">
        <f ca="1">IFERROR(__xludf.DUMMYFUNCTION("""COMPUTED_VALUE"""),"Александрович")</f>
        <v>Александрович</v>
      </c>
      <c r="E977" s="5" t="str">
        <f ca="1">IFERROR(__xludf.DUMMYFUNCTION("""COMPUTED_VALUE"""),"Команда №4392")</f>
        <v>Команда №4392</v>
      </c>
      <c r="F977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977" s="7">
        <f ca="1">IFERROR(__xludf.DUMMYFUNCTION("""COMPUTED_VALUE"""),100)</f>
        <v>100</v>
      </c>
    </row>
    <row r="978" spans="1:7" ht="26.4" x14ac:dyDescent="0.25">
      <c r="A978" s="5">
        <f ca="1">IFERROR(__xludf.DUMMYFUNCTION("""COMPUTED_VALUE"""),992)</f>
        <v>992</v>
      </c>
      <c r="B978" s="5" t="str">
        <f ca="1">IFERROR(__xludf.DUMMYFUNCTION("""COMPUTED_VALUE"""),"Рожков")</f>
        <v>Рожков</v>
      </c>
      <c r="C978" s="5" t="str">
        <f ca="1">IFERROR(__xludf.DUMMYFUNCTION("""COMPUTED_VALUE"""),"Сергей")</f>
        <v>Сергей</v>
      </c>
      <c r="D978" s="5" t="str">
        <f ca="1">IFERROR(__xludf.DUMMYFUNCTION("""COMPUTED_VALUE"""),"Васильевич")</f>
        <v>Васильевич</v>
      </c>
      <c r="E978" s="5" t="str">
        <f ca="1">IFERROR(__xludf.DUMMYFUNCTION("""COMPUTED_VALUE"""),"Команда №4392")</f>
        <v>Команда №4392</v>
      </c>
      <c r="F978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978" s="7">
        <f ca="1">IFERROR(__xludf.DUMMYFUNCTION("""COMPUTED_VALUE"""),100)</f>
        <v>100</v>
      </c>
    </row>
    <row r="979" spans="1:7" ht="26.4" x14ac:dyDescent="0.25">
      <c r="A979" s="5">
        <f ca="1">IFERROR(__xludf.DUMMYFUNCTION("""COMPUTED_VALUE"""),1068)</f>
        <v>1068</v>
      </c>
      <c r="B979" s="5" t="str">
        <f ca="1">IFERROR(__xludf.DUMMYFUNCTION("""COMPUTED_VALUE"""),"Синева")</f>
        <v>Синева</v>
      </c>
      <c r="C979" s="5" t="str">
        <f ca="1">IFERROR(__xludf.DUMMYFUNCTION("""COMPUTED_VALUE"""),"Елизавета")</f>
        <v>Елизавета</v>
      </c>
      <c r="D979" s="5" t="str">
        <f ca="1">IFERROR(__xludf.DUMMYFUNCTION("""COMPUTED_VALUE"""),"Владимировна")</f>
        <v>Владимировна</v>
      </c>
      <c r="E979" s="5" t="str">
        <f ca="1">IFERROR(__xludf.DUMMYFUNCTION("""COMPUTED_VALUE"""),"Команда №4392")</f>
        <v>Команда №4392</v>
      </c>
      <c r="F979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979" s="7">
        <f ca="1">IFERROR(__xludf.DUMMYFUNCTION("""COMPUTED_VALUE"""),100)</f>
        <v>100</v>
      </c>
    </row>
    <row r="980" spans="1:7" ht="26.4" x14ac:dyDescent="0.25">
      <c r="A980" s="5">
        <f ca="1">IFERROR(__xludf.DUMMYFUNCTION("""COMPUTED_VALUE"""),1297)</f>
        <v>1297</v>
      </c>
      <c r="B980" s="5" t="str">
        <f ca="1">IFERROR(__xludf.DUMMYFUNCTION("""COMPUTED_VALUE"""),"Чупшева")</f>
        <v>Чупшева</v>
      </c>
      <c r="C980" s="5" t="str">
        <f ca="1">IFERROR(__xludf.DUMMYFUNCTION("""COMPUTED_VALUE"""),"Анна")</f>
        <v>Анна</v>
      </c>
      <c r="D980" s="5" t="str">
        <f ca="1">IFERROR(__xludf.DUMMYFUNCTION("""COMPUTED_VALUE"""),"Романовна")</f>
        <v>Романовна</v>
      </c>
      <c r="E980" s="5" t="str">
        <f ca="1">IFERROR(__xludf.DUMMYFUNCTION("""COMPUTED_VALUE"""),"Команда №4392")</f>
        <v>Команда №4392</v>
      </c>
      <c r="F980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980" s="7">
        <f ca="1">IFERROR(__xludf.DUMMYFUNCTION("""COMPUTED_VALUE"""),100)</f>
        <v>100</v>
      </c>
    </row>
    <row r="981" spans="1:7" ht="26.4" x14ac:dyDescent="0.25">
      <c r="A981" s="5">
        <f ca="1">IFERROR(__xludf.DUMMYFUNCTION("""COMPUTED_VALUE"""),276)</f>
        <v>276</v>
      </c>
      <c r="B981" s="5" t="str">
        <f ca="1">IFERROR(__xludf.DUMMYFUNCTION("""COMPUTED_VALUE"""),"Горюнов")</f>
        <v>Горюнов</v>
      </c>
      <c r="C981" s="5" t="str">
        <f ca="1">IFERROR(__xludf.DUMMYFUNCTION("""COMPUTED_VALUE"""),"Данил")</f>
        <v>Данил</v>
      </c>
      <c r="D981" s="5" t="str">
        <f ca="1">IFERROR(__xludf.DUMMYFUNCTION("""COMPUTED_VALUE"""),"Александрович")</f>
        <v>Александрович</v>
      </c>
      <c r="E981" s="5" t="str">
        <f ca="1">IFERROR(__xludf.DUMMYFUNCTION("""COMPUTED_VALUE"""),"Команда №4393")</f>
        <v>Команда №4393</v>
      </c>
      <c r="F981" s="6" t="str">
        <f ca="1">IFERROR(__xludf.DUMMYFUNCTION("""COMPUTED_VALUE"""),"Подготовка данных для расчета резерва на залежалые остатки полуфабрикатов")</f>
        <v>Подготовка данных для расчета резерва на залежалые остатки полуфабрикатов</v>
      </c>
      <c r="G981" s="7">
        <f ca="1">IFERROR(__xludf.DUMMYFUNCTION("""COMPUTED_VALUE"""),0)</f>
        <v>0</v>
      </c>
    </row>
    <row r="982" spans="1:7" ht="26.4" x14ac:dyDescent="0.25">
      <c r="A982" s="5">
        <f ca="1">IFERROR(__xludf.DUMMYFUNCTION("""COMPUTED_VALUE"""),607)</f>
        <v>607</v>
      </c>
      <c r="B982" s="5" t="str">
        <f ca="1">IFERROR(__xludf.DUMMYFUNCTION("""COMPUTED_VALUE"""),"Краснов")</f>
        <v>Краснов</v>
      </c>
      <c r="C982" s="5" t="str">
        <f ca="1">IFERROR(__xludf.DUMMYFUNCTION("""COMPUTED_VALUE"""),"Ефим")</f>
        <v>Ефим</v>
      </c>
      <c r="D982" s="5" t="str">
        <f ca="1">IFERROR(__xludf.DUMMYFUNCTION("""COMPUTED_VALUE"""),"Вячеславович")</f>
        <v>Вячеславович</v>
      </c>
      <c r="E982" s="5" t="str">
        <f ca="1">IFERROR(__xludf.DUMMYFUNCTION("""COMPUTED_VALUE"""),"Команда №4393")</f>
        <v>Команда №4393</v>
      </c>
      <c r="F982" s="6" t="str">
        <f ca="1">IFERROR(__xludf.DUMMYFUNCTION("""COMPUTED_VALUE"""),"Подготовка данных для расчета резерва на залежалые остатки полуфабрикатов")</f>
        <v>Подготовка данных для расчета резерва на залежалые остатки полуфабрикатов</v>
      </c>
      <c r="G982" s="7">
        <f ca="1">IFERROR(__xludf.DUMMYFUNCTION("""COMPUTED_VALUE"""),0)</f>
        <v>0</v>
      </c>
    </row>
    <row r="983" spans="1:7" ht="26.4" x14ac:dyDescent="0.25">
      <c r="A983" s="5">
        <f ca="1">IFERROR(__xludf.DUMMYFUNCTION("""COMPUTED_VALUE"""),922)</f>
        <v>922</v>
      </c>
      <c r="B983" s="5" t="str">
        <f ca="1">IFERROR(__xludf.DUMMYFUNCTION("""COMPUTED_VALUE"""),"Пестов")</f>
        <v>Пестов</v>
      </c>
      <c r="C983" s="5" t="str">
        <f ca="1">IFERROR(__xludf.DUMMYFUNCTION("""COMPUTED_VALUE"""),"Георгий")</f>
        <v>Георгий</v>
      </c>
      <c r="D983" s="5" t="str">
        <f ca="1">IFERROR(__xludf.DUMMYFUNCTION("""COMPUTED_VALUE"""),"Вадимович")</f>
        <v>Вадимович</v>
      </c>
      <c r="E983" s="5" t="str">
        <f ca="1">IFERROR(__xludf.DUMMYFUNCTION("""COMPUTED_VALUE"""),"Команда №4393")</f>
        <v>Команда №4393</v>
      </c>
      <c r="F983" s="6" t="str">
        <f ca="1">IFERROR(__xludf.DUMMYFUNCTION("""COMPUTED_VALUE"""),"Подготовка данных для расчета резерва на залежалые остатки полуфабрикатов")</f>
        <v>Подготовка данных для расчета резерва на залежалые остатки полуфабрикатов</v>
      </c>
      <c r="G983" s="7">
        <f ca="1">IFERROR(__xludf.DUMMYFUNCTION("""COMPUTED_VALUE"""),0)</f>
        <v>0</v>
      </c>
    </row>
    <row r="984" spans="1:7" ht="26.4" x14ac:dyDescent="0.25">
      <c r="A984" s="5">
        <f ca="1">IFERROR(__xludf.DUMMYFUNCTION("""COMPUTED_VALUE"""),757)</f>
        <v>757</v>
      </c>
      <c r="B984" s="5" t="str">
        <f ca="1">IFERROR(__xludf.DUMMYFUNCTION("""COMPUTED_VALUE"""),"Мерзляков")</f>
        <v>Мерзляков</v>
      </c>
      <c r="C984" s="5" t="str">
        <f ca="1">IFERROR(__xludf.DUMMYFUNCTION("""COMPUTED_VALUE"""),"Александр")</f>
        <v>Александр</v>
      </c>
      <c r="D984" s="5" t="str">
        <f ca="1">IFERROR(__xludf.DUMMYFUNCTION("""COMPUTED_VALUE"""),"Дмитриевич")</f>
        <v>Дмитриевич</v>
      </c>
      <c r="E984" s="5" t="str">
        <f ca="1">IFERROR(__xludf.DUMMYFUNCTION("""COMPUTED_VALUE"""),"Команда №4394")</f>
        <v>Команда №4394</v>
      </c>
      <c r="F984" s="6" t="str">
        <f ca="1">IFERROR(__xludf.DUMMYFUNCTION("""COMPUTED_VALUE"""),"Создание 3D-модели рельефа и городского пейзажа")</f>
        <v>Создание 3D-модели рельефа и городского пейзажа</v>
      </c>
      <c r="G984" s="7">
        <f ca="1">IFERROR(__xludf.DUMMYFUNCTION("""COMPUTED_VALUE"""),0)</f>
        <v>0</v>
      </c>
    </row>
    <row r="985" spans="1:7" ht="26.4" x14ac:dyDescent="0.25">
      <c r="A985" s="5">
        <f ca="1">IFERROR(__xludf.DUMMYFUNCTION("""COMPUTED_VALUE"""),836)</f>
        <v>836</v>
      </c>
      <c r="B985" s="5" t="str">
        <f ca="1">IFERROR(__xludf.DUMMYFUNCTION("""COMPUTED_VALUE"""),"Неуймин")</f>
        <v>Неуймин</v>
      </c>
      <c r="C985" s="5" t="str">
        <f ca="1">IFERROR(__xludf.DUMMYFUNCTION("""COMPUTED_VALUE"""),"Владимир")</f>
        <v>Владимир</v>
      </c>
      <c r="D985" s="5" t="str">
        <f ca="1">IFERROR(__xludf.DUMMYFUNCTION("""COMPUTED_VALUE"""),"Дмитриевич")</f>
        <v>Дмитриевич</v>
      </c>
      <c r="E985" s="5" t="str">
        <f ca="1">IFERROR(__xludf.DUMMYFUNCTION("""COMPUTED_VALUE"""),"Команда №4394")</f>
        <v>Команда №4394</v>
      </c>
      <c r="F985" s="6" t="str">
        <f ca="1">IFERROR(__xludf.DUMMYFUNCTION("""COMPUTED_VALUE"""),"Создание 3D-модели рельефа и городского пейзажа")</f>
        <v>Создание 3D-модели рельефа и городского пейзажа</v>
      </c>
      <c r="G985" s="7">
        <f ca="1">IFERROR(__xludf.DUMMYFUNCTION("""COMPUTED_VALUE"""),0)</f>
        <v>0</v>
      </c>
    </row>
    <row r="986" spans="1:7" ht="26.4" x14ac:dyDescent="0.25">
      <c r="A986" s="5">
        <f ca="1">IFERROR(__xludf.DUMMYFUNCTION("""COMPUTED_VALUE"""),1102)</f>
        <v>1102</v>
      </c>
      <c r="B986" s="5" t="str">
        <f ca="1">IFERROR(__xludf.DUMMYFUNCTION("""COMPUTED_VALUE"""),"Соловьев")</f>
        <v>Соловьев</v>
      </c>
      <c r="C986" s="5" t="str">
        <f ca="1">IFERROR(__xludf.DUMMYFUNCTION("""COMPUTED_VALUE"""),"Максим")</f>
        <v>Максим</v>
      </c>
      <c r="D986" s="5" t="str">
        <f ca="1">IFERROR(__xludf.DUMMYFUNCTION("""COMPUTED_VALUE"""),"Георгиевич")</f>
        <v>Георгиевич</v>
      </c>
      <c r="E986" s="5" t="str">
        <f ca="1">IFERROR(__xludf.DUMMYFUNCTION("""COMPUTED_VALUE"""),"Команда №4394")</f>
        <v>Команда №4394</v>
      </c>
      <c r="F986" s="6" t="str">
        <f ca="1">IFERROR(__xludf.DUMMYFUNCTION("""COMPUTED_VALUE"""),"Создание 3D-модели рельефа и городского пейзажа")</f>
        <v>Создание 3D-модели рельефа и городского пейзажа</v>
      </c>
      <c r="G986" s="7">
        <f ca="1">IFERROR(__xludf.DUMMYFUNCTION("""COMPUTED_VALUE"""),0)</f>
        <v>0</v>
      </c>
    </row>
    <row r="987" spans="1:7" ht="26.4" x14ac:dyDescent="0.25">
      <c r="A987" s="5">
        <f ca="1">IFERROR(__xludf.DUMMYFUNCTION("""COMPUTED_VALUE"""),1132)</f>
        <v>1132</v>
      </c>
      <c r="B987" s="5" t="str">
        <f ca="1">IFERROR(__xludf.DUMMYFUNCTION("""COMPUTED_VALUE"""),"Суслов")</f>
        <v>Суслов</v>
      </c>
      <c r="C987" s="5" t="str">
        <f ca="1">IFERROR(__xludf.DUMMYFUNCTION("""COMPUTED_VALUE"""),"Дмитрий")</f>
        <v>Дмитрий</v>
      </c>
      <c r="D987" s="5" t="str">
        <f ca="1">IFERROR(__xludf.DUMMYFUNCTION("""COMPUTED_VALUE"""),"Викторович")</f>
        <v>Викторович</v>
      </c>
      <c r="E987" s="5" t="str">
        <f ca="1">IFERROR(__xludf.DUMMYFUNCTION("""COMPUTED_VALUE"""),"Команда №4394")</f>
        <v>Команда №4394</v>
      </c>
      <c r="F987" s="6" t="str">
        <f ca="1">IFERROR(__xludf.DUMMYFUNCTION("""COMPUTED_VALUE"""),"Создание 3D-модели рельефа и городского пейзажа")</f>
        <v>Создание 3D-модели рельефа и городского пейзажа</v>
      </c>
      <c r="G987" s="7">
        <f ca="1">IFERROR(__xludf.DUMMYFUNCTION("""COMPUTED_VALUE"""),0)</f>
        <v>0</v>
      </c>
    </row>
    <row r="988" spans="1:7" ht="26.4" x14ac:dyDescent="0.25">
      <c r="A988" s="5">
        <f ca="1">IFERROR(__xludf.DUMMYFUNCTION("""COMPUTED_VALUE"""),1367)</f>
        <v>1367</v>
      </c>
      <c r="B988" s="5" t="str">
        <f ca="1">IFERROR(__xludf.DUMMYFUNCTION("""COMPUTED_VALUE"""),"Юртаев")</f>
        <v>Юртаев</v>
      </c>
      <c r="C988" s="5" t="str">
        <f ca="1">IFERROR(__xludf.DUMMYFUNCTION("""COMPUTED_VALUE"""),"Леонид")</f>
        <v>Леонид</v>
      </c>
      <c r="D988" s="5" t="str">
        <f ca="1">IFERROR(__xludf.DUMMYFUNCTION("""COMPUTED_VALUE"""),"Сергеевич")</f>
        <v>Сергеевич</v>
      </c>
      <c r="E988" s="5" t="str">
        <f ca="1">IFERROR(__xludf.DUMMYFUNCTION("""COMPUTED_VALUE"""),"Команда №4394")</f>
        <v>Команда №4394</v>
      </c>
      <c r="F988" s="6" t="str">
        <f ca="1">IFERROR(__xludf.DUMMYFUNCTION("""COMPUTED_VALUE"""),"Создание 3D-модели рельефа и городского пейзажа")</f>
        <v>Создание 3D-модели рельефа и городского пейзажа</v>
      </c>
      <c r="G988" s="7">
        <f ca="1">IFERROR(__xludf.DUMMYFUNCTION("""COMPUTED_VALUE"""),0)</f>
        <v>0</v>
      </c>
    </row>
    <row r="989" spans="1:7" ht="13.2" x14ac:dyDescent="0.25">
      <c r="A989" s="5">
        <f ca="1">IFERROR(__xludf.DUMMYFUNCTION("""COMPUTED_VALUE"""),193)</f>
        <v>193</v>
      </c>
      <c r="B989" s="5" t="str">
        <f ca="1">IFERROR(__xludf.DUMMYFUNCTION("""COMPUTED_VALUE"""),"Верилов")</f>
        <v>Верилов</v>
      </c>
      <c r="C989" s="5" t="str">
        <f ca="1">IFERROR(__xludf.DUMMYFUNCTION("""COMPUTED_VALUE"""),"Андрей")</f>
        <v>Андрей</v>
      </c>
      <c r="D989" s="5" t="str">
        <f ca="1">IFERROR(__xludf.DUMMYFUNCTION("""COMPUTED_VALUE"""),"Алексеевич")</f>
        <v>Алексеевич</v>
      </c>
      <c r="E989" s="5" t="str">
        <f ca="1">IFERROR(__xludf.DUMMYFUNCTION("""COMPUTED_VALUE"""),"Команда №4397")</f>
        <v>Команда №4397</v>
      </c>
      <c r="F989" s="6" t="str">
        <f ca="1">IFERROR(__xludf.DUMMYFUNCTION("""COMPUTED_VALUE"""),"Система автоматизации ""Умный дом""")</f>
        <v>Система автоматизации "Умный дом"</v>
      </c>
      <c r="G989" s="7">
        <f ca="1">IFERROR(__xludf.DUMMYFUNCTION("""COMPUTED_VALUE"""),40)</f>
        <v>40</v>
      </c>
    </row>
    <row r="990" spans="1:7" ht="13.2" x14ac:dyDescent="0.25">
      <c r="A990" s="5">
        <f ca="1">IFERROR(__xludf.DUMMYFUNCTION("""COMPUTED_VALUE"""),919)</f>
        <v>919</v>
      </c>
      <c r="B990" s="5" t="str">
        <f ca="1">IFERROR(__xludf.DUMMYFUNCTION("""COMPUTED_VALUE"""),"Пермяков")</f>
        <v>Пермяков</v>
      </c>
      <c r="C990" s="5" t="str">
        <f ca="1">IFERROR(__xludf.DUMMYFUNCTION("""COMPUTED_VALUE"""),"Иван")</f>
        <v>Иван</v>
      </c>
      <c r="D990" s="5" t="str">
        <f ca="1">IFERROR(__xludf.DUMMYFUNCTION("""COMPUTED_VALUE"""),"Дмитриевич")</f>
        <v>Дмитриевич</v>
      </c>
      <c r="E990" s="5" t="str">
        <f ca="1">IFERROR(__xludf.DUMMYFUNCTION("""COMPUTED_VALUE"""),"Команда №4397")</f>
        <v>Команда №4397</v>
      </c>
      <c r="F990" s="6" t="str">
        <f ca="1">IFERROR(__xludf.DUMMYFUNCTION("""COMPUTED_VALUE"""),"Система автоматизации ""Умный дом""")</f>
        <v>Система автоматизации "Умный дом"</v>
      </c>
      <c r="G990" s="7">
        <f ca="1">IFERROR(__xludf.DUMMYFUNCTION("""COMPUTED_VALUE"""),40)</f>
        <v>40</v>
      </c>
    </row>
    <row r="991" spans="1:7" ht="13.2" x14ac:dyDescent="0.25">
      <c r="A991" s="5">
        <f ca="1">IFERROR(__xludf.DUMMYFUNCTION("""COMPUTED_VALUE"""),1076)</f>
        <v>1076</v>
      </c>
      <c r="B991" s="5" t="str">
        <f ca="1">IFERROR(__xludf.DUMMYFUNCTION("""COMPUTED_VALUE"""),"Скороходов")</f>
        <v>Скороходов</v>
      </c>
      <c r="C991" s="5" t="str">
        <f ca="1">IFERROR(__xludf.DUMMYFUNCTION("""COMPUTED_VALUE"""),"Глеб")</f>
        <v>Глеб</v>
      </c>
      <c r="D991" s="5" t="str">
        <f ca="1">IFERROR(__xludf.DUMMYFUNCTION("""COMPUTED_VALUE"""),"Александрович")</f>
        <v>Александрович</v>
      </c>
      <c r="E991" s="5" t="str">
        <f ca="1">IFERROR(__xludf.DUMMYFUNCTION("""COMPUTED_VALUE"""),"Команда №4397")</f>
        <v>Команда №4397</v>
      </c>
      <c r="F991" s="6" t="str">
        <f ca="1">IFERROR(__xludf.DUMMYFUNCTION("""COMPUTED_VALUE"""),"Система автоматизации ""Умный дом""")</f>
        <v>Система автоматизации "Умный дом"</v>
      </c>
      <c r="G991" s="7">
        <f ca="1">IFERROR(__xludf.DUMMYFUNCTION("""COMPUTED_VALUE"""),40)</f>
        <v>40</v>
      </c>
    </row>
    <row r="992" spans="1:7" ht="13.2" x14ac:dyDescent="0.25">
      <c r="A992" s="5">
        <f ca="1">IFERROR(__xludf.DUMMYFUNCTION("""COMPUTED_VALUE"""),1206)</f>
        <v>1206</v>
      </c>
      <c r="B992" s="5" t="str">
        <f ca="1">IFERROR(__xludf.DUMMYFUNCTION("""COMPUTED_VALUE"""),"Уханов")</f>
        <v>Уханов</v>
      </c>
      <c r="C992" s="5" t="str">
        <f ca="1">IFERROR(__xludf.DUMMYFUNCTION("""COMPUTED_VALUE"""),"Михаил")</f>
        <v>Михаил</v>
      </c>
      <c r="D992" s="5" t="str">
        <f ca="1">IFERROR(__xludf.DUMMYFUNCTION("""COMPUTED_VALUE"""),"Евгеньевич")</f>
        <v>Евгеньевич</v>
      </c>
      <c r="E992" s="5" t="str">
        <f ca="1">IFERROR(__xludf.DUMMYFUNCTION("""COMPUTED_VALUE"""),"Команда №4397")</f>
        <v>Команда №4397</v>
      </c>
      <c r="F992" s="6" t="str">
        <f ca="1">IFERROR(__xludf.DUMMYFUNCTION("""COMPUTED_VALUE"""),"Система автоматизации ""Умный дом""")</f>
        <v>Система автоматизации "Умный дом"</v>
      </c>
      <c r="G992" s="7">
        <f ca="1">IFERROR(__xludf.DUMMYFUNCTION("""COMPUTED_VALUE"""),40)</f>
        <v>40</v>
      </c>
    </row>
    <row r="993" spans="1:7" ht="39.6" x14ac:dyDescent="0.25">
      <c r="A993" s="5">
        <f ca="1">IFERROR(__xludf.DUMMYFUNCTION("""COMPUTED_VALUE"""),70)</f>
        <v>70</v>
      </c>
      <c r="B993" s="5" t="str">
        <f ca="1">IFERROR(__xludf.DUMMYFUNCTION("""COMPUTED_VALUE"""),"Ахметгареева")</f>
        <v>Ахметгареева</v>
      </c>
      <c r="C993" s="5" t="str">
        <f ca="1">IFERROR(__xludf.DUMMYFUNCTION("""COMPUTED_VALUE"""),"Дарья")</f>
        <v>Дарья</v>
      </c>
      <c r="D993" s="5" t="str">
        <f ca="1">IFERROR(__xludf.DUMMYFUNCTION("""COMPUTED_VALUE"""),"Александровна")</f>
        <v>Александровна</v>
      </c>
      <c r="E993" s="5" t="str">
        <f ca="1">IFERROR(__xludf.DUMMYFUNCTION("""COMPUTED_VALUE"""),"Команда №4402")</f>
        <v>Команда №4402</v>
      </c>
      <c r="F993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93" s="7">
        <f ca="1">IFERROR(__xludf.DUMMYFUNCTION("""COMPUTED_VALUE"""),85)</f>
        <v>85</v>
      </c>
    </row>
    <row r="994" spans="1:7" ht="39.6" x14ac:dyDescent="0.25">
      <c r="A994" s="5">
        <f ca="1">IFERROR(__xludf.DUMMYFUNCTION("""COMPUTED_VALUE"""),92)</f>
        <v>92</v>
      </c>
      <c r="B994" s="5" t="str">
        <f ca="1">IFERROR(__xludf.DUMMYFUNCTION("""COMPUTED_VALUE"""),"Барышников")</f>
        <v>Барышников</v>
      </c>
      <c r="C994" s="5" t="str">
        <f ca="1">IFERROR(__xludf.DUMMYFUNCTION("""COMPUTED_VALUE"""),"Егор")</f>
        <v>Егор</v>
      </c>
      <c r="D994" s="5" t="str">
        <f ca="1">IFERROR(__xludf.DUMMYFUNCTION("""COMPUTED_VALUE"""),"Сергеевич")</f>
        <v>Сергеевич</v>
      </c>
      <c r="E994" s="5" t="str">
        <f ca="1">IFERROR(__xludf.DUMMYFUNCTION("""COMPUTED_VALUE"""),"Команда №4402")</f>
        <v>Команда №4402</v>
      </c>
      <c r="F994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94" s="7">
        <f ca="1">IFERROR(__xludf.DUMMYFUNCTION("""COMPUTED_VALUE"""),85)</f>
        <v>85</v>
      </c>
    </row>
    <row r="995" spans="1:7" ht="39.6" x14ac:dyDescent="0.25">
      <c r="A995" s="5">
        <f ca="1">IFERROR(__xludf.DUMMYFUNCTION("""COMPUTED_VALUE"""),240)</f>
        <v>240</v>
      </c>
      <c r="B995" s="5" t="str">
        <f ca="1">IFERROR(__xludf.DUMMYFUNCTION("""COMPUTED_VALUE"""),"Галишина")</f>
        <v>Галишина</v>
      </c>
      <c r="C995" s="5" t="str">
        <f ca="1">IFERROR(__xludf.DUMMYFUNCTION("""COMPUTED_VALUE"""),"Алина")</f>
        <v>Алина</v>
      </c>
      <c r="D995" s="5" t="str">
        <f ca="1">IFERROR(__xludf.DUMMYFUNCTION("""COMPUTED_VALUE"""),"Руслановна")</f>
        <v>Руслановна</v>
      </c>
      <c r="E995" s="5" t="str">
        <f ca="1">IFERROR(__xludf.DUMMYFUNCTION("""COMPUTED_VALUE"""),"Команда №4402")</f>
        <v>Команда №4402</v>
      </c>
      <c r="F995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95" s="7">
        <f ca="1">IFERROR(__xludf.DUMMYFUNCTION("""COMPUTED_VALUE"""),85)</f>
        <v>85</v>
      </c>
    </row>
    <row r="996" spans="1:7" ht="39.6" x14ac:dyDescent="0.25">
      <c r="A996" s="5">
        <f ca="1">IFERROR(__xludf.DUMMYFUNCTION("""COMPUTED_VALUE"""),743)</f>
        <v>743</v>
      </c>
      <c r="B996" s="5" t="str">
        <f ca="1">IFERROR(__xludf.DUMMYFUNCTION("""COMPUTED_VALUE"""),"Медведев")</f>
        <v>Медведев</v>
      </c>
      <c r="C996" s="5" t="str">
        <f ca="1">IFERROR(__xludf.DUMMYFUNCTION("""COMPUTED_VALUE"""),"Демид")</f>
        <v>Демид</v>
      </c>
      <c r="D996" s="5" t="str">
        <f ca="1">IFERROR(__xludf.DUMMYFUNCTION("""COMPUTED_VALUE"""),"Денисович")</f>
        <v>Денисович</v>
      </c>
      <c r="E996" s="5" t="str">
        <f ca="1">IFERROR(__xludf.DUMMYFUNCTION("""COMPUTED_VALUE"""),"Команда №4402")</f>
        <v>Команда №4402</v>
      </c>
      <c r="F996" s="6" t="str">
        <f ca="1">IFERROR(__xludf.DUMMYFUNCTION("""COMPUTED_VALUE"""),"Распознавание по фото типов личности и характера абитуриентов с целью профориентационного тестирования")</f>
        <v>Распознавание по фото типов личности и характера абитуриентов с целью профориентационного тестирования</v>
      </c>
      <c r="G996" s="7">
        <f ca="1">IFERROR(__xludf.DUMMYFUNCTION("""COMPUTED_VALUE"""),85)</f>
        <v>85</v>
      </c>
    </row>
    <row r="997" spans="1:7" ht="26.4" x14ac:dyDescent="0.25">
      <c r="A997" s="5">
        <f ca="1">IFERROR(__xludf.DUMMYFUNCTION("""COMPUTED_VALUE"""),76)</f>
        <v>76</v>
      </c>
      <c r="B997" s="5" t="str">
        <f ca="1">IFERROR(__xludf.DUMMYFUNCTION("""COMPUTED_VALUE"""),"Бабкин")</f>
        <v>Бабкин</v>
      </c>
      <c r="C997" s="5" t="str">
        <f ca="1">IFERROR(__xludf.DUMMYFUNCTION("""COMPUTED_VALUE"""),"Павел")</f>
        <v>Павел</v>
      </c>
      <c r="D997" s="5" t="str">
        <f ca="1">IFERROR(__xludf.DUMMYFUNCTION("""COMPUTED_VALUE"""),"Владиславович")</f>
        <v>Владиславович</v>
      </c>
      <c r="E997" s="5" t="str">
        <f ca="1">IFERROR(__xludf.DUMMYFUNCTION("""COMPUTED_VALUE"""),"Команда №4403")</f>
        <v>Команда №4403</v>
      </c>
      <c r="F997" s="6" t="str">
        <f ca="1">IFERROR(__xludf.DUMMYFUNCTION("""COMPUTED_VALUE"""),"Создать учебное пособие по наборам компании MGBOT")</f>
        <v>Создать учебное пособие по наборам компании MGBOT</v>
      </c>
      <c r="G997" s="7">
        <f ca="1">IFERROR(__xludf.DUMMYFUNCTION("""COMPUTED_VALUE"""),75)</f>
        <v>75</v>
      </c>
    </row>
    <row r="998" spans="1:7" ht="26.4" x14ac:dyDescent="0.25">
      <c r="A998" s="5">
        <f ca="1">IFERROR(__xludf.DUMMYFUNCTION("""COMPUTED_VALUE"""),1314)</f>
        <v>1314</v>
      </c>
      <c r="B998" s="5" t="str">
        <f ca="1">IFERROR(__xludf.DUMMYFUNCTION("""COMPUTED_VALUE"""),"Шарахнов")</f>
        <v>Шарахнов</v>
      </c>
      <c r="C998" s="5" t="str">
        <f ca="1">IFERROR(__xludf.DUMMYFUNCTION("""COMPUTED_VALUE"""),"Никита")</f>
        <v>Никита</v>
      </c>
      <c r="D998" s="5" t="str">
        <f ca="1">IFERROR(__xludf.DUMMYFUNCTION("""COMPUTED_VALUE"""),"Юрьевич")</f>
        <v>Юрьевич</v>
      </c>
      <c r="E998" s="5" t="str">
        <f ca="1">IFERROR(__xludf.DUMMYFUNCTION("""COMPUTED_VALUE"""),"Команда №4403")</f>
        <v>Команда №4403</v>
      </c>
      <c r="F998" s="6" t="str">
        <f ca="1">IFERROR(__xludf.DUMMYFUNCTION("""COMPUTED_VALUE"""),"Создать учебное пособие по наборам компании MGBOT")</f>
        <v>Создать учебное пособие по наборам компании MGBOT</v>
      </c>
      <c r="G998" s="7">
        <f ca="1">IFERROR(__xludf.DUMMYFUNCTION("""COMPUTED_VALUE"""),75)</f>
        <v>75</v>
      </c>
    </row>
    <row r="999" spans="1:7" ht="26.4" x14ac:dyDescent="0.25">
      <c r="A999" s="5">
        <f ca="1">IFERROR(__xludf.DUMMYFUNCTION("""COMPUTED_VALUE"""),410)</f>
        <v>410</v>
      </c>
      <c r="B999" s="5" t="str">
        <f ca="1">IFERROR(__xludf.DUMMYFUNCTION("""COMPUTED_VALUE"""),"Зайнуллин")</f>
        <v>Зайнуллин</v>
      </c>
      <c r="C999" s="5" t="str">
        <f ca="1">IFERROR(__xludf.DUMMYFUNCTION("""COMPUTED_VALUE"""),"Павел")</f>
        <v>Павел</v>
      </c>
      <c r="D999" s="5" t="str">
        <f ca="1">IFERROR(__xludf.DUMMYFUNCTION("""COMPUTED_VALUE"""),"Евгеньевич")</f>
        <v>Евгеньевич</v>
      </c>
      <c r="E999" s="5" t="str">
        <f ca="1">IFERROR(__xludf.DUMMYFUNCTION("""COMPUTED_VALUE"""),"Команда №4411")</f>
        <v>Команда №4411</v>
      </c>
      <c r="F999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999" s="7">
        <f ca="1">IFERROR(__xludf.DUMMYFUNCTION("""COMPUTED_VALUE"""),50)</f>
        <v>50</v>
      </c>
    </row>
    <row r="1000" spans="1:7" ht="26.4" x14ac:dyDescent="0.25">
      <c r="A1000" s="5">
        <f ca="1">IFERROR(__xludf.DUMMYFUNCTION("""COMPUTED_VALUE"""),473)</f>
        <v>473</v>
      </c>
      <c r="B1000" s="5" t="str">
        <f ca="1">IFERROR(__xludf.DUMMYFUNCTION("""COMPUTED_VALUE"""),"Искаков")</f>
        <v>Искаков</v>
      </c>
      <c r="C1000" s="5" t="str">
        <f ca="1">IFERROR(__xludf.DUMMYFUNCTION("""COMPUTED_VALUE"""),"Диас")</f>
        <v>Диас</v>
      </c>
      <c r="D1000" s="5" t="str">
        <f ca="1">IFERROR(__xludf.DUMMYFUNCTION("""COMPUTED_VALUE"""),"Русланович")</f>
        <v>Русланович</v>
      </c>
      <c r="E1000" s="5" t="str">
        <f ca="1">IFERROR(__xludf.DUMMYFUNCTION("""COMPUTED_VALUE"""),"Команда №4411")</f>
        <v>Команда №4411</v>
      </c>
      <c r="F1000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00" s="7">
        <f ca="1">IFERROR(__xludf.DUMMYFUNCTION("""COMPUTED_VALUE"""),50)</f>
        <v>50</v>
      </c>
    </row>
    <row r="1001" spans="1:7" ht="26.4" x14ac:dyDescent="0.25">
      <c r="A1001" s="5">
        <f ca="1">IFERROR(__xludf.DUMMYFUNCTION("""COMPUTED_VALUE"""),1041)</f>
        <v>1041</v>
      </c>
      <c r="B1001" s="5" t="str">
        <f ca="1">IFERROR(__xludf.DUMMYFUNCTION("""COMPUTED_VALUE"""),"Сафаргалеев")</f>
        <v>Сафаргалеев</v>
      </c>
      <c r="C1001" s="5" t="str">
        <f ca="1">IFERROR(__xludf.DUMMYFUNCTION("""COMPUTED_VALUE"""),"Никита")</f>
        <v>Никита</v>
      </c>
      <c r="D1001" s="5" t="str">
        <f ca="1">IFERROR(__xludf.DUMMYFUNCTION("""COMPUTED_VALUE"""),"Олегович")</f>
        <v>Олегович</v>
      </c>
      <c r="E1001" s="5" t="str">
        <f ca="1">IFERROR(__xludf.DUMMYFUNCTION("""COMPUTED_VALUE"""),"Команда №4411")</f>
        <v>Команда №4411</v>
      </c>
      <c r="F1001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01" s="7">
        <f ca="1">IFERROR(__xludf.DUMMYFUNCTION("""COMPUTED_VALUE"""),50)</f>
        <v>50</v>
      </c>
    </row>
    <row r="1002" spans="1:7" ht="26.4" x14ac:dyDescent="0.25">
      <c r="A1002" s="5">
        <f ca="1">IFERROR(__xludf.DUMMYFUNCTION("""COMPUTED_VALUE"""),1197)</f>
        <v>1197</v>
      </c>
      <c r="B1002" s="5" t="str">
        <f ca="1">IFERROR(__xludf.DUMMYFUNCTION("""COMPUTED_VALUE"""),"Урусов")</f>
        <v>Урусов</v>
      </c>
      <c r="C1002" s="5" t="str">
        <f ca="1">IFERROR(__xludf.DUMMYFUNCTION("""COMPUTED_VALUE"""),"Сергей")</f>
        <v>Сергей</v>
      </c>
      <c r="D1002" s="5" t="str">
        <f ca="1">IFERROR(__xludf.DUMMYFUNCTION("""COMPUTED_VALUE"""),"Борисович")</f>
        <v>Борисович</v>
      </c>
      <c r="E1002" s="5" t="str">
        <f ca="1">IFERROR(__xludf.DUMMYFUNCTION("""COMPUTED_VALUE"""),"Команда №4411")</f>
        <v>Команда №4411</v>
      </c>
      <c r="F1002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02" s="7">
        <f ca="1">IFERROR(__xludf.DUMMYFUNCTION("""COMPUTED_VALUE"""),50)</f>
        <v>50</v>
      </c>
    </row>
    <row r="1003" spans="1:7" ht="26.4" x14ac:dyDescent="0.25">
      <c r="A1003" s="5">
        <f ca="1">IFERROR(__xludf.DUMMYFUNCTION("""COMPUTED_VALUE"""),1359)</f>
        <v>1359</v>
      </c>
      <c r="B1003" s="5" t="str">
        <f ca="1">IFERROR(__xludf.DUMMYFUNCTION("""COMPUTED_VALUE"""),"Эльдесуки")</f>
        <v>Эльдесуки</v>
      </c>
      <c r="C1003" s="5" t="str">
        <f ca="1">IFERROR(__xludf.DUMMYFUNCTION("""COMPUTED_VALUE"""),"Ахмед")</f>
        <v>Ахмед</v>
      </c>
      <c r="D1003" s="5" t="str">
        <f ca="1">IFERROR(__xludf.DUMMYFUNCTION("""COMPUTED_VALUE"""),"Тарек")</f>
        <v>Тарек</v>
      </c>
      <c r="E1003" s="5" t="str">
        <f ca="1">IFERROR(__xludf.DUMMYFUNCTION("""COMPUTED_VALUE"""),"Команда №4411")</f>
        <v>Команда №4411</v>
      </c>
      <c r="F1003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03" s="7">
        <f ca="1">IFERROR(__xludf.DUMMYFUNCTION("""COMPUTED_VALUE"""),50)</f>
        <v>50</v>
      </c>
    </row>
    <row r="1004" spans="1:7" ht="26.4" x14ac:dyDescent="0.25">
      <c r="A1004" s="5">
        <f ca="1">IFERROR(__xludf.DUMMYFUNCTION("""COMPUTED_VALUE"""),211)</f>
        <v>211</v>
      </c>
      <c r="B1004" s="5" t="str">
        <f ca="1">IFERROR(__xludf.DUMMYFUNCTION("""COMPUTED_VALUE"""),"Волков")</f>
        <v>Волков</v>
      </c>
      <c r="C1004" s="5" t="str">
        <f ca="1">IFERROR(__xludf.DUMMYFUNCTION("""COMPUTED_VALUE"""),"Дмитрий")</f>
        <v>Дмитрий</v>
      </c>
      <c r="D1004" s="5" t="str">
        <f ca="1">IFERROR(__xludf.DUMMYFUNCTION("""COMPUTED_VALUE"""),"Евгеньевич")</f>
        <v>Евгеньевич</v>
      </c>
      <c r="E1004" s="5" t="str">
        <f ca="1">IFERROR(__xludf.DUMMYFUNCTION("""COMPUTED_VALUE"""),"Команда №4414")</f>
        <v>Команда №4414</v>
      </c>
      <c r="F1004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1004" s="7">
        <f ca="1">IFERROR(__xludf.DUMMYFUNCTION("""COMPUTED_VALUE"""),89)</f>
        <v>89</v>
      </c>
    </row>
    <row r="1005" spans="1:7" ht="26.4" x14ac:dyDescent="0.25">
      <c r="A1005" s="5">
        <f ca="1">IFERROR(__xludf.DUMMYFUNCTION("""COMPUTED_VALUE"""),472)</f>
        <v>472</v>
      </c>
      <c r="B1005" s="5" t="str">
        <f ca="1">IFERROR(__xludf.DUMMYFUNCTION("""COMPUTED_VALUE"""),"Исангузин")</f>
        <v>Исангузин</v>
      </c>
      <c r="C1005" s="5" t="str">
        <f ca="1">IFERROR(__xludf.DUMMYFUNCTION("""COMPUTED_VALUE"""),"Ильдар")</f>
        <v>Ильдар</v>
      </c>
      <c r="D1005" s="5" t="str">
        <f ca="1">IFERROR(__xludf.DUMMYFUNCTION("""COMPUTED_VALUE"""),"Робертович")</f>
        <v>Робертович</v>
      </c>
      <c r="E1005" s="5" t="str">
        <f ca="1">IFERROR(__xludf.DUMMYFUNCTION("""COMPUTED_VALUE"""),"Команда №4414")</f>
        <v>Команда №4414</v>
      </c>
      <c r="F1005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1005" s="7">
        <f ca="1">IFERROR(__xludf.DUMMYFUNCTION("""COMPUTED_VALUE"""),89)</f>
        <v>89</v>
      </c>
    </row>
    <row r="1006" spans="1:7" ht="26.4" x14ac:dyDescent="0.25">
      <c r="A1006" s="5">
        <f ca="1">IFERROR(__xludf.DUMMYFUNCTION("""COMPUTED_VALUE"""),619)</f>
        <v>619</v>
      </c>
      <c r="B1006" s="5" t="str">
        <f ca="1">IFERROR(__xludf.DUMMYFUNCTION("""COMPUTED_VALUE"""),"Крысин")</f>
        <v>Крысин</v>
      </c>
      <c r="C1006" s="5" t="str">
        <f ca="1">IFERROR(__xludf.DUMMYFUNCTION("""COMPUTED_VALUE"""),"Никита")</f>
        <v>Никита</v>
      </c>
      <c r="D1006" s="5" t="str">
        <f ca="1">IFERROR(__xludf.DUMMYFUNCTION("""COMPUTED_VALUE"""),"Александрович")</f>
        <v>Александрович</v>
      </c>
      <c r="E1006" s="5" t="str">
        <f ca="1">IFERROR(__xludf.DUMMYFUNCTION("""COMPUTED_VALUE"""),"Команда №4414")</f>
        <v>Команда №4414</v>
      </c>
      <c r="F1006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1006" s="7">
        <f ca="1">IFERROR(__xludf.DUMMYFUNCTION("""COMPUTED_VALUE"""),89)</f>
        <v>89</v>
      </c>
    </row>
    <row r="1007" spans="1:7" ht="26.4" x14ac:dyDescent="0.25">
      <c r="A1007" s="5">
        <f ca="1">IFERROR(__xludf.DUMMYFUNCTION("""COMPUTED_VALUE"""),1055)</f>
        <v>1055</v>
      </c>
      <c r="B1007" s="5" t="str">
        <f ca="1">IFERROR(__xludf.DUMMYFUNCTION("""COMPUTED_VALUE"""),"Сергеева")</f>
        <v>Сергеева</v>
      </c>
      <c r="C1007" s="5" t="str">
        <f ca="1">IFERROR(__xludf.DUMMYFUNCTION("""COMPUTED_VALUE"""),"Мария")</f>
        <v>Мария</v>
      </c>
      <c r="D1007" s="5" t="str">
        <f ca="1">IFERROR(__xludf.DUMMYFUNCTION("""COMPUTED_VALUE"""),"Валерьевна")</f>
        <v>Валерьевна</v>
      </c>
      <c r="E1007" s="5" t="str">
        <f ca="1">IFERROR(__xludf.DUMMYFUNCTION("""COMPUTED_VALUE"""),"Команда №4414")</f>
        <v>Команда №4414</v>
      </c>
      <c r="F1007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1007" s="7">
        <f ca="1">IFERROR(__xludf.DUMMYFUNCTION("""COMPUTED_VALUE"""),89)</f>
        <v>89</v>
      </c>
    </row>
    <row r="1008" spans="1:7" ht="26.4" x14ac:dyDescent="0.25">
      <c r="A1008" s="5">
        <f ca="1">IFERROR(__xludf.DUMMYFUNCTION("""COMPUTED_VALUE"""),1073)</f>
        <v>1073</v>
      </c>
      <c r="B1008" s="5" t="str">
        <f ca="1">IFERROR(__xludf.DUMMYFUNCTION("""COMPUTED_VALUE"""),"Скапинцева")</f>
        <v>Скапинцева</v>
      </c>
      <c r="C1008" s="5" t="str">
        <f ca="1">IFERROR(__xludf.DUMMYFUNCTION("""COMPUTED_VALUE"""),"Виктория")</f>
        <v>Виктория</v>
      </c>
      <c r="D1008" s="5" t="str">
        <f ca="1">IFERROR(__xludf.DUMMYFUNCTION("""COMPUTED_VALUE"""),"Викторовна")</f>
        <v>Викторовна</v>
      </c>
      <c r="E1008" s="5" t="str">
        <f ca="1">IFERROR(__xludf.DUMMYFUNCTION("""COMPUTED_VALUE"""),"Команда №4414")</f>
        <v>Команда №4414</v>
      </c>
      <c r="F1008" s="6" t="str">
        <f ca="1">IFERROR(__xludf.DUMMYFUNCTION("""COMPUTED_VALUE"""),"Создание игрового ПО для ПК в свободном жанре (на выбор студента)")</f>
        <v>Создание игрового ПО для ПК в свободном жанре (на выбор студента)</v>
      </c>
      <c r="G1008" s="7">
        <f ca="1">IFERROR(__xludf.DUMMYFUNCTION("""COMPUTED_VALUE"""),89)</f>
        <v>89</v>
      </c>
    </row>
    <row r="1009" spans="1:7" ht="39.6" x14ac:dyDescent="0.25">
      <c r="A1009" s="5">
        <f ca="1">IFERROR(__xludf.DUMMYFUNCTION("""COMPUTED_VALUE"""),245)</f>
        <v>245</v>
      </c>
      <c r="B1009" s="5" t="str">
        <f ca="1">IFERROR(__xludf.DUMMYFUNCTION("""COMPUTED_VALUE"""),"Гарипов")</f>
        <v>Гарипов</v>
      </c>
      <c r="C1009" s="5" t="str">
        <f ca="1">IFERROR(__xludf.DUMMYFUNCTION("""COMPUTED_VALUE"""),"Даниил")</f>
        <v>Даниил</v>
      </c>
      <c r="D1009" s="5" t="str">
        <f ca="1">IFERROR(__xludf.DUMMYFUNCTION("""COMPUTED_VALUE"""),"Максимович")</f>
        <v>Максимович</v>
      </c>
      <c r="E1009" s="5" t="str">
        <f ca="1">IFERROR(__xludf.DUMMYFUNCTION("""COMPUTED_VALUE"""),"Команда №4418")</f>
        <v>Команда №4418</v>
      </c>
      <c r="F1009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1009" s="7">
        <f ca="1">IFERROR(__xludf.DUMMYFUNCTION("""COMPUTED_VALUE"""),85)</f>
        <v>85</v>
      </c>
    </row>
    <row r="1010" spans="1:7" ht="39.6" x14ac:dyDescent="0.25">
      <c r="A1010" s="5">
        <f ca="1">IFERROR(__xludf.DUMMYFUNCTION("""COMPUTED_VALUE"""),360)</f>
        <v>360</v>
      </c>
      <c r="B1010" s="5" t="str">
        <f ca="1">IFERROR(__xludf.DUMMYFUNCTION("""COMPUTED_VALUE"""),"Ельмуратов")</f>
        <v>Ельмуратов</v>
      </c>
      <c r="C1010" s="5" t="str">
        <f ca="1">IFERROR(__xludf.DUMMYFUNCTION("""COMPUTED_VALUE"""),"Темирлан")</f>
        <v>Темирлан</v>
      </c>
      <c r="D1010" s="5" t="str">
        <f ca="1">IFERROR(__xludf.DUMMYFUNCTION("""COMPUTED_VALUE"""),"Кеулимжаевич")</f>
        <v>Кеулимжаевич</v>
      </c>
      <c r="E1010" s="5" t="str">
        <f ca="1">IFERROR(__xludf.DUMMYFUNCTION("""COMPUTED_VALUE"""),"Команда №4418")</f>
        <v>Команда №4418</v>
      </c>
      <c r="F1010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1010" s="7">
        <f ca="1">IFERROR(__xludf.DUMMYFUNCTION("""COMPUTED_VALUE"""),85)</f>
        <v>85</v>
      </c>
    </row>
    <row r="1011" spans="1:7" ht="39.6" x14ac:dyDescent="0.25">
      <c r="A1011" s="5">
        <f ca="1">IFERROR(__xludf.DUMMYFUNCTION("""COMPUTED_VALUE"""),677)</f>
        <v>677</v>
      </c>
      <c r="B1011" s="5" t="str">
        <f ca="1">IFERROR(__xludf.DUMMYFUNCTION("""COMPUTED_VALUE"""),"Лисенков")</f>
        <v>Лисенков</v>
      </c>
      <c r="C1011" s="5" t="str">
        <f ca="1">IFERROR(__xludf.DUMMYFUNCTION("""COMPUTED_VALUE"""),"Ростислав")</f>
        <v>Ростислав</v>
      </c>
      <c r="D1011" s="5" t="str">
        <f ca="1">IFERROR(__xludf.DUMMYFUNCTION("""COMPUTED_VALUE"""),"Дмитриевич")</f>
        <v>Дмитриевич</v>
      </c>
      <c r="E1011" s="5" t="str">
        <f ca="1">IFERROR(__xludf.DUMMYFUNCTION("""COMPUTED_VALUE"""),"Команда №4418")</f>
        <v>Команда №4418</v>
      </c>
      <c r="F1011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1011" s="7">
        <f ca="1">IFERROR(__xludf.DUMMYFUNCTION("""COMPUTED_VALUE"""),85)</f>
        <v>85</v>
      </c>
    </row>
    <row r="1012" spans="1:7" ht="39.6" x14ac:dyDescent="0.25">
      <c r="A1012" s="5">
        <f ca="1">IFERROR(__xludf.DUMMYFUNCTION("""COMPUTED_VALUE"""),853)</f>
        <v>853</v>
      </c>
      <c r="B1012" s="5" t="str">
        <f ca="1">IFERROR(__xludf.DUMMYFUNCTION("""COMPUTED_VALUE"""),"Новгородцев")</f>
        <v>Новгородцев</v>
      </c>
      <c r="C1012" s="5" t="str">
        <f ca="1">IFERROR(__xludf.DUMMYFUNCTION("""COMPUTED_VALUE"""),"Никита")</f>
        <v>Никита</v>
      </c>
      <c r="D1012" s="5" t="str">
        <f ca="1">IFERROR(__xludf.DUMMYFUNCTION("""COMPUTED_VALUE"""),"Сергеевич")</f>
        <v>Сергеевич</v>
      </c>
      <c r="E1012" s="5" t="str">
        <f ca="1">IFERROR(__xludf.DUMMYFUNCTION("""COMPUTED_VALUE"""),"Команда №4418")</f>
        <v>Команда №4418</v>
      </c>
      <c r="F1012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1012" s="7">
        <f ca="1">IFERROR(__xludf.DUMMYFUNCTION("""COMPUTED_VALUE"""),85)</f>
        <v>85</v>
      </c>
    </row>
    <row r="1013" spans="1:7" ht="39.6" x14ac:dyDescent="0.25">
      <c r="A1013" s="5">
        <f ca="1">IFERROR(__xludf.DUMMYFUNCTION("""COMPUTED_VALUE"""),1372)</f>
        <v>1372</v>
      </c>
      <c r="B1013" s="5" t="str">
        <f ca="1">IFERROR(__xludf.DUMMYFUNCTION("""COMPUTED_VALUE"""),"Юферова")</f>
        <v>Юферова</v>
      </c>
      <c r="C1013" s="5" t="str">
        <f ca="1">IFERROR(__xludf.DUMMYFUNCTION("""COMPUTED_VALUE"""),"Анна")</f>
        <v>Анна</v>
      </c>
      <c r="D1013" s="5" t="str">
        <f ca="1">IFERROR(__xludf.DUMMYFUNCTION("""COMPUTED_VALUE"""),"Владимировна")</f>
        <v>Владимировна</v>
      </c>
      <c r="E1013" s="5" t="str">
        <f ca="1">IFERROR(__xludf.DUMMYFUNCTION("""COMPUTED_VALUE"""),"Команда №4418")</f>
        <v>Команда №4418</v>
      </c>
      <c r="F1013" s="6" t="str">
        <f ca="1">IFERROR(__xludf.DUMMYFUNCTION("""COMPUTED_VALUE"""),"Создание, оформление и продвижение групп в социальных сетях (ВКонтакте) и Telegram по направлению инженерия знаний.")</f>
        <v>Создание, оформление и продвижение групп в социальных сетях (ВКонтакте) и Telegram по направлению инженерия знаний.</v>
      </c>
      <c r="G1013" s="7">
        <f ca="1">IFERROR(__xludf.DUMMYFUNCTION("""COMPUTED_VALUE"""),85)</f>
        <v>85</v>
      </c>
    </row>
    <row r="1014" spans="1:7" ht="39.6" x14ac:dyDescent="0.25">
      <c r="A1014" s="5">
        <f ca="1">IFERROR(__xludf.DUMMYFUNCTION("""COMPUTED_VALUE"""),1024)</f>
        <v>1024</v>
      </c>
      <c r="B1014" s="5" t="str">
        <f ca="1">IFERROR(__xludf.DUMMYFUNCTION("""COMPUTED_VALUE"""),"Садовникова")</f>
        <v>Садовникова</v>
      </c>
      <c r="C1014" s="5" t="str">
        <f ca="1">IFERROR(__xludf.DUMMYFUNCTION("""COMPUTED_VALUE"""),"Виктория")</f>
        <v>Виктория</v>
      </c>
      <c r="D1014" s="5" t="str">
        <f ca="1">IFERROR(__xludf.DUMMYFUNCTION("""COMPUTED_VALUE"""),"Дмитриевна")</f>
        <v>Дмитриевна</v>
      </c>
      <c r="E1014" s="5" t="str">
        <f ca="1">IFERROR(__xludf.DUMMYFUNCTION("""COMPUTED_VALUE"""),"Команда №4419")</f>
        <v>Команда №4419</v>
      </c>
      <c r="F1014" s="6" t="str">
        <f ca="1">IFERROR(__xludf.DUMMYFUNCTION("""COMPUTED_VALUE"""),"Составление документации для авиасимулятора Flightgear и его взаимодействия с внешними модулями")</f>
        <v>Составление документации для авиасимулятора Flightgear и его взаимодействия с внешними модулями</v>
      </c>
      <c r="G1014" s="7">
        <f ca="1">IFERROR(__xludf.DUMMYFUNCTION("""COMPUTED_VALUE"""),95)</f>
        <v>95</v>
      </c>
    </row>
    <row r="1015" spans="1:7" ht="26.4" x14ac:dyDescent="0.25">
      <c r="A1015" s="5">
        <f ca="1">IFERROR(__xludf.DUMMYFUNCTION("""COMPUTED_VALUE"""),218)</f>
        <v>218</v>
      </c>
      <c r="B1015" s="5" t="str">
        <f ca="1">IFERROR(__xludf.DUMMYFUNCTION("""COMPUTED_VALUE"""),"Воробьев")</f>
        <v>Воробьев</v>
      </c>
      <c r="C1015" s="5" t="str">
        <f ca="1">IFERROR(__xludf.DUMMYFUNCTION("""COMPUTED_VALUE"""),"Андрей")</f>
        <v>Андрей</v>
      </c>
      <c r="D1015" s="5" t="str">
        <f ca="1">IFERROR(__xludf.DUMMYFUNCTION("""COMPUTED_VALUE"""),"Игоревич")</f>
        <v>Игоревич</v>
      </c>
      <c r="E1015" s="5" t="str">
        <f ca="1">IFERROR(__xludf.DUMMYFUNCTION("""COMPUTED_VALUE"""),"Команда №4420")</f>
        <v>Команда №4420</v>
      </c>
      <c r="F1015" s="6" t="str">
        <f ca="1">IFERROR(__xludf.DUMMYFUNCTION("""COMPUTED_VALUE"""),"Разработка веб-приложения по тайм менеджменту")</f>
        <v>Разработка веб-приложения по тайм менеджменту</v>
      </c>
      <c r="G1015" s="7">
        <f ca="1">IFERROR(__xludf.DUMMYFUNCTION("""COMPUTED_VALUE"""),77)</f>
        <v>77</v>
      </c>
    </row>
    <row r="1016" spans="1:7" ht="26.4" x14ac:dyDescent="0.25">
      <c r="A1016" s="5">
        <f ca="1">IFERROR(__xludf.DUMMYFUNCTION("""COMPUTED_VALUE"""),414)</f>
        <v>414</v>
      </c>
      <c r="B1016" s="5" t="str">
        <f ca="1">IFERROR(__xludf.DUMMYFUNCTION("""COMPUTED_VALUE"""),"Закиров")</f>
        <v>Закиров</v>
      </c>
      <c r="C1016" s="5" t="str">
        <f ca="1">IFERROR(__xludf.DUMMYFUNCTION("""COMPUTED_VALUE"""),"Руслан")</f>
        <v>Руслан</v>
      </c>
      <c r="D1016" s="5" t="str">
        <f ca="1">IFERROR(__xludf.DUMMYFUNCTION("""COMPUTED_VALUE"""),"Марсович")</f>
        <v>Марсович</v>
      </c>
      <c r="E1016" s="5" t="str">
        <f ca="1">IFERROR(__xludf.DUMMYFUNCTION("""COMPUTED_VALUE"""),"Команда №4420")</f>
        <v>Команда №4420</v>
      </c>
      <c r="F1016" s="6" t="str">
        <f ca="1">IFERROR(__xludf.DUMMYFUNCTION("""COMPUTED_VALUE"""),"Разработка веб-приложения по тайм менеджменту")</f>
        <v>Разработка веб-приложения по тайм менеджменту</v>
      </c>
      <c r="G1016" s="7">
        <f ca="1">IFERROR(__xludf.DUMMYFUNCTION("""COMPUTED_VALUE"""),77)</f>
        <v>77</v>
      </c>
    </row>
    <row r="1017" spans="1:7" ht="26.4" x14ac:dyDescent="0.25">
      <c r="A1017" s="5">
        <f ca="1">IFERROR(__xludf.DUMMYFUNCTION("""COMPUTED_VALUE"""),552)</f>
        <v>552</v>
      </c>
      <c r="B1017" s="5" t="str">
        <f ca="1">IFERROR(__xludf.DUMMYFUNCTION("""COMPUTED_VALUE"""),"Колногоров")</f>
        <v>Колногоров</v>
      </c>
      <c r="C1017" s="5" t="str">
        <f ca="1">IFERROR(__xludf.DUMMYFUNCTION("""COMPUTED_VALUE"""),"Семен")</f>
        <v>Семен</v>
      </c>
      <c r="D1017" s="5" t="str">
        <f ca="1">IFERROR(__xludf.DUMMYFUNCTION("""COMPUTED_VALUE"""),"Алексеевич")</f>
        <v>Алексеевич</v>
      </c>
      <c r="E1017" s="5" t="str">
        <f ca="1">IFERROR(__xludf.DUMMYFUNCTION("""COMPUTED_VALUE"""),"Команда №4420")</f>
        <v>Команда №4420</v>
      </c>
      <c r="F1017" s="6" t="str">
        <f ca="1">IFERROR(__xludf.DUMMYFUNCTION("""COMPUTED_VALUE"""),"Разработка веб-приложения по тайм менеджменту")</f>
        <v>Разработка веб-приложения по тайм менеджменту</v>
      </c>
      <c r="G1017" s="7">
        <f ca="1">IFERROR(__xludf.DUMMYFUNCTION("""COMPUTED_VALUE"""),77)</f>
        <v>77</v>
      </c>
    </row>
    <row r="1018" spans="1:7" ht="26.4" x14ac:dyDescent="0.25">
      <c r="A1018" s="5">
        <f ca="1">IFERROR(__xludf.DUMMYFUNCTION("""COMPUTED_VALUE"""),939)</f>
        <v>939</v>
      </c>
      <c r="B1018" s="5" t="str">
        <f ca="1">IFERROR(__xludf.DUMMYFUNCTION("""COMPUTED_VALUE"""),"Поликарпов")</f>
        <v>Поликарпов</v>
      </c>
      <c r="C1018" s="5" t="str">
        <f ca="1">IFERROR(__xludf.DUMMYFUNCTION("""COMPUTED_VALUE"""),"Владислав")</f>
        <v>Владислав</v>
      </c>
      <c r="D1018" s="5" t="str">
        <f ca="1">IFERROR(__xludf.DUMMYFUNCTION("""COMPUTED_VALUE"""),"Александрович")</f>
        <v>Александрович</v>
      </c>
      <c r="E1018" s="5" t="str">
        <f ca="1">IFERROR(__xludf.DUMMYFUNCTION("""COMPUTED_VALUE"""),"Команда №4420")</f>
        <v>Команда №4420</v>
      </c>
      <c r="F1018" s="6" t="str">
        <f ca="1">IFERROR(__xludf.DUMMYFUNCTION("""COMPUTED_VALUE"""),"Разработка веб-приложения по тайм менеджменту")</f>
        <v>Разработка веб-приложения по тайм менеджменту</v>
      </c>
      <c r="G1018" s="7">
        <f ca="1">IFERROR(__xludf.DUMMYFUNCTION("""COMPUTED_VALUE"""),77)</f>
        <v>77</v>
      </c>
    </row>
    <row r="1019" spans="1:7" ht="26.4" x14ac:dyDescent="0.25">
      <c r="A1019" s="5">
        <f ca="1">IFERROR(__xludf.DUMMYFUNCTION("""COMPUTED_VALUE"""),998)</f>
        <v>998</v>
      </c>
      <c r="B1019" s="5" t="str">
        <f ca="1">IFERROR(__xludf.DUMMYFUNCTION("""COMPUTED_VALUE"""),"Ронжина")</f>
        <v>Ронжина</v>
      </c>
      <c r="C1019" s="5" t="str">
        <f ca="1">IFERROR(__xludf.DUMMYFUNCTION("""COMPUTED_VALUE"""),"Ирина")</f>
        <v>Ирина</v>
      </c>
      <c r="D1019" s="5" t="str">
        <f ca="1">IFERROR(__xludf.DUMMYFUNCTION("""COMPUTED_VALUE"""),"Алексеевна")</f>
        <v>Алексеевна</v>
      </c>
      <c r="E1019" s="5" t="str">
        <f ca="1">IFERROR(__xludf.DUMMYFUNCTION("""COMPUTED_VALUE"""),"Команда №4420")</f>
        <v>Команда №4420</v>
      </c>
      <c r="F1019" s="6" t="str">
        <f ca="1">IFERROR(__xludf.DUMMYFUNCTION("""COMPUTED_VALUE"""),"Разработка веб-приложения по тайм менеджменту")</f>
        <v>Разработка веб-приложения по тайм менеджменту</v>
      </c>
      <c r="G1019" s="7">
        <f ca="1">IFERROR(__xludf.DUMMYFUNCTION("""COMPUTED_VALUE"""),77)</f>
        <v>77</v>
      </c>
    </row>
    <row r="1020" spans="1:7" ht="26.4" x14ac:dyDescent="0.25">
      <c r="A1020" s="5">
        <f ca="1">IFERROR(__xludf.DUMMYFUNCTION("""COMPUTED_VALUE"""),231)</f>
        <v>231</v>
      </c>
      <c r="B1020" s="5" t="str">
        <f ca="1">IFERROR(__xludf.DUMMYFUNCTION("""COMPUTED_VALUE"""),"Гагарин")</f>
        <v>Гагарин</v>
      </c>
      <c r="C1020" s="5" t="str">
        <f ca="1">IFERROR(__xludf.DUMMYFUNCTION("""COMPUTED_VALUE"""),"Дмитрий")</f>
        <v>Дмитрий</v>
      </c>
      <c r="D1020" s="5" t="str">
        <f ca="1">IFERROR(__xludf.DUMMYFUNCTION("""COMPUTED_VALUE"""),"Олегович")</f>
        <v>Олегович</v>
      </c>
      <c r="E1020" s="5" t="str">
        <f ca="1">IFERROR(__xludf.DUMMYFUNCTION("""COMPUTED_VALUE"""),"Команда №4425")</f>
        <v>Команда №4425</v>
      </c>
      <c r="F1020" s="6" t="str">
        <f ca="1">IFERROR(__xludf.DUMMYFUNCTION("""COMPUTED_VALUE"""),"Разработка программы генерации полифонной (многоголосной) музыкальной композиции")</f>
        <v>Разработка программы генерации полифонной (многоголосной) музыкальной композиции</v>
      </c>
      <c r="G1020" s="7">
        <f ca="1">IFERROR(__xludf.DUMMYFUNCTION("""COMPUTED_VALUE"""),62)</f>
        <v>62</v>
      </c>
    </row>
    <row r="1021" spans="1:7" ht="26.4" x14ac:dyDescent="0.25">
      <c r="A1021" s="5">
        <f ca="1">IFERROR(__xludf.DUMMYFUNCTION("""COMPUTED_VALUE"""),419)</f>
        <v>419</v>
      </c>
      <c r="B1021" s="5" t="str">
        <f ca="1">IFERROR(__xludf.DUMMYFUNCTION("""COMPUTED_VALUE"""),"Зарипов")</f>
        <v>Зарипов</v>
      </c>
      <c r="C1021" s="5" t="str">
        <f ca="1">IFERROR(__xludf.DUMMYFUNCTION("""COMPUTED_VALUE"""),"Марат")</f>
        <v>Марат</v>
      </c>
      <c r="D1021" s="5" t="str">
        <f ca="1">IFERROR(__xludf.DUMMYFUNCTION("""COMPUTED_VALUE"""),"Нарисович")</f>
        <v>Нарисович</v>
      </c>
      <c r="E1021" s="5" t="str">
        <f ca="1">IFERROR(__xludf.DUMMYFUNCTION("""COMPUTED_VALUE"""),"Команда №4425")</f>
        <v>Команда №4425</v>
      </c>
      <c r="F1021" s="6" t="str">
        <f ca="1">IFERROR(__xludf.DUMMYFUNCTION("""COMPUTED_VALUE"""),"Разработка программы генерации полифонной (многоголосной) музыкальной композиции")</f>
        <v>Разработка программы генерации полифонной (многоголосной) музыкальной композиции</v>
      </c>
      <c r="G1021" s="7">
        <f ca="1">IFERROR(__xludf.DUMMYFUNCTION("""COMPUTED_VALUE"""),62)</f>
        <v>62</v>
      </c>
    </row>
    <row r="1022" spans="1:7" ht="26.4" x14ac:dyDescent="0.25">
      <c r="A1022" s="5">
        <f ca="1">IFERROR(__xludf.DUMMYFUNCTION("""COMPUTED_VALUE"""),486)</f>
        <v>486</v>
      </c>
      <c r="B1022" s="5" t="str">
        <f ca="1">IFERROR(__xludf.DUMMYFUNCTION("""COMPUTED_VALUE"""),"Калмыков")</f>
        <v>Калмыков</v>
      </c>
      <c r="C1022" s="5" t="str">
        <f ca="1">IFERROR(__xludf.DUMMYFUNCTION("""COMPUTED_VALUE"""),"Алексей")</f>
        <v>Алексей</v>
      </c>
      <c r="D1022" s="5" t="str">
        <f ca="1">IFERROR(__xludf.DUMMYFUNCTION("""COMPUTED_VALUE"""),"Андреевич")</f>
        <v>Андреевич</v>
      </c>
      <c r="E1022" s="5" t="str">
        <f ca="1">IFERROR(__xludf.DUMMYFUNCTION("""COMPUTED_VALUE"""),"Команда №4425")</f>
        <v>Команда №4425</v>
      </c>
      <c r="F1022" s="6" t="str">
        <f ca="1">IFERROR(__xludf.DUMMYFUNCTION("""COMPUTED_VALUE"""),"Разработка программы генерации полифонной (многоголосной) музыкальной композиции")</f>
        <v>Разработка программы генерации полифонной (многоголосной) музыкальной композиции</v>
      </c>
      <c r="G1022" s="7">
        <f ca="1">IFERROR(__xludf.DUMMYFUNCTION("""COMPUTED_VALUE"""),62)</f>
        <v>62</v>
      </c>
    </row>
    <row r="1023" spans="1:7" ht="26.4" x14ac:dyDescent="0.25">
      <c r="A1023" s="5">
        <f ca="1">IFERROR(__xludf.DUMMYFUNCTION("""COMPUTED_VALUE"""),544)</f>
        <v>544</v>
      </c>
      <c r="B1023" s="5" t="str">
        <f ca="1">IFERROR(__xludf.DUMMYFUNCTION("""COMPUTED_VALUE"""),"Козырин")</f>
        <v>Козырин</v>
      </c>
      <c r="C1023" s="5" t="str">
        <f ca="1">IFERROR(__xludf.DUMMYFUNCTION("""COMPUTED_VALUE"""),"Дмитрий")</f>
        <v>Дмитрий</v>
      </c>
      <c r="D1023" s="5" t="str">
        <f ca="1">IFERROR(__xludf.DUMMYFUNCTION("""COMPUTED_VALUE"""),"Алексеевич")</f>
        <v>Алексеевич</v>
      </c>
      <c r="E1023" s="5" t="str">
        <f ca="1">IFERROR(__xludf.DUMMYFUNCTION("""COMPUTED_VALUE"""),"Команда №4425")</f>
        <v>Команда №4425</v>
      </c>
      <c r="F1023" s="6" t="str">
        <f ca="1">IFERROR(__xludf.DUMMYFUNCTION("""COMPUTED_VALUE"""),"Разработка программы генерации полифонной (многоголосной) музыкальной композиции")</f>
        <v>Разработка программы генерации полифонной (многоголосной) музыкальной композиции</v>
      </c>
      <c r="G1023" s="7">
        <f ca="1">IFERROR(__xludf.DUMMYFUNCTION("""COMPUTED_VALUE"""),62)</f>
        <v>62</v>
      </c>
    </row>
    <row r="1024" spans="1:7" ht="26.4" x14ac:dyDescent="0.25">
      <c r="A1024" s="5">
        <f ca="1">IFERROR(__xludf.DUMMYFUNCTION("""COMPUTED_VALUE"""),947)</f>
        <v>947</v>
      </c>
      <c r="B1024" s="5" t="str">
        <f ca="1">IFERROR(__xludf.DUMMYFUNCTION("""COMPUTED_VALUE"""),"Пономаренко")</f>
        <v>Пономаренко</v>
      </c>
      <c r="C1024" s="5" t="str">
        <f ca="1">IFERROR(__xludf.DUMMYFUNCTION("""COMPUTED_VALUE"""),"Никита")</f>
        <v>Никита</v>
      </c>
      <c r="D1024" s="5" t="str">
        <f ca="1">IFERROR(__xludf.DUMMYFUNCTION("""COMPUTED_VALUE"""),"Дмитриевич")</f>
        <v>Дмитриевич</v>
      </c>
      <c r="E1024" s="5" t="str">
        <f ca="1">IFERROR(__xludf.DUMMYFUNCTION("""COMPUTED_VALUE"""),"Команда №4425")</f>
        <v>Команда №4425</v>
      </c>
      <c r="F1024" s="6" t="str">
        <f ca="1">IFERROR(__xludf.DUMMYFUNCTION("""COMPUTED_VALUE"""),"Разработка программы генерации полифонной (многоголосной) музыкальной композиции")</f>
        <v>Разработка программы генерации полифонной (многоголосной) музыкальной композиции</v>
      </c>
      <c r="G1024" s="7">
        <f ca="1">IFERROR(__xludf.DUMMYFUNCTION("""COMPUTED_VALUE"""),62)</f>
        <v>62</v>
      </c>
    </row>
    <row r="1025" spans="1:7" ht="39.6" x14ac:dyDescent="0.25">
      <c r="A1025" s="5">
        <f ca="1">IFERROR(__xludf.DUMMYFUNCTION("""COMPUTED_VALUE"""),479)</f>
        <v>479</v>
      </c>
      <c r="B1025" s="5" t="str">
        <f ca="1">IFERROR(__xludf.DUMMYFUNCTION("""COMPUTED_VALUE"""),"Казаков")</f>
        <v>Казаков</v>
      </c>
      <c r="C1025" s="5" t="str">
        <f ca="1">IFERROR(__xludf.DUMMYFUNCTION("""COMPUTED_VALUE"""),"Илья")</f>
        <v>Илья</v>
      </c>
      <c r="D1025" s="5" t="str">
        <f ca="1">IFERROR(__xludf.DUMMYFUNCTION("""COMPUTED_VALUE"""),"Дмитриевич")</f>
        <v>Дмитриевич</v>
      </c>
      <c r="E1025" s="5" t="str">
        <f ca="1">IFERROR(__xludf.DUMMYFUNCTION("""COMPUTED_VALUE"""),"Команда №4426")</f>
        <v>Команда №4426</v>
      </c>
      <c r="F1025" s="6" t="str">
        <f ca="1">IFERROR(__xludf.DUMMYFUNCTION("""COMPUTED_VALUE"""),"Трансформация ТЗ на проектирование от заказчика в адаптированную информацию для BIM ПО.")</f>
        <v>Трансформация ТЗ на проектирование от заказчика в адаптированную информацию для BIM ПО.</v>
      </c>
      <c r="G1025" s="7">
        <f ca="1">IFERROR(__xludf.DUMMYFUNCTION("""COMPUTED_VALUE"""),40)</f>
        <v>40</v>
      </c>
    </row>
    <row r="1026" spans="1:7" ht="39.6" x14ac:dyDescent="0.25">
      <c r="A1026" s="5">
        <f ca="1">IFERROR(__xludf.DUMMYFUNCTION("""COMPUTED_VALUE"""),854)</f>
        <v>854</v>
      </c>
      <c r="B1026" s="5" t="str">
        <f ca="1">IFERROR(__xludf.DUMMYFUNCTION("""COMPUTED_VALUE"""),"Новиков")</f>
        <v>Новиков</v>
      </c>
      <c r="C1026" s="5" t="str">
        <f ca="1">IFERROR(__xludf.DUMMYFUNCTION("""COMPUTED_VALUE"""),"Артём")</f>
        <v>Артём</v>
      </c>
      <c r="D1026" s="5" t="str">
        <f ca="1">IFERROR(__xludf.DUMMYFUNCTION("""COMPUTED_VALUE"""),"Вячеславович")</f>
        <v>Вячеславович</v>
      </c>
      <c r="E1026" s="5" t="str">
        <f ca="1">IFERROR(__xludf.DUMMYFUNCTION("""COMPUTED_VALUE"""),"Команда №4426")</f>
        <v>Команда №4426</v>
      </c>
      <c r="F1026" s="6" t="str">
        <f ca="1">IFERROR(__xludf.DUMMYFUNCTION("""COMPUTED_VALUE"""),"Трансформация ТЗ на проектирование от заказчика в адаптированную информацию для BIM ПО.")</f>
        <v>Трансформация ТЗ на проектирование от заказчика в адаптированную информацию для BIM ПО.</v>
      </c>
      <c r="G1026" s="7">
        <f ca="1">IFERROR(__xludf.DUMMYFUNCTION("""COMPUTED_VALUE"""),40)</f>
        <v>40</v>
      </c>
    </row>
    <row r="1027" spans="1:7" ht="39.6" x14ac:dyDescent="0.25">
      <c r="A1027" s="5">
        <f ca="1">IFERROR(__xludf.DUMMYFUNCTION("""COMPUTED_VALUE"""),1201)</f>
        <v>1201</v>
      </c>
      <c r="B1027" s="5" t="str">
        <f ca="1">IFERROR(__xludf.DUMMYFUNCTION("""COMPUTED_VALUE"""),"Устьянцев")</f>
        <v>Устьянцев</v>
      </c>
      <c r="C1027" s="5" t="str">
        <f ca="1">IFERROR(__xludf.DUMMYFUNCTION("""COMPUTED_VALUE"""),"Егор")</f>
        <v>Егор</v>
      </c>
      <c r="D1027" s="5" t="str">
        <f ca="1">IFERROR(__xludf.DUMMYFUNCTION("""COMPUTED_VALUE"""),"Андреевич")</f>
        <v>Андреевич</v>
      </c>
      <c r="E1027" s="5" t="str">
        <f ca="1">IFERROR(__xludf.DUMMYFUNCTION("""COMPUTED_VALUE"""),"Команда №4426")</f>
        <v>Команда №4426</v>
      </c>
      <c r="F1027" s="6" t="str">
        <f ca="1">IFERROR(__xludf.DUMMYFUNCTION("""COMPUTED_VALUE"""),"Трансформация ТЗ на проектирование от заказчика в адаптированную информацию для BIM ПО.")</f>
        <v>Трансформация ТЗ на проектирование от заказчика в адаптированную информацию для BIM ПО.</v>
      </c>
      <c r="G1027" s="7">
        <f ca="1">IFERROR(__xludf.DUMMYFUNCTION("""COMPUTED_VALUE"""),40)</f>
        <v>40</v>
      </c>
    </row>
    <row r="1028" spans="1:7" ht="13.2" x14ac:dyDescent="0.25">
      <c r="A1028" s="5">
        <f ca="1">IFERROR(__xludf.DUMMYFUNCTION("""COMPUTED_VALUE"""),25)</f>
        <v>25</v>
      </c>
      <c r="B1028" s="5" t="str">
        <f ca="1">IFERROR(__xludf.DUMMYFUNCTION("""COMPUTED_VALUE"""),"Аксенова")</f>
        <v>Аксенова</v>
      </c>
      <c r="C1028" s="5" t="str">
        <f ca="1">IFERROR(__xludf.DUMMYFUNCTION("""COMPUTED_VALUE"""),"Елена")</f>
        <v>Елена</v>
      </c>
      <c r="D1028" s="5" t="str">
        <f ca="1">IFERROR(__xludf.DUMMYFUNCTION("""COMPUTED_VALUE"""),"Константиновна")</f>
        <v>Константиновна</v>
      </c>
      <c r="E1028" s="5" t="str">
        <f ca="1">IFERROR(__xludf.DUMMYFUNCTION("""COMPUTED_VALUE"""),"Команда №4429")</f>
        <v>Команда №4429</v>
      </c>
      <c r="F1028" s="6" t="str">
        <f ca="1">IFERROR(__xludf.DUMMYFUNCTION("""COMPUTED_VALUE"""),"Разработка 2D-платформера на Unity")</f>
        <v>Разработка 2D-платформера на Unity</v>
      </c>
      <c r="G1028" s="7">
        <f ca="1">IFERROR(__xludf.DUMMYFUNCTION("""COMPUTED_VALUE"""),95)</f>
        <v>95</v>
      </c>
    </row>
    <row r="1029" spans="1:7" ht="13.2" x14ac:dyDescent="0.25">
      <c r="A1029" s="5">
        <f ca="1">IFERROR(__xludf.DUMMYFUNCTION("""COMPUTED_VALUE"""),296)</f>
        <v>296</v>
      </c>
      <c r="B1029" s="5" t="str">
        <f ca="1">IFERROR(__xludf.DUMMYFUNCTION("""COMPUTED_VALUE"""),"Гусев")</f>
        <v>Гусев</v>
      </c>
      <c r="C1029" s="5" t="str">
        <f ca="1">IFERROR(__xludf.DUMMYFUNCTION("""COMPUTED_VALUE"""),"Леонид")</f>
        <v>Леонид</v>
      </c>
      <c r="D1029" s="5" t="str">
        <f ca="1">IFERROR(__xludf.DUMMYFUNCTION("""COMPUTED_VALUE"""),"Алексеевич")</f>
        <v>Алексеевич</v>
      </c>
      <c r="E1029" s="5" t="str">
        <f ca="1">IFERROR(__xludf.DUMMYFUNCTION("""COMPUTED_VALUE"""),"Команда №4429")</f>
        <v>Команда №4429</v>
      </c>
      <c r="F1029" s="6" t="str">
        <f ca="1">IFERROR(__xludf.DUMMYFUNCTION("""COMPUTED_VALUE"""),"Разработка 2D-платформера на Unity")</f>
        <v>Разработка 2D-платформера на Unity</v>
      </c>
      <c r="G1029" s="7">
        <f ca="1">IFERROR(__xludf.DUMMYFUNCTION("""COMPUTED_VALUE"""),95)</f>
        <v>95</v>
      </c>
    </row>
    <row r="1030" spans="1:7" ht="13.2" x14ac:dyDescent="0.25">
      <c r="A1030" s="5">
        <f ca="1">IFERROR(__xludf.DUMMYFUNCTION("""COMPUTED_VALUE"""),387)</f>
        <v>387</v>
      </c>
      <c r="B1030" s="5" t="str">
        <f ca="1">IFERROR(__xludf.DUMMYFUNCTION("""COMPUTED_VALUE"""),"Жаркова")</f>
        <v>Жаркова</v>
      </c>
      <c r="C1030" s="5" t="str">
        <f ca="1">IFERROR(__xludf.DUMMYFUNCTION("""COMPUTED_VALUE"""),"Надежда")</f>
        <v>Надежда</v>
      </c>
      <c r="D1030" s="5" t="str">
        <f ca="1">IFERROR(__xludf.DUMMYFUNCTION("""COMPUTED_VALUE"""),"Андреевна")</f>
        <v>Андреевна</v>
      </c>
      <c r="E1030" s="5" t="str">
        <f ca="1">IFERROR(__xludf.DUMMYFUNCTION("""COMPUTED_VALUE"""),"Команда №4429")</f>
        <v>Команда №4429</v>
      </c>
      <c r="F1030" s="6" t="str">
        <f ca="1">IFERROR(__xludf.DUMMYFUNCTION("""COMPUTED_VALUE"""),"Разработка 2D-платформера на Unity")</f>
        <v>Разработка 2D-платформера на Unity</v>
      </c>
      <c r="G1030" s="7">
        <f ca="1">IFERROR(__xludf.DUMMYFUNCTION("""COMPUTED_VALUE"""),95)</f>
        <v>95</v>
      </c>
    </row>
    <row r="1031" spans="1:7" ht="13.2" x14ac:dyDescent="0.25">
      <c r="A1031" s="5">
        <f ca="1">IFERROR(__xludf.DUMMYFUNCTION("""COMPUTED_VALUE"""),1311)</f>
        <v>1311</v>
      </c>
      <c r="B1031" s="5" t="str">
        <f ca="1">IFERROR(__xludf.DUMMYFUNCTION("""COMPUTED_VALUE"""),"Шапков")</f>
        <v>Шапков</v>
      </c>
      <c r="C1031" s="5" t="str">
        <f ca="1">IFERROR(__xludf.DUMMYFUNCTION("""COMPUTED_VALUE"""),"Матвей")</f>
        <v>Матвей</v>
      </c>
      <c r="D1031" s="5" t="str">
        <f ca="1">IFERROR(__xludf.DUMMYFUNCTION("""COMPUTED_VALUE"""),"Сергеевич")</f>
        <v>Сергеевич</v>
      </c>
      <c r="E1031" s="5" t="str">
        <f ca="1">IFERROR(__xludf.DUMMYFUNCTION("""COMPUTED_VALUE"""),"Команда №4429")</f>
        <v>Команда №4429</v>
      </c>
      <c r="F1031" s="6" t="str">
        <f ca="1">IFERROR(__xludf.DUMMYFUNCTION("""COMPUTED_VALUE"""),"Разработка 2D-платформера на Unity")</f>
        <v>Разработка 2D-платформера на Unity</v>
      </c>
      <c r="G1031" s="7">
        <f ca="1">IFERROR(__xludf.DUMMYFUNCTION("""COMPUTED_VALUE"""),95)</f>
        <v>95</v>
      </c>
    </row>
    <row r="1032" spans="1:7" ht="13.2" x14ac:dyDescent="0.25">
      <c r="A1032" s="5">
        <f ca="1">IFERROR(__xludf.DUMMYFUNCTION("""COMPUTED_VALUE"""),1154)</f>
        <v>1154</v>
      </c>
      <c r="B1032" s="5" t="str">
        <f ca="1">IFERROR(__xludf.DUMMYFUNCTION("""COMPUTED_VALUE"""),"Тешаев")</f>
        <v>Тешаев</v>
      </c>
      <c r="C1032" s="5" t="str">
        <f ca="1">IFERROR(__xludf.DUMMYFUNCTION("""COMPUTED_VALUE"""),"Анушервон")</f>
        <v>Анушервон</v>
      </c>
      <c r="D1032" s="5" t="str">
        <f ca="1">IFERROR(__xludf.DUMMYFUNCTION("""COMPUTED_VALUE"""),"Фирдавсович")</f>
        <v>Фирдавсович</v>
      </c>
      <c r="E1032" s="5" t="str">
        <f ca="1">IFERROR(__xludf.DUMMYFUNCTION("""COMPUTED_VALUE"""),"Команда №4430")</f>
        <v>Команда №4430</v>
      </c>
      <c r="F1032" s="6" t="str">
        <f ca="1">IFERROR(__xludf.DUMMYFUNCTION("""COMPUTED_VALUE"""),"Разработка 3 на 3 онлайн игры на Unity")</f>
        <v>Разработка 3 на 3 онлайн игры на Unity</v>
      </c>
      <c r="G1032" s="7">
        <f ca="1">IFERROR(__xludf.DUMMYFUNCTION("""COMPUTED_VALUE"""),85)</f>
        <v>85</v>
      </c>
    </row>
    <row r="1033" spans="1:7" ht="13.2" x14ac:dyDescent="0.25">
      <c r="A1033" s="5">
        <f ca="1">IFERROR(__xludf.DUMMYFUNCTION("""COMPUTED_VALUE"""),3)</f>
        <v>3</v>
      </c>
      <c r="B1033" s="5" t="str">
        <f ca="1">IFERROR(__xludf.DUMMYFUNCTION("""COMPUTED_VALUE"""),"Аббасов")</f>
        <v>Аббасов</v>
      </c>
      <c r="C1033" s="5" t="str">
        <f ca="1">IFERROR(__xludf.DUMMYFUNCTION("""COMPUTED_VALUE"""),"Руслан")</f>
        <v>Руслан</v>
      </c>
      <c r="D1033" s="5" t="str">
        <f ca="1">IFERROR(__xludf.DUMMYFUNCTION("""COMPUTED_VALUE"""),"Векил")</f>
        <v>Векил</v>
      </c>
      <c r="E1033" s="5" t="str">
        <f ca="1">IFERROR(__xludf.DUMMYFUNCTION("""COMPUTED_VALUE"""),"Команда №4431")</f>
        <v>Команда №4431</v>
      </c>
      <c r="F1033" s="6" t="str">
        <f ca="1">IFERROR(__xludf.DUMMYFUNCTION("""COMPUTED_VALUE"""),"Создание CRM-системы «Школы». Backend")</f>
        <v>Создание CRM-системы «Школы». Backend</v>
      </c>
      <c r="G1033" s="7">
        <f ca="1">IFERROR(__xludf.DUMMYFUNCTION("""COMPUTED_VALUE"""),84)</f>
        <v>84</v>
      </c>
    </row>
    <row r="1034" spans="1:7" ht="13.2" x14ac:dyDescent="0.25">
      <c r="A1034" s="5">
        <f ca="1">IFERROR(__xludf.DUMMYFUNCTION("""COMPUTED_VALUE"""),102)</f>
        <v>102</v>
      </c>
      <c r="B1034" s="5" t="str">
        <f ca="1">IFERROR(__xludf.DUMMYFUNCTION("""COMPUTED_VALUE"""),"Баястанов")</f>
        <v>Баястанов</v>
      </c>
      <c r="C1034" s="5" t="str">
        <f ca="1">IFERROR(__xludf.DUMMYFUNCTION("""COMPUTED_VALUE"""),"Азамат")</f>
        <v>Азамат</v>
      </c>
      <c r="D1034" s="5" t="str">
        <f ca="1">IFERROR(__xludf.DUMMYFUNCTION("""COMPUTED_VALUE"""),"Наилевич")</f>
        <v>Наилевич</v>
      </c>
      <c r="E1034" s="5" t="str">
        <f ca="1">IFERROR(__xludf.DUMMYFUNCTION("""COMPUTED_VALUE"""),"Команда №4431")</f>
        <v>Команда №4431</v>
      </c>
      <c r="F1034" s="6" t="str">
        <f ca="1">IFERROR(__xludf.DUMMYFUNCTION("""COMPUTED_VALUE"""),"Создание CRM-системы «Школы». Backend")</f>
        <v>Создание CRM-системы «Школы». Backend</v>
      </c>
      <c r="G1034" s="7">
        <f ca="1">IFERROR(__xludf.DUMMYFUNCTION("""COMPUTED_VALUE"""),84)</f>
        <v>84</v>
      </c>
    </row>
    <row r="1035" spans="1:7" ht="13.2" x14ac:dyDescent="0.25">
      <c r="A1035" s="5">
        <f ca="1">IFERROR(__xludf.DUMMYFUNCTION("""COMPUTED_VALUE"""),927)</f>
        <v>927</v>
      </c>
      <c r="B1035" s="5" t="str">
        <f ca="1">IFERROR(__xludf.DUMMYFUNCTION("""COMPUTED_VALUE"""),"Петрова")</f>
        <v>Петрова</v>
      </c>
      <c r="C1035" s="5" t="str">
        <f ca="1">IFERROR(__xludf.DUMMYFUNCTION("""COMPUTED_VALUE"""),"Елизавета")</f>
        <v>Елизавета</v>
      </c>
      <c r="D1035" s="5" t="str">
        <f ca="1">IFERROR(__xludf.DUMMYFUNCTION("""COMPUTED_VALUE"""),"Андреевна")</f>
        <v>Андреевна</v>
      </c>
      <c r="E1035" s="5" t="str">
        <f ca="1">IFERROR(__xludf.DUMMYFUNCTION("""COMPUTED_VALUE"""),"Команда №4431")</f>
        <v>Команда №4431</v>
      </c>
      <c r="F1035" s="6" t="str">
        <f ca="1">IFERROR(__xludf.DUMMYFUNCTION("""COMPUTED_VALUE"""),"Создание CRM-системы «Школы». Backend")</f>
        <v>Создание CRM-системы «Школы». Backend</v>
      </c>
      <c r="G1035" s="7">
        <f ca="1">IFERROR(__xludf.DUMMYFUNCTION("""COMPUTED_VALUE"""),84)</f>
        <v>84</v>
      </c>
    </row>
    <row r="1036" spans="1:7" ht="13.2" x14ac:dyDescent="0.25">
      <c r="A1036" s="5">
        <f ca="1">IFERROR(__xludf.DUMMYFUNCTION("""COMPUTED_VALUE"""),1266)</f>
        <v>1266</v>
      </c>
      <c r="B1036" s="5" t="str">
        <f ca="1">IFERROR(__xludf.DUMMYFUNCTION("""COMPUTED_VALUE"""),"Царегородцев")</f>
        <v>Царегородцев</v>
      </c>
      <c r="C1036" s="5" t="str">
        <f ca="1">IFERROR(__xludf.DUMMYFUNCTION("""COMPUTED_VALUE"""),"Георгий")</f>
        <v>Георгий</v>
      </c>
      <c r="D1036" s="5" t="str">
        <f ca="1">IFERROR(__xludf.DUMMYFUNCTION("""COMPUTED_VALUE"""),"Павлович")</f>
        <v>Павлович</v>
      </c>
      <c r="E1036" s="5" t="str">
        <f ca="1">IFERROR(__xludf.DUMMYFUNCTION("""COMPUTED_VALUE"""),"Команда №4431")</f>
        <v>Команда №4431</v>
      </c>
      <c r="F1036" s="6" t="str">
        <f ca="1">IFERROR(__xludf.DUMMYFUNCTION("""COMPUTED_VALUE"""),"Создание CRM-системы «Школы». Backend")</f>
        <v>Создание CRM-системы «Школы». Backend</v>
      </c>
      <c r="G1036" s="7">
        <f ca="1">IFERROR(__xludf.DUMMYFUNCTION("""COMPUTED_VALUE"""),84)</f>
        <v>84</v>
      </c>
    </row>
    <row r="1037" spans="1:7" ht="13.2" x14ac:dyDescent="0.25">
      <c r="A1037" s="5">
        <f ca="1">IFERROR(__xludf.DUMMYFUNCTION("""COMPUTED_VALUE"""),380)</f>
        <v>380</v>
      </c>
      <c r="B1037" s="5" t="str">
        <f ca="1">IFERROR(__xludf.DUMMYFUNCTION("""COMPUTED_VALUE"""),"Ершов")</f>
        <v>Ершов</v>
      </c>
      <c r="C1037" s="5" t="str">
        <f ca="1">IFERROR(__xludf.DUMMYFUNCTION("""COMPUTED_VALUE"""),"Леонид")</f>
        <v>Леонид</v>
      </c>
      <c r="D1037" s="5" t="str">
        <f ca="1">IFERROR(__xludf.DUMMYFUNCTION("""COMPUTED_VALUE"""),"Евгеньевич")</f>
        <v>Евгеньевич</v>
      </c>
      <c r="E1037" s="5" t="str">
        <f ca="1">IFERROR(__xludf.DUMMYFUNCTION("""COMPUTED_VALUE"""),"Команда №4432")</f>
        <v>Команда №4432</v>
      </c>
      <c r="F1037" s="6" t="str">
        <f ca="1">IFERROR(__xludf.DUMMYFUNCTION("""COMPUTED_VALUE"""),"Создание CRM-системы «Школы». Frontend")</f>
        <v>Создание CRM-системы «Школы». Frontend</v>
      </c>
      <c r="G1037" s="7">
        <f ca="1">IFERROR(__xludf.DUMMYFUNCTION("""COMPUTED_VALUE"""),85)</f>
        <v>85</v>
      </c>
    </row>
    <row r="1038" spans="1:7" ht="13.2" x14ac:dyDescent="0.25">
      <c r="A1038" s="5">
        <f ca="1">IFERROR(__xludf.DUMMYFUNCTION("""COMPUTED_VALUE"""),382)</f>
        <v>382</v>
      </c>
      <c r="B1038" s="5" t="str">
        <f ca="1">IFERROR(__xludf.DUMMYFUNCTION("""COMPUTED_VALUE"""),"Ершова")</f>
        <v>Ершова</v>
      </c>
      <c r="C1038" s="5" t="str">
        <f ca="1">IFERROR(__xludf.DUMMYFUNCTION("""COMPUTED_VALUE"""),"Анна")</f>
        <v>Анна</v>
      </c>
      <c r="D1038" s="5" t="str">
        <f ca="1">IFERROR(__xludf.DUMMYFUNCTION("""COMPUTED_VALUE"""),"Дмитриевна")</f>
        <v>Дмитриевна</v>
      </c>
      <c r="E1038" s="5" t="str">
        <f ca="1">IFERROR(__xludf.DUMMYFUNCTION("""COMPUTED_VALUE"""),"Команда №4432")</f>
        <v>Команда №4432</v>
      </c>
      <c r="F1038" s="6" t="str">
        <f ca="1">IFERROR(__xludf.DUMMYFUNCTION("""COMPUTED_VALUE"""),"Создание CRM-системы «Школы». Frontend")</f>
        <v>Создание CRM-системы «Школы». Frontend</v>
      </c>
      <c r="G1038" s="7">
        <f ca="1">IFERROR(__xludf.DUMMYFUNCTION("""COMPUTED_VALUE"""),85)</f>
        <v>85</v>
      </c>
    </row>
    <row r="1039" spans="1:7" ht="13.2" x14ac:dyDescent="0.25">
      <c r="A1039" s="5">
        <f ca="1">IFERROR(__xludf.DUMMYFUNCTION("""COMPUTED_VALUE"""),843)</f>
        <v>843</v>
      </c>
      <c r="B1039" s="5" t="str">
        <f ca="1">IFERROR(__xludf.DUMMYFUNCTION("""COMPUTED_VALUE"""),"Никитина")</f>
        <v>Никитина</v>
      </c>
      <c r="C1039" s="5" t="str">
        <f ca="1">IFERROR(__xludf.DUMMYFUNCTION("""COMPUTED_VALUE"""),"Мария")</f>
        <v>Мария</v>
      </c>
      <c r="D1039" s="5" t="str">
        <f ca="1">IFERROR(__xludf.DUMMYFUNCTION("""COMPUTED_VALUE"""),"Алексеевна")</f>
        <v>Алексеевна</v>
      </c>
      <c r="E1039" s="5" t="str">
        <f ca="1">IFERROR(__xludf.DUMMYFUNCTION("""COMPUTED_VALUE"""),"Команда №4432")</f>
        <v>Команда №4432</v>
      </c>
      <c r="F1039" s="6" t="str">
        <f ca="1">IFERROR(__xludf.DUMMYFUNCTION("""COMPUTED_VALUE"""),"Создание CRM-системы «Школы». Frontend")</f>
        <v>Создание CRM-системы «Школы». Frontend</v>
      </c>
      <c r="G1039" s="7">
        <f ca="1">IFERROR(__xludf.DUMMYFUNCTION("""COMPUTED_VALUE"""),85)</f>
        <v>85</v>
      </c>
    </row>
    <row r="1040" spans="1:7" ht="13.2" x14ac:dyDescent="0.25">
      <c r="A1040" s="5">
        <f ca="1">IFERROR(__xludf.DUMMYFUNCTION("""COMPUTED_VALUE"""),705)</f>
        <v>705</v>
      </c>
      <c r="B1040" s="5" t="str">
        <f ca="1">IFERROR(__xludf.DUMMYFUNCTION("""COMPUTED_VALUE"""),"Магомедов")</f>
        <v>Магомедов</v>
      </c>
      <c r="C1040" s="5" t="str">
        <f ca="1">IFERROR(__xludf.DUMMYFUNCTION("""COMPUTED_VALUE"""),"Айдимир")</f>
        <v>Айдимир</v>
      </c>
      <c r="D1040" s="5" t="str">
        <f ca="1">IFERROR(__xludf.DUMMYFUNCTION("""COMPUTED_VALUE"""),"Асбегович")</f>
        <v>Асбегович</v>
      </c>
      <c r="E1040" s="5" t="str">
        <f ca="1">IFERROR(__xludf.DUMMYFUNCTION("""COMPUTED_VALUE"""),"Команда №4433")</f>
        <v>Команда №4433</v>
      </c>
      <c r="F1040" s="6" t="str">
        <f ca="1">IFERROR(__xludf.DUMMYFUNCTION("""COMPUTED_VALUE"""),"Создание CRM-системы «Школы». Mobile")</f>
        <v>Создание CRM-системы «Школы». Mobile</v>
      </c>
      <c r="G1040" s="7">
        <f ca="1">IFERROR(__xludf.DUMMYFUNCTION("""COMPUTED_VALUE"""),85)</f>
        <v>85</v>
      </c>
    </row>
    <row r="1041" spans="1:7" ht="13.2" x14ac:dyDescent="0.25">
      <c r="A1041" s="5">
        <f ca="1">IFERROR(__xludf.DUMMYFUNCTION("""COMPUTED_VALUE"""),963)</f>
        <v>963</v>
      </c>
      <c r="B1041" s="5" t="str">
        <f ca="1">IFERROR(__xludf.DUMMYFUNCTION("""COMPUTED_VALUE"""),"Прокопьева")</f>
        <v>Прокопьева</v>
      </c>
      <c r="C1041" s="5" t="str">
        <f ca="1">IFERROR(__xludf.DUMMYFUNCTION("""COMPUTED_VALUE"""),"Елизавета")</f>
        <v>Елизавета</v>
      </c>
      <c r="D1041" s="5" t="str">
        <f ca="1">IFERROR(__xludf.DUMMYFUNCTION("""COMPUTED_VALUE"""),"Алексеевна")</f>
        <v>Алексеевна</v>
      </c>
      <c r="E1041" s="5" t="str">
        <f ca="1">IFERROR(__xludf.DUMMYFUNCTION("""COMPUTED_VALUE"""),"Команда №4433")</f>
        <v>Команда №4433</v>
      </c>
      <c r="F1041" s="6" t="str">
        <f ca="1">IFERROR(__xludf.DUMMYFUNCTION("""COMPUTED_VALUE"""),"Создание CRM-системы «Школы». Mobile")</f>
        <v>Создание CRM-системы «Школы». Mobile</v>
      </c>
      <c r="G1041" s="7">
        <f ca="1">IFERROR(__xludf.DUMMYFUNCTION("""COMPUTED_VALUE"""),85)</f>
        <v>85</v>
      </c>
    </row>
    <row r="1042" spans="1:7" ht="13.2" x14ac:dyDescent="0.25">
      <c r="A1042" s="5">
        <f ca="1">IFERROR(__xludf.DUMMYFUNCTION("""COMPUTED_VALUE"""),1354)</f>
        <v>1354</v>
      </c>
      <c r="B1042" s="5" t="str">
        <f ca="1">IFERROR(__xludf.DUMMYFUNCTION("""COMPUTED_VALUE"""),"Щепин")</f>
        <v>Щепин</v>
      </c>
      <c r="C1042" s="5" t="str">
        <f ca="1">IFERROR(__xludf.DUMMYFUNCTION("""COMPUTED_VALUE"""),"Роман")</f>
        <v>Роман</v>
      </c>
      <c r="D1042" s="5" t="str">
        <f ca="1">IFERROR(__xludf.DUMMYFUNCTION("""COMPUTED_VALUE"""),"Ильич")</f>
        <v>Ильич</v>
      </c>
      <c r="E1042" s="5" t="str">
        <f ca="1">IFERROR(__xludf.DUMMYFUNCTION("""COMPUTED_VALUE"""),"Команда №4433")</f>
        <v>Команда №4433</v>
      </c>
      <c r="F1042" s="6" t="str">
        <f ca="1">IFERROR(__xludf.DUMMYFUNCTION("""COMPUTED_VALUE"""),"Создание CRM-системы «Школы». Mobile")</f>
        <v>Создание CRM-системы «Школы». Mobile</v>
      </c>
      <c r="G1042" s="7">
        <f ca="1">IFERROR(__xludf.DUMMYFUNCTION("""COMPUTED_VALUE"""),85)</f>
        <v>85</v>
      </c>
    </row>
    <row r="1043" spans="1:7" ht="39.6" x14ac:dyDescent="0.25">
      <c r="A1043" s="5">
        <f ca="1">IFERROR(__xludf.DUMMYFUNCTION("""COMPUTED_VALUE"""),251)</f>
        <v>251</v>
      </c>
      <c r="B1043" s="5" t="str">
        <f ca="1">IFERROR(__xludf.DUMMYFUNCTION("""COMPUTED_VALUE"""),"Гилев")</f>
        <v>Гилев</v>
      </c>
      <c r="C1043" s="5" t="str">
        <f ca="1">IFERROR(__xludf.DUMMYFUNCTION("""COMPUTED_VALUE"""),"Егор")</f>
        <v>Егор</v>
      </c>
      <c r="D1043" s="5" t="str">
        <f ca="1">IFERROR(__xludf.DUMMYFUNCTION("""COMPUTED_VALUE"""),"Николаевич")</f>
        <v>Николаевич</v>
      </c>
      <c r="E1043" s="5" t="str">
        <f ca="1">IFERROR(__xludf.DUMMYFUNCTION("""COMPUTED_VALUE"""),"Команда №4436")</f>
        <v>Команда №4436</v>
      </c>
      <c r="F1043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1043" s="7">
        <f ca="1">IFERROR(__xludf.DUMMYFUNCTION("""COMPUTED_VALUE"""),90)</f>
        <v>90</v>
      </c>
    </row>
    <row r="1044" spans="1:7" ht="39.6" x14ac:dyDescent="0.25">
      <c r="A1044" s="5">
        <f ca="1">IFERROR(__xludf.DUMMYFUNCTION("""COMPUTED_VALUE"""),423)</f>
        <v>423</v>
      </c>
      <c r="B1044" s="5" t="str">
        <f ca="1">IFERROR(__xludf.DUMMYFUNCTION("""COMPUTED_VALUE"""),"Захарова")</f>
        <v>Захарова</v>
      </c>
      <c r="C1044" s="5" t="str">
        <f ca="1">IFERROR(__xludf.DUMMYFUNCTION("""COMPUTED_VALUE"""),"Наталья")</f>
        <v>Наталья</v>
      </c>
      <c r="D1044" s="5" t="str">
        <f ca="1">IFERROR(__xludf.DUMMYFUNCTION("""COMPUTED_VALUE"""),"Николаевна")</f>
        <v>Николаевна</v>
      </c>
      <c r="E1044" s="5" t="str">
        <f ca="1">IFERROR(__xludf.DUMMYFUNCTION("""COMPUTED_VALUE"""),"Команда №4436")</f>
        <v>Команда №4436</v>
      </c>
      <c r="F1044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1044" s="7">
        <f ca="1">IFERROR(__xludf.DUMMYFUNCTION("""COMPUTED_VALUE"""),90)</f>
        <v>90</v>
      </c>
    </row>
    <row r="1045" spans="1:7" ht="39.6" x14ac:dyDescent="0.25">
      <c r="A1045" s="5">
        <f ca="1">IFERROR(__xludf.DUMMYFUNCTION("""COMPUTED_VALUE"""),861)</f>
        <v>861</v>
      </c>
      <c r="B1045" s="5" t="str">
        <f ca="1">IFERROR(__xludf.DUMMYFUNCTION("""COMPUTED_VALUE"""),"Носкова")</f>
        <v>Носкова</v>
      </c>
      <c r="C1045" s="5" t="str">
        <f ca="1">IFERROR(__xludf.DUMMYFUNCTION("""COMPUTED_VALUE"""),"Дарья")</f>
        <v>Дарья</v>
      </c>
      <c r="D1045" s="5" t="str">
        <f ca="1">IFERROR(__xludf.DUMMYFUNCTION("""COMPUTED_VALUE"""),"Дмитриевна")</f>
        <v>Дмитриевна</v>
      </c>
      <c r="E1045" s="5" t="str">
        <f ca="1">IFERROR(__xludf.DUMMYFUNCTION("""COMPUTED_VALUE"""),"Команда №4436")</f>
        <v>Команда №4436</v>
      </c>
      <c r="F1045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1045" s="7">
        <f ca="1">IFERROR(__xludf.DUMMYFUNCTION("""COMPUTED_VALUE"""),90)</f>
        <v>90</v>
      </c>
    </row>
    <row r="1046" spans="1:7" ht="39.6" x14ac:dyDescent="0.25">
      <c r="A1046" s="5">
        <f ca="1">IFERROR(__xludf.DUMMYFUNCTION("""COMPUTED_VALUE"""),1099)</f>
        <v>1099</v>
      </c>
      <c r="B1046" s="5" t="str">
        <f ca="1">IFERROR(__xludf.DUMMYFUNCTION("""COMPUTED_VALUE"""),"Соловьев")</f>
        <v>Соловьев</v>
      </c>
      <c r="C1046" s="5" t="str">
        <f ca="1">IFERROR(__xludf.DUMMYFUNCTION("""COMPUTED_VALUE"""),"Евгений")</f>
        <v>Евгений</v>
      </c>
      <c r="D1046" s="5" t="str">
        <f ca="1">IFERROR(__xludf.DUMMYFUNCTION("""COMPUTED_VALUE"""),"Сергеевич")</f>
        <v>Сергеевич</v>
      </c>
      <c r="E1046" s="5" t="str">
        <f ca="1">IFERROR(__xludf.DUMMYFUNCTION("""COMPUTED_VALUE"""),"Команда №4436")</f>
        <v>Команда №4436</v>
      </c>
      <c r="F1046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1046" s="7">
        <f ca="1">IFERROR(__xludf.DUMMYFUNCTION("""COMPUTED_VALUE"""),90)</f>
        <v>90</v>
      </c>
    </row>
    <row r="1047" spans="1:7" ht="39.6" x14ac:dyDescent="0.25">
      <c r="A1047" s="5">
        <f ca="1">IFERROR(__xludf.DUMMYFUNCTION("""COMPUTED_VALUE"""),1116)</f>
        <v>1116</v>
      </c>
      <c r="B1047" s="5" t="str">
        <f ca="1">IFERROR(__xludf.DUMMYFUNCTION("""COMPUTED_VALUE"""),"Старцев")</f>
        <v>Старцев</v>
      </c>
      <c r="C1047" s="5" t="str">
        <f ca="1">IFERROR(__xludf.DUMMYFUNCTION("""COMPUTED_VALUE"""),"Роман")</f>
        <v>Роман</v>
      </c>
      <c r="D1047" s="5" t="str">
        <f ca="1">IFERROR(__xludf.DUMMYFUNCTION("""COMPUTED_VALUE"""),"Александрович")</f>
        <v>Александрович</v>
      </c>
      <c r="E1047" s="5" t="str">
        <f ca="1">IFERROR(__xludf.DUMMYFUNCTION("""COMPUTED_VALUE"""),"Команда №4436")</f>
        <v>Команда №4436</v>
      </c>
      <c r="F1047" s="6" t="str">
        <f ca="1">IFERROR(__xludf.DUMMYFUNCTION("""COMPUTED_VALUE"""),"Привлечение пользователей компании ПАО ТМК к обратной связи по качеству выполненных обращений в действующем SD")</f>
        <v>Привлечение пользователей компании ПАО ТМК к обратной связи по качеству выполненных обращений в действующем SD</v>
      </c>
      <c r="G1047" s="7">
        <f ca="1">IFERROR(__xludf.DUMMYFUNCTION("""COMPUTED_VALUE"""),90)</f>
        <v>90</v>
      </c>
    </row>
    <row r="1048" spans="1:7" ht="39.6" x14ac:dyDescent="0.25">
      <c r="A1048" s="5">
        <f ca="1">IFERROR(__xludf.DUMMYFUNCTION("""COMPUTED_VALUE"""),73)</f>
        <v>73</v>
      </c>
      <c r="B1048" s="5" t="str">
        <f ca="1">IFERROR(__xludf.DUMMYFUNCTION("""COMPUTED_VALUE"""),"Бабаков")</f>
        <v>Бабаков</v>
      </c>
      <c r="C1048" s="5" t="str">
        <f ca="1">IFERROR(__xludf.DUMMYFUNCTION("""COMPUTED_VALUE"""),"Владислав")</f>
        <v>Владислав</v>
      </c>
      <c r="D1048" s="5" t="str">
        <f ca="1">IFERROR(__xludf.DUMMYFUNCTION("""COMPUTED_VALUE"""),"Олегович")</f>
        <v>Олегович</v>
      </c>
      <c r="E1048" s="5" t="str">
        <f ca="1">IFERROR(__xludf.DUMMYFUNCTION("""COMPUTED_VALUE"""),"Команда №4437")</f>
        <v>Команда №4437</v>
      </c>
      <c r="F1048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48" s="7">
        <f ca="1">IFERROR(__xludf.DUMMYFUNCTION("""COMPUTED_VALUE"""),100)</f>
        <v>100</v>
      </c>
    </row>
    <row r="1049" spans="1:7" ht="39.6" x14ac:dyDescent="0.25">
      <c r="A1049" s="5">
        <f ca="1">IFERROR(__xludf.DUMMYFUNCTION("""COMPUTED_VALUE"""),395)</f>
        <v>395</v>
      </c>
      <c r="B1049" s="5" t="str">
        <f ca="1">IFERROR(__xludf.DUMMYFUNCTION("""COMPUTED_VALUE"""),"Жунёв")</f>
        <v>Жунёв</v>
      </c>
      <c r="C1049" s="5" t="str">
        <f ca="1">IFERROR(__xludf.DUMMYFUNCTION("""COMPUTED_VALUE"""),"Андрей")</f>
        <v>Андрей</v>
      </c>
      <c r="D1049" s="5" t="str">
        <f ca="1">IFERROR(__xludf.DUMMYFUNCTION("""COMPUTED_VALUE"""),"Александрович")</f>
        <v>Александрович</v>
      </c>
      <c r="E1049" s="5" t="str">
        <f ca="1">IFERROR(__xludf.DUMMYFUNCTION("""COMPUTED_VALUE"""),"Команда №4437")</f>
        <v>Команда №4437</v>
      </c>
      <c r="F1049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49" s="7">
        <f ca="1">IFERROR(__xludf.DUMMYFUNCTION("""COMPUTED_VALUE"""),100)</f>
        <v>100</v>
      </c>
    </row>
    <row r="1050" spans="1:7" ht="39.6" x14ac:dyDescent="0.25">
      <c r="A1050" s="5">
        <f ca="1">IFERROR(__xludf.DUMMYFUNCTION("""COMPUTED_VALUE"""),754)</f>
        <v>754</v>
      </c>
      <c r="B1050" s="5" t="str">
        <f ca="1">IFERROR(__xludf.DUMMYFUNCTION("""COMPUTED_VALUE"""),"Мельников")</f>
        <v>Мельников</v>
      </c>
      <c r="C1050" s="5" t="str">
        <f ca="1">IFERROR(__xludf.DUMMYFUNCTION("""COMPUTED_VALUE"""),"Макар")</f>
        <v>Макар</v>
      </c>
      <c r="D1050" s="5" t="str">
        <f ca="1">IFERROR(__xludf.DUMMYFUNCTION("""COMPUTED_VALUE"""),"Александрович")</f>
        <v>Александрович</v>
      </c>
      <c r="E1050" s="5" t="str">
        <f ca="1">IFERROR(__xludf.DUMMYFUNCTION("""COMPUTED_VALUE"""),"Команда №4437")</f>
        <v>Команда №4437</v>
      </c>
      <c r="F1050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50" s="7">
        <f ca="1">IFERROR(__xludf.DUMMYFUNCTION("""COMPUTED_VALUE"""),100)</f>
        <v>100</v>
      </c>
    </row>
    <row r="1051" spans="1:7" ht="39.6" x14ac:dyDescent="0.25">
      <c r="A1051" s="5">
        <f ca="1">IFERROR(__xludf.DUMMYFUNCTION("""COMPUTED_VALUE"""),768)</f>
        <v>768</v>
      </c>
      <c r="B1051" s="5" t="str">
        <f ca="1">IFERROR(__xludf.DUMMYFUNCTION("""COMPUTED_VALUE"""),"Михайлов")</f>
        <v>Михайлов</v>
      </c>
      <c r="C1051" s="5" t="str">
        <f ca="1">IFERROR(__xludf.DUMMYFUNCTION("""COMPUTED_VALUE"""),"Дмитрий")</f>
        <v>Дмитрий</v>
      </c>
      <c r="D1051" s="5" t="str">
        <f ca="1">IFERROR(__xludf.DUMMYFUNCTION("""COMPUTED_VALUE"""),"Георгиевич")</f>
        <v>Георгиевич</v>
      </c>
      <c r="E1051" s="5" t="str">
        <f ca="1">IFERROR(__xludf.DUMMYFUNCTION("""COMPUTED_VALUE"""),"Команда №4437")</f>
        <v>Команда №4437</v>
      </c>
      <c r="F1051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51" s="7">
        <f ca="1">IFERROR(__xludf.DUMMYFUNCTION("""COMPUTED_VALUE"""),100)</f>
        <v>100</v>
      </c>
    </row>
    <row r="1052" spans="1:7" ht="39.6" x14ac:dyDescent="0.25">
      <c r="A1052" s="5">
        <f ca="1">IFERROR(__xludf.DUMMYFUNCTION("""COMPUTED_VALUE"""),899)</f>
        <v>899</v>
      </c>
      <c r="B1052" s="5" t="str">
        <f ca="1">IFERROR(__xludf.DUMMYFUNCTION("""COMPUTED_VALUE"""),"Панкратов")</f>
        <v>Панкратов</v>
      </c>
      <c r="C1052" s="5" t="str">
        <f ca="1">IFERROR(__xludf.DUMMYFUNCTION("""COMPUTED_VALUE"""),"Дмитрий")</f>
        <v>Дмитрий</v>
      </c>
      <c r="D1052" s="5" t="str">
        <f ca="1">IFERROR(__xludf.DUMMYFUNCTION("""COMPUTED_VALUE"""),"Игоревич")</f>
        <v>Игоревич</v>
      </c>
      <c r="E1052" s="5" t="str">
        <f ca="1">IFERROR(__xludf.DUMMYFUNCTION("""COMPUTED_VALUE"""),"Команда №4437")</f>
        <v>Команда №4437</v>
      </c>
      <c r="F1052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52" s="7">
        <f ca="1">IFERROR(__xludf.DUMMYFUNCTION("""COMPUTED_VALUE"""),100)</f>
        <v>100</v>
      </c>
    </row>
    <row r="1053" spans="1:7" ht="39.6" x14ac:dyDescent="0.25">
      <c r="A1053" s="5">
        <f ca="1">IFERROR(__xludf.DUMMYFUNCTION("""COMPUTED_VALUE"""),82)</f>
        <v>82</v>
      </c>
      <c r="B1053" s="5" t="str">
        <f ca="1">IFERROR(__xludf.DUMMYFUNCTION("""COMPUTED_VALUE"""),"Байчеров")</f>
        <v>Байчеров</v>
      </c>
      <c r="C1053" s="5" t="str">
        <f ca="1">IFERROR(__xludf.DUMMYFUNCTION("""COMPUTED_VALUE"""),"Павел")</f>
        <v>Павел</v>
      </c>
      <c r="D1053" s="5" t="str">
        <f ca="1">IFERROR(__xludf.DUMMYFUNCTION("""COMPUTED_VALUE"""),"Андреевич")</f>
        <v>Андреевич</v>
      </c>
      <c r="E1053" s="5" t="str">
        <f ca="1">IFERROR(__xludf.DUMMYFUNCTION("""COMPUTED_VALUE"""),"Команда №4440")</f>
        <v>Команда №4440</v>
      </c>
      <c r="F1053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053" s="7">
        <f ca="1">IFERROR(__xludf.DUMMYFUNCTION("""COMPUTED_VALUE"""),85)</f>
        <v>85</v>
      </c>
    </row>
    <row r="1054" spans="1:7" ht="39.6" x14ac:dyDescent="0.25">
      <c r="A1054" s="5">
        <f ca="1">IFERROR(__xludf.DUMMYFUNCTION("""COMPUTED_VALUE"""),462)</f>
        <v>462</v>
      </c>
      <c r="B1054" s="5" t="str">
        <f ca="1">IFERROR(__xludf.DUMMYFUNCTION("""COMPUTED_VALUE"""),"Ижикова")</f>
        <v>Ижикова</v>
      </c>
      <c r="C1054" s="5" t="str">
        <f ca="1">IFERROR(__xludf.DUMMYFUNCTION("""COMPUTED_VALUE"""),"Алёна")</f>
        <v>Алёна</v>
      </c>
      <c r="D1054" s="5" t="str">
        <f ca="1">IFERROR(__xludf.DUMMYFUNCTION("""COMPUTED_VALUE"""),"Сергеевна")</f>
        <v>Сергеевна</v>
      </c>
      <c r="E1054" s="5" t="str">
        <f ca="1">IFERROR(__xludf.DUMMYFUNCTION("""COMPUTED_VALUE"""),"Команда №4440")</f>
        <v>Команда №4440</v>
      </c>
      <c r="F1054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054" s="7">
        <f ca="1">IFERROR(__xludf.DUMMYFUNCTION("""COMPUTED_VALUE"""),85)</f>
        <v>85</v>
      </c>
    </row>
    <row r="1055" spans="1:7" ht="39.6" x14ac:dyDescent="0.25">
      <c r="A1055" s="5">
        <f ca="1">IFERROR(__xludf.DUMMYFUNCTION("""COMPUTED_VALUE"""),508)</f>
        <v>508</v>
      </c>
      <c r="B1055" s="5" t="str">
        <f ca="1">IFERROR(__xludf.DUMMYFUNCTION("""COMPUTED_VALUE"""),"Кибатов")</f>
        <v>Кибатов</v>
      </c>
      <c r="C1055" s="5" t="str">
        <f ca="1">IFERROR(__xludf.DUMMYFUNCTION("""COMPUTED_VALUE"""),"Иван")</f>
        <v>Иван</v>
      </c>
      <c r="D1055" s="5" t="str">
        <f ca="1">IFERROR(__xludf.DUMMYFUNCTION("""COMPUTED_VALUE"""),"Олегович")</f>
        <v>Олегович</v>
      </c>
      <c r="E1055" s="5" t="str">
        <f ca="1">IFERROR(__xludf.DUMMYFUNCTION("""COMPUTED_VALUE"""),"Команда №4440")</f>
        <v>Команда №4440</v>
      </c>
      <c r="F1055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055" s="7">
        <f ca="1">IFERROR(__xludf.DUMMYFUNCTION("""COMPUTED_VALUE"""),85)</f>
        <v>85</v>
      </c>
    </row>
    <row r="1056" spans="1:7" ht="39.6" x14ac:dyDescent="0.25">
      <c r="A1056" s="5">
        <f ca="1">IFERROR(__xludf.DUMMYFUNCTION("""COMPUTED_VALUE"""),1173)</f>
        <v>1173</v>
      </c>
      <c r="B1056" s="5" t="str">
        <f ca="1">IFERROR(__xludf.DUMMYFUNCTION("""COMPUTED_VALUE"""),"Тринц")</f>
        <v>Тринц</v>
      </c>
      <c r="C1056" s="5" t="str">
        <f ca="1">IFERROR(__xludf.DUMMYFUNCTION("""COMPUTED_VALUE"""),"Илья")</f>
        <v>Илья</v>
      </c>
      <c r="D1056" s="5" t="str">
        <f ca="1">IFERROR(__xludf.DUMMYFUNCTION("""COMPUTED_VALUE"""),"Олегович")</f>
        <v>Олегович</v>
      </c>
      <c r="E1056" s="5" t="str">
        <f ca="1">IFERROR(__xludf.DUMMYFUNCTION("""COMPUTED_VALUE"""),"Команда №4440")</f>
        <v>Команда №4440</v>
      </c>
      <c r="F1056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056" s="7">
        <f ca="1">IFERROR(__xludf.DUMMYFUNCTION("""COMPUTED_VALUE"""),85)</f>
        <v>85</v>
      </c>
    </row>
    <row r="1057" spans="1:7" ht="26.4" x14ac:dyDescent="0.25">
      <c r="A1057" s="5">
        <f ca="1">IFERROR(__xludf.DUMMYFUNCTION("""COMPUTED_VALUE"""),625)</f>
        <v>625</v>
      </c>
      <c r="B1057" s="5" t="str">
        <f ca="1">IFERROR(__xludf.DUMMYFUNCTION("""COMPUTED_VALUE"""),"Кузин")</f>
        <v>Кузин</v>
      </c>
      <c r="C1057" s="5" t="str">
        <f ca="1">IFERROR(__xludf.DUMMYFUNCTION("""COMPUTED_VALUE"""),"Юрий")</f>
        <v>Юрий</v>
      </c>
      <c r="D1057" s="5" t="str">
        <f ca="1">IFERROR(__xludf.DUMMYFUNCTION("""COMPUTED_VALUE"""),"Вячеславович")</f>
        <v>Вячеславович</v>
      </c>
      <c r="E1057" s="5" t="str">
        <f ca="1">IFERROR(__xludf.DUMMYFUNCTION("""COMPUTED_VALUE"""),"Команда №4442")</f>
        <v>Команда №4442</v>
      </c>
      <c r="F1057" s="6" t="str">
        <f ca="1">IFERROR(__xludf.DUMMYFUNCTION("""COMPUTED_VALUE"""),"Разработка алгоритма таджикско-персидской ""транслитерации""")</f>
        <v>Разработка алгоритма таджикско-персидской "транслитерации"</v>
      </c>
      <c r="G1057" s="7">
        <f ca="1">IFERROR(__xludf.DUMMYFUNCTION("""COMPUTED_VALUE"""),85)</f>
        <v>85</v>
      </c>
    </row>
    <row r="1058" spans="1:7" ht="26.4" x14ac:dyDescent="0.25">
      <c r="A1058" s="5">
        <f ca="1">IFERROR(__xludf.DUMMYFUNCTION("""COMPUTED_VALUE"""),834)</f>
        <v>834</v>
      </c>
      <c r="B1058" s="5" t="str">
        <f ca="1">IFERROR(__xludf.DUMMYFUNCTION("""COMPUTED_VALUE"""),"Нестеров")</f>
        <v>Нестеров</v>
      </c>
      <c r="C1058" s="5" t="str">
        <f ca="1">IFERROR(__xludf.DUMMYFUNCTION("""COMPUTED_VALUE"""),"Матвей")</f>
        <v>Матвей</v>
      </c>
      <c r="D1058" s="5" t="str">
        <f ca="1">IFERROR(__xludf.DUMMYFUNCTION("""COMPUTED_VALUE"""),"Дмитриевич")</f>
        <v>Дмитриевич</v>
      </c>
      <c r="E1058" s="5" t="str">
        <f ca="1">IFERROR(__xludf.DUMMYFUNCTION("""COMPUTED_VALUE"""),"Команда №4442")</f>
        <v>Команда №4442</v>
      </c>
      <c r="F1058" s="6" t="str">
        <f ca="1">IFERROR(__xludf.DUMMYFUNCTION("""COMPUTED_VALUE"""),"Разработка алгоритма таджикско-персидской ""транслитерации""")</f>
        <v>Разработка алгоритма таджикско-персидской "транслитерации"</v>
      </c>
      <c r="G1058" s="7">
        <f ca="1">IFERROR(__xludf.DUMMYFUNCTION("""COMPUTED_VALUE"""),85)</f>
        <v>85</v>
      </c>
    </row>
    <row r="1059" spans="1:7" ht="26.4" x14ac:dyDescent="0.25">
      <c r="A1059" s="5">
        <f ca="1">IFERROR(__xludf.DUMMYFUNCTION("""COMPUTED_VALUE"""),1063)</f>
        <v>1063</v>
      </c>
      <c r="B1059" s="5" t="str">
        <f ca="1">IFERROR(__xludf.DUMMYFUNCTION("""COMPUTED_VALUE"""),"Сидоренко")</f>
        <v>Сидоренко</v>
      </c>
      <c r="C1059" s="5" t="str">
        <f ca="1">IFERROR(__xludf.DUMMYFUNCTION("""COMPUTED_VALUE"""),"Максим")</f>
        <v>Максим</v>
      </c>
      <c r="D1059" s="5" t="str">
        <f ca="1">IFERROR(__xludf.DUMMYFUNCTION("""COMPUTED_VALUE"""),"Евгеньевич")</f>
        <v>Евгеньевич</v>
      </c>
      <c r="E1059" s="5" t="str">
        <f ca="1">IFERROR(__xludf.DUMMYFUNCTION("""COMPUTED_VALUE"""),"Команда №4442")</f>
        <v>Команда №4442</v>
      </c>
      <c r="F1059" s="6" t="str">
        <f ca="1">IFERROR(__xludf.DUMMYFUNCTION("""COMPUTED_VALUE"""),"Разработка алгоритма таджикско-персидской ""транслитерации""")</f>
        <v>Разработка алгоритма таджикско-персидской "транслитерации"</v>
      </c>
      <c r="G1059" s="7">
        <f ca="1">IFERROR(__xludf.DUMMYFUNCTION("""COMPUTED_VALUE"""),85)</f>
        <v>85</v>
      </c>
    </row>
    <row r="1060" spans="1:7" ht="26.4" x14ac:dyDescent="0.25">
      <c r="A1060" s="5">
        <f ca="1">IFERROR(__xludf.DUMMYFUNCTION("""COMPUTED_VALUE"""),1312)</f>
        <v>1312</v>
      </c>
      <c r="B1060" s="5" t="str">
        <f ca="1">IFERROR(__xludf.DUMMYFUNCTION("""COMPUTED_VALUE"""),"Шапошников")</f>
        <v>Шапошников</v>
      </c>
      <c r="C1060" s="5" t="str">
        <f ca="1">IFERROR(__xludf.DUMMYFUNCTION("""COMPUTED_VALUE"""),"Игорь")</f>
        <v>Игорь</v>
      </c>
      <c r="D1060" s="5" t="str">
        <f ca="1">IFERROR(__xludf.DUMMYFUNCTION("""COMPUTED_VALUE"""),"Викторович")</f>
        <v>Викторович</v>
      </c>
      <c r="E1060" s="5" t="str">
        <f ca="1">IFERROR(__xludf.DUMMYFUNCTION("""COMPUTED_VALUE"""),"Команда №4442")</f>
        <v>Команда №4442</v>
      </c>
      <c r="F1060" s="6" t="str">
        <f ca="1">IFERROR(__xludf.DUMMYFUNCTION("""COMPUTED_VALUE"""),"Разработка алгоритма таджикско-персидской ""транслитерации""")</f>
        <v>Разработка алгоритма таджикско-персидской "транслитерации"</v>
      </c>
      <c r="G1060" s="7">
        <f ca="1">IFERROR(__xludf.DUMMYFUNCTION("""COMPUTED_VALUE"""),85)</f>
        <v>85</v>
      </c>
    </row>
    <row r="1061" spans="1:7" ht="26.4" x14ac:dyDescent="0.25">
      <c r="A1061" s="5">
        <f ca="1">IFERROR(__xludf.DUMMYFUNCTION("""COMPUTED_VALUE"""),278)</f>
        <v>278</v>
      </c>
      <c r="B1061" s="5" t="str">
        <f ca="1">IFERROR(__xludf.DUMMYFUNCTION("""COMPUTED_VALUE"""),"Грибанов")</f>
        <v>Грибанов</v>
      </c>
      <c r="C1061" s="5" t="str">
        <f ca="1">IFERROR(__xludf.DUMMYFUNCTION("""COMPUTED_VALUE"""),"Данил")</f>
        <v>Данил</v>
      </c>
      <c r="D1061" s="5" t="str">
        <f ca="1">IFERROR(__xludf.DUMMYFUNCTION("""COMPUTED_VALUE"""),"Андреевич")</f>
        <v>Андреевич</v>
      </c>
      <c r="E1061" s="5" t="str">
        <f ca="1">IFERROR(__xludf.DUMMYFUNCTION("""COMPUTED_VALUE"""),"Команда №4443")</f>
        <v>Команда №4443</v>
      </c>
      <c r="F1061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1061" s="7">
        <f ca="1">IFERROR(__xludf.DUMMYFUNCTION("""COMPUTED_VALUE"""),95)</f>
        <v>95</v>
      </c>
    </row>
    <row r="1062" spans="1:7" ht="26.4" x14ac:dyDescent="0.25">
      <c r="A1062" s="5">
        <f ca="1">IFERROR(__xludf.DUMMYFUNCTION("""COMPUTED_VALUE"""),531)</f>
        <v>531</v>
      </c>
      <c r="B1062" s="5" t="str">
        <f ca="1">IFERROR(__xludf.DUMMYFUNCTION("""COMPUTED_VALUE"""),"Кобелев")</f>
        <v>Кобелев</v>
      </c>
      <c r="C1062" s="5" t="str">
        <f ca="1">IFERROR(__xludf.DUMMYFUNCTION("""COMPUTED_VALUE"""),"Егор")</f>
        <v>Егор</v>
      </c>
      <c r="D1062" s="5" t="str">
        <f ca="1">IFERROR(__xludf.DUMMYFUNCTION("""COMPUTED_VALUE"""),"Олегович")</f>
        <v>Олегович</v>
      </c>
      <c r="E1062" s="5" t="str">
        <f ca="1">IFERROR(__xludf.DUMMYFUNCTION("""COMPUTED_VALUE"""),"Команда №4443")</f>
        <v>Команда №4443</v>
      </c>
      <c r="F1062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1062" s="7">
        <f ca="1">IFERROR(__xludf.DUMMYFUNCTION("""COMPUTED_VALUE"""),95)</f>
        <v>95</v>
      </c>
    </row>
    <row r="1063" spans="1:7" ht="26.4" x14ac:dyDescent="0.25">
      <c r="A1063" s="5">
        <f ca="1">IFERROR(__xludf.DUMMYFUNCTION("""COMPUTED_VALUE"""),870)</f>
        <v>870</v>
      </c>
      <c r="B1063" s="5" t="str">
        <f ca="1">IFERROR(__xludf.DUMMYFUNCTION("""COMPUTED_VALUE"""),"Овечкин")</f>
        <v>Овечкин</v>
      </c>
      <c r="C1063" s="5" t="str">
        <f ca="1">IFERROR(__xludf.DUMMYFUNCTION("""COMPUTED_VALUE"""),"Дмитрий")</f>
        <v>Дмитрий</v>
      </c>
      <c r="D1063" s="5" t="str">
        <f ca="1">IFERROR(__xludf.DUMMYFUNCTION("""COMPUTED_VALUE"""),"Сергеевич")</f>
        <v>Сергеевич</v>
      </c>
      <c r="E1063" s="5" t="str">
        <f ca="1">IFERROR(__xludf.DUMMYFUNCTION("""COMPUTED_VALUE"""),"Команда №4443")</f>
        <v>Команда №4443</v>
      </c>
      <c r="F1063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1063" s="7">
        <f ca="1">IFERROR(__xludf.DUMMYFUNCTION("""COMPUTED_VALUE"""),95)</f>
        <v>95</v>
      </c>
    </row>
    <row r="1064" spans="1:7" ht="26.4" x14ac:dyDescent="0.25">
      <c r="A1064" s="5">
        <f ca="1">IFERROR(__xludf.DUMMYFUNCTION("""COMPUTED_VALUE"""),1137)</f>
        <v>1137</v>
      </c>
      <c r="B1064" s="5" t="str">
        <f ca="1">IFERROR(__xludf.DUMMYFUNCTION("""COMPUTED_VALUE"""),"Сысоева")</f>
        <v>Сысоева</v>
      </c>
      <c r="C1064" s="5" t="str">
        <f ca="1">IFERROR(__xludf.DUMMYFUNCTION("""COMPUTED_VALUE"""),"Елена")</f>
        <v>Елена</v>
      </c>
      <c r="D1064" s="5" t="str">
        <f ca="1">IFERROR(__xludf.DUMMYFUNCTION("""COMPUTED_VALUE"""),"Павловна")</f>
        <v>Павловна</v>
      </c>
      <c r="E1064" s="5" t="str">
        <f ca="1">IFERROR(__xludf.DUMMYFUNCTION("""COMPUTED_VALUE"""),"Команда №4443")</f>
        <v>Команда №4443</v>
      </c>
      <c r="F1064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1064" s="7">
        <f ca="1">IFERROR(__xludf.DUMMYFUNCTION("""COMPUTED_VALUE"""),95)</f>
        <v>95</v>
      </c>
    </row>
    <row r="1065" spans="1:7" ht="26.4" x14ac:dyDescent="0.25">
      <c r="A1065" s="5">
        <f ca="1">IFERROR(__xludf.DUMMYFUNCTION("""COMPUTED_VALUE"""),1214)</f>
        <v>1214</v>
      </c>
      <c r="B1065" s="5" t="str">
        <f ca="1">IFERROR(__xludf.DUMMYFUNCTION("""COMPUTED_VALUE"""),"Федотовских")</f>
        <v>Федотовских</v>
      </c>
      <c r="C1065" s="5" t="str">
        <f ca="1">IFERROR(__xludf.DUMMYFUNCTION("""COMPUTED_VALUE"""),"Константин")</f>
        <v>Константин</v>
      </c>
      <c r="D1065" s="5" t="str">
        <f ca="1">IFERROR(__xludf.DUMMYFUNCTION("""COMPUTED_VALUE"""),"Алексеевич")</f>
        <v>Алексеевич</v>
      </c>
      <c r="E1065" s="5" t="str">
        <f ca="1">IFERROR(__xludf.DUMMYFUNCTION("""COMPUTED_VALUE"""),"Команда №4443")</f>
        <v>Команда №4443</v>
      </c>
      <c r="F1065" s="6" t="str">
        <f ca="1">IFERROR(__xludf.DUMMYFUNCTION("""COMPUTED_VALUE"""),"Разработка навигатора по аудиториям корпусов УрФУ")</f>
        <v>Разработка навигатора по аудиториям корпусов УрФУ</v>
      </c>
      <c r="G1065" s="7">
        <f ca="1">IFERROR(__xludf.DUMMYFUNCTION("""COMPUTED_VALUE"""),95)</f>
        <v>95</v>
      </c>
    </row>
    <row r="1066" spans="1:7" ht="26.4" x14ac:dyDescent="0.25">
      <c r="A1066" s="5">
        <f ca="1">IFERROR(__xludf.DUMMYFUNCTION("""COMPUTED_VALUE"""),249)</f>
        <v>249</v>
      </c>
      <c r="B1066" s="5" t="str">
        <f ca="1">IFERROR(__xludf.DUMMYFUNCTION("""COMPUTED_VALUE"""),"Гиздарь")</f>
        <v>Гиздарь</v>
      </c>
      <c r="C1066" s="5" t="str">
        <f ca="1">IFERROR(__xludf.DUMMYFUNCTION("""COMPUTED_VALUE"""),"Богдан")</f>
        <v>Богдан</v>
      </c>
      <c r="D1066" s="5" t="str">
        <f ca="1">IFERROR(__xludf.DUMMYFUNCTION("""COMPUTED_VALUE"""),"Сергеевич")</f>
        <v>Сергеевич</v>
      </c>
      <c r="E1066" s="5" t="str">
        <f ca="1">IFERROR(__xludf.DUMMYFUNCTION("""COMPUTED_VALUE"""),"Команда №4444")</f>
        <v>Команда №4444</v>
      </c>
      <c r="F1066" s="6" t="str">
        <f ca="1">IFERROR(__xludf.DUMMYFUNCTION("""COMPUTED_VALUE"""),"Разработка онлайн курса по разделам высшей математики для студентов")</f>
        <v>Разработка онлайн курса по разделам высшей математики для студентов</v>
      </c>
      <c r="G1066" s="7">
        <f ca="1">IFERROR(__xludf.DUMMYFUNCTION("""COMPUTED_VALUE"""),40)</f>
        <v>40</v>
      </c>
    </row>
    <row r="1067" spans="1:7" ht="26.4" x14ac:dyDescent="0.25">
      <c r="A1067" s="5">
        <f ca="1">IFERROR(__xludf.DUMMYFUNCTION("""COMPUTED_VALUE"""),736)</f>
        <v>736</v>
      </c>
      <c r="B1067" s="5" t="str">
        <f ca="1">IFERROR(__xludf.DUMMYFUNCTION("""COMPUTED_VALUE"""),"Масур")</f>
        <v>Масур</v>
      </c>
      <c r="C1067" s="5" t="str">
        <f ca="1">IFERROR(__xludf.DUMMYFUNCTION("""COMPUTED_VALUE"""),"Анна")</f>
        <v>Анна</v>
      </c>
      <c r="D1067" s="5" t="str">
        <f ca="1">IFERROR(__xludf.DUMMYFUNCTION("""COMPUTED_VALUE"""),"Михайловна")</f>
        <v>Михайловна</v>
      </c>
      <c r="E1067" s="5" t="str">
        <f ca="1">IFERROR(__xludf.DUMMYFUNCTION("""COMPUTED_VALUE"""),"Команда №4444")</f>
        <v>Команда №4444</v>
      </c>
      <c r="F1067" s="6" t="str">
        <f ca="1">IFERROR(__xludf.DUMMYFUNCTION("""COMPUTED_VALUE"""),"Разработка онлайн курса по разделам высшей математики для студентов")</f>
        <v>Разработка онлайн курса по разделам высшей математики для студентов</v>
      </c>
      <c r="G1067" s="7">
        <f ca="1">IFERROR(__xludf.DUMMYFUNCTION("""COMPUTED_VALUE"""),40)</f>
        <v>40</v>
      </c>
    </row>
    <row r="1068" spans="1:7" ht="26.4" x14ac:dyDescent="0.25">
      <c r="A1068" s="5">
        <f ca="1">IFERROR(__xludf.DUMMYFUNCTION("""COMPUTED_VALUE"""),283)</f>
        <v>283</v>
      </c>
      <c r="B1068" s="5" t="str">
        <f ca="1">IFERROR(__xludf.DUMMYFUNCTION("""COMPUTED_VALUE"""),"Гришин")</f>
        <v>Гришин</v>
      </c>
      <c r="C1068" s="5" t="str">
        <f ca="1">IFERROR(__xludf.DUMMYFUNCTION("""COMPUTED_VALUE"""),"Дмитрий")</f>
        <v>Дмитрий</v>
      </c>
      <c r="D1068" s="5" t="str">
        <f ca="1">IFERROR(__xludf.DUMMYFUNCTION("""COMPUTED_VALUE"""),"Александрович")</f>
        <v>Александрович</v>
      </c>
      <c r="E1068" s="5" t="str">
        <f ca="1">IFERROR(__xludf.DUMMYFUNCTION("""COMPUTED_VALUE"""),"Команда №4448")</f>
        <v>Команда №4448</v>
      </c>
      <c r="F1068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68" s="7">
        <f ca="1">IFERROR(__xludf.DUMMYFUNCTION("""COMPUTED_VALUE"""),85)</f>
        <v>85</v>
      </c>
    </row>
    <row r="1069" spans="1:7" ht="26.4" x14ac:dyDescent="0.25">
      <c r="A1069" s="5">
        <f ca="1">IFERROR(__xludf.DUMMYFUNCTION("""COMPUTED_VALUE"""),375)</f>
        <v>375</v>
      </c>
      <c r="B1069" s="5" t="str">
        <f ca="1">IFERROR(__xludf.DUMMYFUNCTION("""COMPUTED_VALUE"""),"Ермакова")</f>
        <v>Ермакова</v>
      </c>
      <c r="C1069" s="5" t="str">
        <f ca="1">IFERROR(__xludf.DUMMYFUNCTION("""COMPUTED_VALUE"""),"Дарья")</f>
        <v>Дарья</v>
      </c>
      <c r="D1069" s="5" t="str">
        <f ca="1">IFERROR(__xludf.DUMMYFUNCTION("""COMPUTED_VALUE"""),"Денисовна")</f>
        <v>Денисовна</v>
      </c>
      <c r="E1069" s="5" t="str">
        <f ca="1">IFERROR(__xludf.DUMMYFUNCTION("""COMPUTED_VALUE"""),"Команда №4448")</f>
        <v>Команда №4448</v>
      </c>
      <c r="F1069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69" s="7">
        <f ca="1">IFERROR(__xludf.DUMMYFUNCTION("""COMPUTED_VALUE"""),85)</f>
        <v>85</v>
      </c>
    </row>
    <row r="1070" spans="1:7" ht="26.4" x14ac:dyDescent="0.25">
      <c r="A1070" s="5">
        <f ca="1">IFERROR(__xludf.DUMMYFUNCTION("""COMPUTED_VALUE"""),581)</f>
        <v>581</v>
      </c>
      <c r="B1070" s="5" t="str">
        <f ca="1">IFERROR(__xludf.DUMMYFUNCTION("""COMPUTED_VALUE"""),"Корепанов")</f>
        <v>Корепанов</v>
      </c>
      <c r="C1070" s="5" t="str">
        <f ca="1">IFERROR(__xludf.DUMMYFUNCTION("""COMPUTED_VALUE"""),"Данил")</f>
        <v>Данил</v>
      </c>
      <c r="D1070" s="5" t="str">
        <f ca="1">IFERROR(__xludf.DUMMYFUNCTION("""COMPUTED_VALUE"""),"Владимирович")</f>
        <v>Владимирович</v>
      </c>
      <c r="E1070" s="5" t="str">
        <f ca="1">IFERROR(__xludf.DUMMYFUNCTION("""COMPUTED_VALUE"""),"Команда №4448")</f>
        <v>Команда №4448</v>
      </c>
      <c r="F1070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70" s="7">
        <f ca="1">IFERROR(__xludf.DUMMYFUNCTION("""COMPUTED_VALUE"""),85)</f>
        <v>85</v>
      </c>
    </row>
    <row r="1071" spans="1:7" ht="26.4" x14ac:dyDescent="0.25">
      <c r="A1071" s="5">
        <f ca="1">IFERROR(__xludf.DUMMYFUNCTION("""COMPUTED_VALUE"""),897)</f>
        <v>897</v>
      </c>
      <c r="B1071" s="5" t="str">
        <f ca="1">IFERROR(__xludf.DUMMYFUNCTION("""COMPUTED_VALUE"""),"Павлова")</f>
        <v>Павлова</v>
      </c>
      <c r="C1071" s="5" t="str">
        <f ca="1">IFERROR(__xludf.DUMMYFUNCTION("""COMPUTED_VALUE"""),"Яна")</f>
        <v>Яна</v>
      </c>
      <c r="D1071" s="5" t="str">
        <f ca="1">IFERROR(__xludf.DUMMYFUNCTION("""COMPUTED_VALUE"""),"Александровна")</f>
        <v>Александровна</v>
      </c>
      <c r="E1071" s="5" t="str">
        <f ca="1">IFERROR(__xludf.DUMMYFUNCTION("""COMPUTED_VALUE"""),"Команда №4448")</f>
        <v>Команда №4448</v>
      </c>
      <c r="F1071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71" s="7">
        <f ca="1">IFERROR(__xludf.DUMMYFUNCTION("""COMPUTED_VALUE"""),85)</f>
        <v>85</v>
      </c>
    </row>
    <row r="1072" spans="1:7" ht="26.4" x14ac:dyDescent="0.25">
      <c r="A1072" s="5">
        <f ca="1">IFERROR(__xludf.DUMMYFUNCTION("""COMPUTED_VALUE"""),959)</f>
        <v>959</v>
      </c>
      <c r="B1072" s="5" t="str">
        <f ca="1">IFERROR(__xludf.DUMMYFUNCTION("""COMPUTED_VALUE"""),"Потехин")</f>
        <v>Потехин</v>
      </c>
      <c r="C1072" s="5" t="str">
        <f ca="1">IFERROR(__xludf.DUMMYFUNCTION("""COMPUTED_VALUE"""),"Николай")</f>
        <v>Николай</v>
      </c>
      <c r="D1072" s="5" t="str">
        <f ca="1">IFERROR(__xludf.DUMMYFUNCTION("""COMPUTED_VALUE"""),"Андреевич")</f>
        <v>Андреевич</v>
      </c>
      <c r="E1072" s="5" t="str">
        <f ca="1">IFERROR(__xludf.DUMMYFUNCTION("""COMPUTED_VALUE"""),"Команда №4448")</f>
        <v>Команда №4448</v>
      </c>
      <c r="F1072" s="6" t="str">
        <f ca="1">IFERROR(__xludf.DUMMYFUNCTION("""COMPUTED_VALUE"""),"Разработка мобильного приложения для заказа еды на фудкортах")</f>
        <v>Разработка мобильного приложения для заказа еды на фудкортах</v>
      </c>
      <c r="G1072" s="7">
        <f ca="1">IFERROR(__xludf.DUMMYFUNCTION("""COMPUTED_VALUE"""),85)</f>
        <v>85</v>
      </c>
    </row>
    <row r="1073" spans="1:7" ht="26.4" x14ac:dyDescent="0.25">
      <c r="A1073" s="5">
        <f ca="1">IFERROR(__xludf.DUMMYFUNCTION("""COMPUTED_VALUE"""),4)</f>
        <v>4</v>
      </c>
      <c r="B1073" s="5" t="str">
        <f ca="1">IFERROR(__xludf.DUMMYFUNCTION("""COMPUTED_VALUE"""),"Абдальхамед")</f>
        <v>Абдальхамед</v>
      </c>
      <c r="C1073" s="5" t="str">
        <f ca="1">IFERROR(__xludf.DUMMYFUNCTION("""COMPUTED_VALUE"""),"Амр")</f>
        <v>Амр</v>
      </c>
      <c r="D1073" s="5" t="str">
        <f ca="1">IFERROR(__xludf.DUMMYFUNCTION("""COMPUTED_VALUE"""),"Гамал")</f>
        <v>Гамал</v>
      </c>
      <c r="E1073" s="5" t="str">
        <f ca="1">IFERROR(__xludf.DUMMYFUNCTION("""COMPUTED_VALUE"""),"Команда №4449")</f>
        <v>Команда №4449</v>
      </c>
      <c r="F1073" s="6" t="str">
        <f ca="1">IFERROR(__xludf.DUMMYFUNCTION("""COMPUTED_VALUE"""),"Human Voice Data Transmission: An Investigation Using Machine Learning.")</f>
        <v>Human Voice Data Transmission: An Investigation Using Machine Learning.</v>
      </c>
      <c r="G1073" s="7">
        <f ca="1">IFERROR(__xludf.DUMMYFUNCTION("""COMPUTED_VALUE"""),97)</f>
        <v>97</v>
      </c>
    </row>
    <row r="1074" spans="1:7" ht="26.4" x14ac:dyDescent="0.25">
      <c r="A1074" s="5">
        <f ca="1">IFERROR(__xludf.DUMMYFUNCTION("""COMPUTED_VALUE"""),304)</f>
        <v>304</v>
      </c>
      <c r="B1074" s="5" t="str">
        <f ca="1">IFERROR(__xludf.DUMMYFUNCTION("""COMPUTED_VALUE"""),"Дедов")</f>
        <v>Дедов</v>
      </c>
      <c r="C1074" s="5" t="str">
        <f ca="1">IFERROR(__xludf.DUMMYFUNCTION("""COMPUTED_VALUE"""),"Денис")</f>
        <v>Денис</v>
      </c>
      <c r="D1074" s="5" t="str">
        <f ca="1">IFERROR(__xludf.DUMMYFUNCTION("""COMPUTED_VALUE"""),"Антонович")</f>
        <v>Антонович</v>
      </c>
      <c r="E1074" s="5" t="str">
        <f ca="1">IFERROR(__xludf.DUMMYFUNCTION("""COMPUTED_VALUE"""),"Команда №4449")</f>
        <v>Команда №4449</v>
      </c>
      <c r="F1074" s="6" t="str">
        <f ca="1">IFERROR(__xludf.DUMMYFUNCTION("""COMPUTED_VALUE"""),"Human Voice Data Transmission: An Investigation Using Machine Learning.")</f>
        <v>Human Voice Data Transmission: An Investigation Using Machine Learning.</v>
      </c>
      <c r="G1074" s="7">
        <f ca="1">IFERROR(__xludf.DUMMYFUNCTION("""COMPUTED_VALUE"""),97)</f>
        <v>97</v>
      </c>
    </row>
    <row r="1075" spans="1:7" ht="26.4" x14ac:dyDescent="0.25">
      <c r="A1075" s="5">
        <f ca="1">IFERROR(__xludf.DUMMYFUNCTION("""COMPUTED_VALUE"""),905)</f>
        <v>905</v>
      </c>
      <c r="B1075" s="5" t="str">
        <f ca="1">IFERROR(__xludf.DUMMYFUNCTION("""COMPUTED_VALUE"""),"Парфентьев")</f>
        <v>Парфентьев</v>
      </c>
      <c r="C1075" s="5" t="str">
        <f ca="1">IFERROR(__xludf.DUMMYFUNCTION("""COMPUTED_VALUE"""),"Егор")</f>
        <v>Егор</v>
      </c>
      <c r="D1075" s="5" t="str">
        <f ca="1">IFERROR(__xludf.DUMMYFUNCTION("""COMPUTED_VALUE"""),"Александрович")</f>
        <v>Александрович</v>
      </c>
      <c r="E1075" s="5" t="str">
        <f ca="1">IFERROR(__xludf.DUMMYFUNCTION("""COMPUTED_VALUE"""),"Команда №4449")</f>
        <v>Команда №4449</v>
      </c>
      <c r="F1075" s="6" t="str">
        <f ca="1">IFERROR(__xludf.DUMMYFUNCTION("""COMPUTED_VALUE"""),"Human Voice Data Transmission: An Investigation Using Machine Learning.")</f>
        <v>Human Voice Data Transmission: An Investigation Using Machine Learning.</v>
      </c>
      <c r="G1075" s="7">
        <f ca="1">IFERROR(__xludf.DUMMYFUNCTION("""COMPUTED_VALUE"""),97)</f>
        <v>97</v>
      </c>
    </row>
    <row r="1076" spans="1:7" ht="26.4" x14ac:dyDescent="0.25">
      <c r="A1076" s="5">
        <f ca="1">IFERROR(__xludf.DUMMYFUNCTION("""COMPUTED_VALUE"""),1176)</f>
        <v>1176</v>
      </c>
      <c r="B1076" s="5" t="str">
        <f ca="1">IFERROR(__xludf.DUMMYFUNCTION("""COMPUTED_VALUE"""),"Трофимов")</f>
        <v>Трофимов</v>
      </c>
      <c r="C1076" s="5" t="str">
        <f ca="1">IFERROR(__xludf.DUMMYFUNCTION("""COMPUTED_VALUE"""),"Егор")</f>
        <v>Егор</v>
      </c>
      <c r="D1076" s="5" t="str">
        <f ca="1">IFERROR(__xludf.DUMMYFUNCTION("""COMPUTED_VALUE"""),"Артёмович")</f>
        <v>Артёмович</v>
      </c>
      <c r="E1076" s="5" t="str">
        <f ca="1">IFERROR(__xludf.DUMMYFUNCTION("""COMPUTED_VALUE"""),"Команда №4449")</f>
        <v>Команда №4449</v>
      </c>
      <c r="F1076" s="6" t="str">
        <f ca="1">IFERROR(__xludf.DUMMYFUNCTION("""COMPUTED_VALUE"""),"Human Voice Data Transmission: An Investigation Using Machine Learning.")</f>
        <v>Human Voice Data Transmission: An Investigation Using Machine Learning.</v>
      </c>
      <c r="G1076" s="7">
        <f ca="1">IFERROR(__xludf.DUMMYFUNCTION("""COMPUTED_VALUE"""),97)</f>
        <v>97</v>
      </c>
    </row>
    <row r="1077" spans="1:7" ht="26.4" x14ac:dyDescent="0.25">
      <c r="A1077" s="5">
        <f ca="1">IFERROR(__xludf.DUMMYFUNCTION("""COMPUTED_VALUE"""),1358)</f>
        <v>1358</v>
      </c>
      <c r="B1077" s="5" t="str">
        <f ca="1">IFERROR(__xludf.DUMMYFUNCTION("""COMPUTED_VALUE"""),"Эльавади")</f>
        <v>Эльавади</v>
      </c>
      <c r="C1077" s="5" t="str">
        <f ca="1">IFERROR(__xludf.DUMMYFUNCTION("""COMPUTED_VALUE"""),"Ахмед")</f>
        <v>Ахмед</v>
      </c>
      <c r="D1077" s="5" t="str">
        <f ca="1">IFERROR(__xludf.DUMMYFUNCTION("""COMPUTED_VALUE"""),"Махмуд")</f>
        <v>Махмуд</v>
      </c>
      <c r="E1077" s="5" t="str">
        <f ca="1">IFERROR(__xludf.DUMMYFUNCTION("""COMPUTED_VALUE"""),"Команда №4449")</f>
        <v>Команда №4449</v>
      </c>
      <c r="F1077" s="6" t="str">
        <f ca="1">IFERROR(__xludf.DUMMYFUNCTION("""COMPUTED_VALUE"""),"Human Voice Data Transmission: An Investigation Using Machine Learning.")</f>
        <v>Human Voice Data Transmission: An Investigation Using Machine Learning.</v>
      </c>
      <c r="G1077" s="7">
        <f ca="1">IFERROR(__xludf.DUMMYFUNCTION("""COMPUTED_VALUE"""),97)</f>
        <v>97</v>
      </c>
    </row>
    <row r="1078" spans="1:7" ht="39.6" x14ac:dyDescent="0.25">
      <c r="A1078" s="5">
        <f ca="1">IFERROR(__xludf.DUMMYFUNCTION("""COMPUTED_VALUE"""),113)</f>
        <v>113</v>
      </c>
      <c r="B1078" s="5" t="str">
        <f ca="1">IFERROR(__xludf.DUMMYFUNCTION("""COMPUTED_VALUE"""),"Белова")</f>
        <v>Белова</v>
      </c>
      <c r="C1078" s="5" t="str">
        <f ca="1">IFERROR(__xludf.DUMMYFUNCTION("""COMPUTED_VALUE"""),"Дарья")</f>
        <v>Дарья</v>
      </c>
      <c r="D1078" s="5" t="str">
        <f ca="1">IFERROR(__xludf.DUMMYFUNCTION("""COMPUTED_VALUE"""),"Андреевна")</f>
        <v>Андреевна</v>
      </c>
      <c r="E1078" s="5" t="str">
        <f ca="1">IFERROR(__xludf.DUMMYFUNCTION("""COMPUTED_VALUE"""),"Команда №4464")</f>
        <v>Команда №4464</v>
      </c>
      <c r="F1078" s="6" t="str">
        <f ca="1">IFERROR(__xludf.DUMMYFUNCTION("""COMPUTED_VALUE"""),"Разработка интерактивных, динамически наполняемых комплексных экранов на базе Grafana")</f>
        <v>Разработка интерактивных, динамически наполняемых комплексных экранов на базе Grafana</v>
      </c>
      <c r="G1078" s="7">
        <f ca="1">IFERROR(__xludf.DUMMYFUNCTION("""COMPUTED_VALUE"""),80)</f>
        <v>80</v>
      </c>
    </row>
    <row r="1079" spans="1:7" ht="39.6" x14ac:dyDescent="0.25">
      <c r="A1079" s="5">
        <f ca="1">IFERROR(__xludf.DUMMYFUNCTION("""COMPUTED_VALUE"""),149)</f>
        <v>149</v>
      </c>
      <c r="B1079" s="5" t="str">
        <f ca="1">IFERROR(__xludf.DUMMYFUNCTION("""COMPUTED_VALUE"""),"Боярских")</f>
        <v>Боярских</v>
      </c>
      <c r="C1079" s="5" t="str">
        <f ca="1">IFERROR(__xludf.DUMMYFUNCTION("""COMPUTED_VALUE"""),"Максим")</f>
        <v>Максим</v>
      </c>
      <c r="D1079" s="5" t="str">
        <f ca="1">IFERROR(__xludf.DUMMYFUNCTION("""COMPUTED_VALUE"""),"Сергеевич")</f>
        <v>Сергеевич</v>
      </c>
      <c r="E1079" s="5" t="str">
        <f ca="1">IFERROR(__xludf.DUMMYFUNCTION("""COMPUTED_VALUE"""),"Команда №4464")</f>
        <v>Команда №4464</v>
      </c>
      <c r="F1079" s="6" t="str">
        <f ca="1">IFERROR(__xludf.DUMMYFUNCTION("""COMPUTED_VALUE"""),"Разработка интерактивных, динамически наполняемых комплексных экранов на базе Grafana")</f>
        <v>Разработка интерактивных, динамически наполняемых комплексных экранов на базе Grafana</v>
      </c>
      <c r="G1079" s="7">
        <f ca="1">IFERROR(__xludf.DUMMYFUNCTION("""COMPUTED_VALUE"""),80)</f>
        <v>80</v>
      </c>
    </row>
    <row r="1080" spans="1:7" ht="39.6" x14ac:dyDescent="0.25">
      <c r="A1080" s="5">
        <f ca="1">IFERROR(__xludf.DUMMYFUNCTION("""COMPUTED_VALUE"""),374)</f>
        <v>374</v>
      </c>
      <c r="B1080" s="5" t="str">
        <f ca="1">IFERROR(__xludf.DUMMYFUNCTION("""COMPUTED_VALUE"""),"Ермаков")</f>
        <v>Ермаков</v>
      </c>
      <c r="C1080" s="5" t="str">
        <f ca="1">IFERROR(__xludf.DUMMYFUNCTION("""COMPUTED_VALUE"""),"Роман")</f>
        <v>Роман</v>
      </c>
      <c r="D1080" s="5" t="str">
        <f ca="1">IFERROR(__xludf.DUMMYFUNCTION("""COMPUTED_VALUE"""),"Владимирович")</f>
        <v>Владимирович</v>
      </c>
      <c r="E1080" s="5" t="str">
        <f ca="1">IFERROR(__xludf.DUMMYFUNCTION("""COMPUTED_VALUE"""),"Команда №4464")</f>
        <v>Команда №4464</v>
      </c>
      <c r="F1080" s="6" t="str">
        <f ca="1">IFERROR(__xludf.DUMMYFUNCTION("""COMPUTED_VALUE"""),"Разработка интерактивных, динамически наполняемых комплексных экранов на базе Grafana")</f>
        <v>Разработка интерактивных, динамически наполняемых комплексных экранов на базе Grafana</v>
      </c>
      <c r="G1080" s="7">
        <f ca="1">IFERROR(__xludf.DUMMYFUNCTION("""COMPUTED_VALUE"""),80)</f>
        <v>80</v>
      </c>
    </row>
    <row r="1081" spans="1:7" ht="39.6" x14ac:dyDescent="0.25">
      <c r="A1081" s="5">
        <f ca="1">IFERROR(__xludf.DUMMYFUNCTION("""COMPUTED_VALUE"""),1100)</f>
        <v>1100</v>
      </c>
      <c r="B1081" s="5" t="str">
        <f ca="1">IFERROR(__xludf.DUMMYFUNCTION("""COMPUTED_VALUE"""),"Соловьев")</f>
        <v>Соловьев</v>
      </c>
      <c r="C1081" s="5" t="str">
        <f ca="1">IFERROR(__xludf.DUMMYFUNCTION("""COMPUTED_VALUE"""),"Иван")</f>
        <v>Иван</v>
      </c>
      <c r="D1081" s="5" t="str">
        <f ca="1">IFERROR(__xludf.DUMMYFUNCTION("""COMPUTED_VALUE"""),"Владимирович")</f>
        <v>Владимирович</v>
      </c>
      <c r="E1081" s="5" t="str">
        <f ca="1">IFERROR(__xludf.DUMMYFUNCTION("""COMPUTED_VALUE"""),"Команда №4464")</f>
        <v>Команда №4464</v>
      </c>
      <c r="F1081" s="6" t="str">
        <f ca="1">IFERROR(__xludf.DUMMYFUNCTION("""COMPUTED_VALUE"""),"Разработка интерактивных, динамически наполняемых комплексных экранов на базе Grafana")</f>
        <v>Разработка интерактивных, динамически наполняемых комплексных экранов на базе Grafana</v>
      </c>
      <c r="G1081" s="7">
        <f ca="1">IFERROR(__xludf.DUMMYFUNCTION("""COMPUTED_VALUE"""),80)</f>
        <v>80</v>
      </c>
    </row>
    <row r="1082" spans="1:7" ht="39.6" x14ac:dyDescent="0.25">
      <c r="A1082" s="5">
        <f ca="1">IFERROR(__xludf.DUMMYFUNCTION("""COMPUTED_VALUE"""),84)</f>
        <v>84</v>
      </c>
      <c r="B1082" s="5" t="str">
        <f ca="1">IFERROR(__xludf.DUMMYFUNCTION("""COMPUTED_VALUE"""),"Баклыков")</f>
        <v>Баклыков</v>
      </c>
      <c r="C1082" s="5" t="str">
        <f ca="1">IFERROR(__xludf.DUMMYFUNCTION("""COMPUTED_VALUE"""),"Евгений")</f>
        <v>Евгений</v>
      </c>
      <c r="D1082" s="5" t="str">
        <f ca="1">IFERROR(__xludf.DUMMYFUNCTION("""COMPUTED_VALUE"""),"Вадимович")</f>
        <v>Вадимович</v>
      </c>
      <c r="E1082" s="5" t="str">
        <f ca="1">IFERROR(__xludf.DUMMYFUNCTION("""COMPUTED_VALUE"""),"Команда №4466")</f>
        <v>Команда №4466</v>
      </c>
      <c r="F1082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82" s="7">
        <f ca="1">IFERROR(__xludf.DUMMYFUNCTION("""COMPUTED_VALUE"""),66)</f>
        <v>66</v>
      </c>
    </row>
    <row r="1083" spans="1:7" ht="39.6" x14ac:dyDescent="0.25">
      <c r="A1083" s="5">
        <f ca="1">IFERROR(__xludf.DUMMYFUNCTION("""COMPUTED_VALUE"""),354)</f>
        <v>354</v>
      </c>
      <c r="B1083" s="5" t="str">
        <f ca="1">IFERROR(__xludf.DUMMYFUNCTION("""COMPUTED_VALUE"""),"Дюкарева")</f>
        <v>Дюкарева</v>
      </c>
      <c r="C1083" s="5" t="str">
        <f ca="1">IFERROR(__xludf.DUMMYFUNCTION("""COMPUTED_VALUE"""),"Софья")</f>
        <v>Софья</v>
      </c>
      <c r="D1083" s="5" t="str">
        <f ca="1">IFERROR(__xludf.DUMMYFUNCTION("""COMPUTED_VALUE"""),"Дмитриевна")</f>
        <v>Дмитриевна</v>
      </c>
      <c r="E1083" s="5" t="str">
        <f ca="1">IFERROR(__xludf.DUMMYFUNCTION("""COMPUTED_VALUE"""),"Команда №4466")</f>
        <v>Команда №4466</v>
      </c>
      <c r="F1083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83" s="7">
        <f ca="1">IFERROR(__xludf.DUMMYFUNCTION("""COMPUTED_VALUE"""),66)</f>
        <v>66</v>
      </c>
    </row>
    <row r="1084" spans="1:7" ht="39.6" x14ac:dyDescent="0.25">
      <c r="A1084" s="5">
        <f ca="1">IFERROR(__xludf.DUMMYFUNCTION("""COMPUTED_VALUE"""),390)</f>
        <v>390</v>
      </c>
      <c r="B1084" s="5" t="str">
        <f ca="1">IFERROR(__xludf.DUMMYFUNCTION("""COMPUTED_VALUE"""),"Жигалова")</f>
        <v>Жигалова</v>
      </c>
      <c r="C1084" s="5" t="str">
        <f ca="1">IFERROR(__xludf.DUMMYFUNCTION("""COMPUTED_VALUE"""),"Анастасия")</f>
        <v>Анастасия</v>
      </c>
      <c r="D1084" s="5" t="str">
        <f ca="1">IFERROR(__xludf.DUMMYFUNCTION("""COMPUTED_VALUE"""),"Алексеевна")</f>
        <v>Алексеевна</v>
      </c>
      <c r="E1084" s="5" t="str">
        <f ca="1">IFERROR(__xludf.DUMMYFUNCTION("""COMPUTED_VALUE"""),"Команда №4466")</f>
        <v>Команда №4466</v>
      </c>
      <c r="F1084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84" s="7">
        <f ca="1">IFERROR(__xludf.DUMMYFUNCTION("""COMPUTED_VALUE"""),66)</f>
        <v>66</v>
      </c>
    </row>
    <row r="1085" spans="1:7" ht="39.6" x14ac:dyDescent="0.25">
      <c r="A1085" s="5">
        <f ca="1">IFERROR(__xludf.DUMMYFUNCTION("""COMPUTED_VALUE"""),428)</f>
        <v>428</v>
      </c>
      <c r="B1085" s="5" t="str">
        <f ca="1">IFERROR(__xludf.DUMMYFUNCTION("""COMPUTED_VALUE"""),"Зебзеев")</f>
        <v>Зебзеев</v>
      </c>
      <c r="C1085" s="5" t="str">
        <f ca="1">IFERROR(__xludf.DUMMYFUNCTION("""COMPUTED_VALUE"""),"Кирилл")</f>
        <v>Кирилл</v>
      </c>
      <c r="D1085" s="5" t="str">
        <f ca="1">IFERROR(__xludf.DUMMYFUNCTION("""COMPUTED_VALUE"""),"Андреевич")</f>
        <v>Андреевич</v>
      </c>
      <c r="E1085" s="5" t="str">
        <f ca="1">IFERROR(__xludf.DUMMYFUNCTION("""COMPUTED_VALUE"""),"Команда №4466")</f>
        <v>Команда №4466</v>
      </c>
      <c r="F1085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85" s="7">
        <f ca="1">IFERROR(__xludf.DUMMYFUNCTION("""COMPUTED_VALUE"""),66)</f>
        <v>66</v>
      </c>
    </row>
    <row r="1086" spans="1:7" ht="39.6" x14ac:dyDescent="0.25">
      <c r="A1086" s="5">
        <f ca="1">IFERROR(__xludf.DUMMYFUNCTION("""COMPUTED_VALUE"""),830)</f>
        <v>830</v>
      </c>
      <c r="B1086" s="5" t="str">
        <f ca="1">IFERROR(__xludf.DUMMYFUNCTION("""COMPUTED_VALUE"""),"Непочатенко")</f>
        <v>Непочатенко</v>
      </c>
      <c r="C1086" s="5" t="str">
        <f ca="1">IFERROR(__xludf.DUMMYFUNCTION("""COMPUTED_VALUE"""),"Матвей")</f>
        <v>Матвей</v>
      </c>
      <c r="D1086" s="5" t="str">
        <f ca="1">IFERROR(__xludf.DUMMYFUNCTION("""COMPUTED_VALUE"""),"Сергеевич")</f>
        <v>Сергеевич</v>
      </c>
      <c r="E1086" s="5" t="str">
        <f ca="1">IFERROR(__xludf.DUMMYFUNCTION("""COMPUTED_VALUE"""),"Команда №4466")</f>
        <v>Команда №4466</v>
      </c>
      <c r="F1086" s="6" t="str">
        <f ca="1">IFERROR(__xludf.DUMMYFUNCTION("""COMPUTED_VALUE"""),"Разработка программы или консольного приложения для обработки биомедицинских изображений")</f>
        <v>Разработка программы или консольного приложения для обработки биомедицинских изображений</v>
      </c>
      <c r="G1086" s="7">
        <f ca="1">IFERROR(__xludf.DUMMYFUNCTION("""COMPUTED_VALUE"""),66)</f>
        <v>66</v>
      </c>
    </row>
    <row r="1087" spans="1:7" ht="39.6" x14ac:dyDescent="0.25">
      <c r="A1087" s="5">
        <f ca="1">IFERROR(__xludf.DUMMYFUNCTION("""COMPUTED_VALUE"""),689)</f>
        <v>689</v>
      </c>
      <c r="B1087" s="5" t="str">
        <f ca="1">IFERROR(__xludf.DUMMYFUNCTION("""COMPUTED_VALUE"""),"Лукин")</f>
        <v>Лукин</v>
      </c>
      <c r="C1087" s="5" t="str">
        <f ca="1">IFERROR(__xludf.DUMMYFUNCTION("""COMPUTED_VALUE"""),"Артем")</f>
        <v>Артем</v>
      </c>
      <c r="D1087" s="5" t="str">
        <f ca="1">IFERROR(__xludf.DUMMYFUNCTION("""COMPUTED_VALUE"""),"Владиславович")</f>
        <v>Владиславович</v>
      </c>
      <c r="E1087" s="5" t="str">
        <f ca="1">IFERROR(__xludf.DUMMYFUNCTION("""COMPUTED_VALUE"""),"Команда №4467")</f>
        <v>Команда №4467</v>
      </c>
      <c r="F1087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087" s="7">
        <f ca="1">IFERROR(__xludf.DUMMYFUNCTION("""COMPUTED_VALUE"""),80)</f>
        <v>80</v>
      </c>
    </row>
    <row r="1088" spans="1:7" ht="39.6" x14ac:dyDescent="0.25">
      <c r="A1088" s="5">
        <f ca="1">IFERROR(__xludf.DUMMYFUNCTION("""COMPUTED_VALUE"""),888)</f>
        <v>888</v>
      </c>
      <c r="B1088" s="5" t="str">
        <f ca="1">IFERROR(__xludf.DUMMYFUNCTION("""COMPUTED_VALUE"""),"Осипов")</f>
        <v>Осипов</v>
      </c>
      <c r="C1088" s="5" t="str">
        <f ca="1">IFERROR(__xludf.DUMMYFUNCTION("""COMPUTED_VALUE"""),"Андрей")</f>
        <v>Андрей</v>
      </c>
      <c r="D1088" s="5" t="str">
        <f ca="1">IFERROR(__xludf.DUMMYFUNCTION("""COMPUTED_VALUE"""),"Владимирович")</f>
        <v>Владимирович</v>
      </c>
      <c r="E1088" s="5" t="str">
        <f ca="1">IFERROR(__xludf.DUMMYFUNCTION("""COMPUTED_VALUE"""),"Команда №4467")</f>
        <v>Команда №4467</v>
      </c>
      <c r="F1088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088" s="7">
        <f ca="1">IFERROR(__xludf.DUMMYFUNCTION("""COMPUTED_VALUE"""),80)</f>
        <v>80</v>
      </c>
    </row>
    <row r="1089" spans="1:7" ht="39.6" x14ac:dyDescent="0.25">
      <c r="A1089" s="5">
        <f ca="1">IFERROR(__xludf.DUMMYFUNCTION("""COMPUTED_VALUE"""),1205)</f>
        <v>1205</v>
      </c>
      <c r="B1089" s="5" t="str">
        <f ca="1">IFERROR(__xludf.DUMMYFUNCTION("""COMPUTED_VALUE"""),"Уфимцев")</f>
        <v>Уфимцев</v>
      </c>
      <c r="C1089" s="5" t="str">
        <f ca="1">IFERROR(__xludf.DUMMYFUNCTION("""COMPUTED_VALUE"""),"Никита")</f>
        <v>Никита</v>
      </c>
      <c r="D1089" s="5" t="str">
        <f ca="1">IFERROR(__xludf.DUMMYFUNCTION("""COMPUTED_VALUE"""),"Сергеевич")</f>
        <v>Сергеевич</v>
      </c>
      <c r="E1089" s="5" t="str">
        <f ca="1">IFERROR(__xludf.DUMMYFUNCTION("""COMPUTED_VALUE"""),"Команда №4467")</f>
        <v>Команда №4467</v>
      </c>
      <c r="F1089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089" s="7">
        <f ca="1">IFERROR(__xludf.DUMMYFUNCTION("""COMPUTED_VALUE"""),80)</f>
        <v>80</v>
      </c>
    </row>
    <row r="1090" spans="1:7" ht="39.6" x14ac:dyDescent="0.25">
      <c r="A1090" s="5">
        <f ca="1">IFERROR(__xludf.DUMMYFUNCTION("""COMPUTED_VALUE"""),1284)</f>
        <v>1284</v>
      </c>
      <c r="B1090" s="5" t="str">
        <f ca="1">IFERROR(__xludf.DUMMYFUNCTION("""COMPUTED_VALUE"""),"Чернышев")</f>
        <v>Чернышев</v>
      </c>
      <c r="C1090" s="5" t="str">
        <f ca="1">IFERROR(__xludf.DUMMYFUNCTION("""COMPUTED_VALUE"""),"Иван")</f>
        <v>Иван</v>
      </c>
      <c r="D1090" s="5" t="str">
        <f ca="1">IFERROR(__xludf.DUMMYFUNCTION("""COMPUTED_VALUE"""),"Антонович")</f>
        <v>Антонович</v>
      </c>
      <c r="E1090" s="5" t="str">
        <f ca="1">IFERROR(__xludf.DUMMYFUNCTION("""COMPUTED_VALUE"""),"Команда №4467")</f>
        <v>Команда №4467</v>
      </c>
      <c r="F1090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090" s="7">
        <f ca="1">IFERROR(__xludf.DUMMYFUNCTION("""COMPUTED_VALUE"""),80)</f>
        <v>80</v>
      </c>
    </row>
    <row r="1091" spans="1:7" ht="39.6" x14ac:dyDescent="0.25">
      <c r="A1091" s="5">
        <f ca="1">IFERROR(__xludf.DUMMYFUNCTION("""COMPUTED_VALUE"""),1315)</f>
        <v>1315</v>
      </c>
      <c r="B1091" s="5" t="str">
        <f ca="1">IFERROR(__xludf.DUMMYFUNCTION("""COMPUTED_VALUE"""),"Шарашенидзе")</f>
        <v>Шарашенидзе</v>
      </c>
      <c r="C1091" s="5" t="str">
        <f ca="1">IFERROR(__xludf.DUMMYFUNCTION("""COMPUTED_VALUE"""),"Артур")</f>
        <v>Артур</v>
      </c>
      <c r="D1091" s="5" t="str">
        <f ca="1">IFERROR(__xludf.DUMMYFUNCTION("""COMPUTED_VALUE"""),"Манучарович")</f>
        <v>Манучарович</v>
      </c>
      <c r="E1091" s="5" t="str">
        <f ca="1">IFERROR(__xludf.DUMMYFUNCTION("""COMPUTED_VALUE"""),"Команда №4467")</f>
        <v>Команда №4467</v>
      </c>
      <c r="F1091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091" s="7">
        <f ca="1">IFERROR(__xludf.DUMMYFUNCTION("""COMPUTED_VALUE"""),80)</f>
        <v>80</v>
      </c>
    </row>
    <row r="1092" spans="1:7" ht="26.4" x14ac:dyDescent="0.25">
      <c r="A1092" s="5">
        <f ca="1">IFERROR(__xludf.DUMMYFUNCTION("""COMPUTED_VALUE"""),145)</f>
        <v>145</v>
      </c>
      <c r="B1092" s="5" t="str">
        <f ca="1">IFERROR(__xludf.DUMMYFUNCTION("""COMPUTED_VALUE"""),"Бородатый")</f>
        <v>Бородатый</v>
      </c>
      <c r="C1092" s="5" t="str">
        <f ca="1">IFERROR(__xludf.DUMMYFUNCTION("""COMPUTED_VALUE"""),"Алексей")</f>
        <v>Алексей</v>
      </c>
      <c r="D1092" s="5" t="str">
        <f ca="1">IFERROR(__xludf.DUMMYFUNCTION("""COMPUTED_VALUE"""),"Андреевич")</f>
        <v>Андреевич</v>
      </c>
      <c r="E1092" s="5" t="str">
        <f ca="1">IFERROR(__xludf.DUMMYFUNCTION("""COMPUTED_VALUE"""),"Команда №4468")</f>
        <v>Команда №4468</v>
      </c>
      <c r="F1092" s="6" t="str">
        <f ca="1">IFERROR(__xludf.DUMMYFUNCTION("""COMPUTED_VALUE"""),"Разработка сервиса, позволяющая перевести 2D чертеж в BIM модель")</f>
        <v>Разработка сервиса, позволяющая перевести 2D чертеж в BIM модель</v>
      </c>
      <c r="G1092" s="7">
        <f ca="1">IFERROR(__xludf.DUMMYFUNCTION("""COMPUTED_VALUE"""),0)</f>
        <v>0</v>
      </c>
    </row>
    <row r="1093" spans="1:7" ht="26.4" x14ac:dyDescent="0.25">
      <c r="A1093" s="5">
        <f ca="1">IFERROR(__xludf.DUMMYFUNCTION("""COMPUTED_VALUE"""),295)</f>
        <v>295</v>
      </c>
      <c r="B1093" s="5" t="str">
        <f ca="1">IFERROR(__xludf.DUMMYFUNCTION("""COMPUTED_VALUE"""),"Гусамов")</f>
        <v>Гусамов</v>
      </c>
      <c r="C1093" s="5" t="str">
        <f ca="1">IFERROR(__xludf.DUMMYFUNCTION("""COMPUTED_VALUE"""),"Артур")</f>
        <v>Артур</v>
      </c>
      <c r="D1093" s="5" t="str">
        <f ca="1">IFERROR(__xludf.DUMMYFUNCTION("""COMPUTED_VALUE"""),"Филаритович")</f>
        <v>Филаритович</v>
      </c>
      <c r="E1093" s="5" t="str">
        <f ca="1">IFERROR(__xludf.DUMMYFUNCTION("""COMPUTED_VALUE"""),"Команда №4468")</f>
        <v>Команда №4468</v>
      </c>
      <c r="F1093" s="6" t="str">
        <f ca="1">IFERROR(__xludf.DUMMYFUNCTION("""COMPUTED_VALUE"""),"Разработка сервиса, позволяющая перевести 2D чертеж в BIM модель")</f>
        <v>Разработка сервиса, позволяющая перевести 2D чертеж в BIM модель</v>
      </c>
      <c r="G1093" s="7">
        <f ca="1">IFERROR(__xludf.DUMMYFUNCTION("""COMPUTED_VALUE"""),0)</f>
        <v>0</v>
      </c>
    </row>
    <row r="1094" spans="1:7" ht="26.4" x14ac:dyDescent="0.25">
      <c r="A1094" s="5">
        <f ca="1">IFERROR(__xludf.DUMMYFUNCTION("""COMPUTED_VALUE"""),500)</f>
        <v>500</v>
      </c>
      <c r="B1094" s="5" t="str">
        <f ca="1">IFERROR(__xludf.DUMMYFUNCTION("""COMPUTED_VALUE"""),"Касьянов")</f>
        <v>Касьянов</v>
      </c>
      <c r="C1094" s="5" t="str">
        <f ca="1">IFERROR(__xludf.DUMMYFUNCTION("""COMPUTED_VALUE"""),"Артём")</f>
        <v>Артём</v>
      </c>
      <c r="D1094" s="5" t="str">
        <f ca="1">IFERROR(__xludf.DUMMYFUNCTION("""COMPUTED_VALUE"""),"Александрович")</f>
        <v>Александрович</v>
      </c>
      <c r="E1094" s="5" t="str">
        <f ca="1">IFERROR(__xludf.DUMMYFUNCTION("""COMPUTED_VALUE"""),"Команда №4468")</f>
        <v>Команда №4468</v>
      </c>
      <c r="F1094" s="6" t="str">
        <f ca="1">IFERROR(__xludf.DUMMYFUNCTION("""COMPUTED_VALUE"""),"Разработка сервиса, позволяющая перевести 2D чертеж в BIM модель")</f>
        <v>Разработка сервиса, позволяющая перевести 2D чертеж в BIM модель</v>
      </c>
      <c r="G1094" s="7">
        <f ca="1">IFERROR(__xludf.DUMMYFUNCTION("""COMPUTED_VALUE"""),0)</f>
        <v>0</v>
      </c>
    </row>
    <row r="1095" spans="1:7" ht="26.4" x14ac:dyDescent="0.25">
      <c r="A1095" s="5">
        <f ca="1">IFERROR(__xludf.DUMMYFUNCTION("""COMPUTED_VALUE"""),695)</f>
        <v>695</v>
      </c>
      <c r="B1095" s="5" t="str">
        <f ca="1">IFERROR(__xludf.DUMMYFUNCTION("""COMPUTED_VALUE"""),"Лутошкин")</f>
        <v>Лутошкин</v>
      </c>
      <c r="C1095" s="5" t="str">
        <f ca="1">IFERROR(__xludf.DUMMYFUNCTION("""COMPUTED_VALUE"""),"Илья")</f>
        <v>Илья</v>
      </c>
      <c r="D1095" s="5" t="str">
        <f ca="1">IFERROR(__xludf.DUMMYFUNCTION("""COMPUTED_VALUE"""),"Дмитриевич")</f>
        <v>Дмитриевич</v>
      </c>
      <c r="E1095" s="5" t="str">
        <f ca="1">IFERROR(__xludf.DUMMYFUNCTION("""COMPUTED_VALUE"""),"Команда №4468")</f>
        <v>Команда №4468</v>
      </c>
      <c r="F1095" s="6" t="str">
        <f ca="1">IFERROR(__xludf.DUMMYFUNCTION("""COMPUTED_VALUE"""),"Разработка сервиса, позволяющая перевести 2D чертеж в BIM модель")</f>
        <v>Разработка сервиса, позволяющая перевести 2D чертеж в BIM модель</v>
      </c>
      <c r="G1095" s="7">
        <f ca="1">IFERROR(__xludf.DUMMYFUNCTION("""COMPUTED_VALUE"""),0)</f>
        <v>0</v>
      </c>
    </row>
    <row r="1096" spans="1:7" ht="26.4" x14ac:dyDescent="0.25">
      <c r="A1096" s="5">
        <f ca="1">IFERROR(__xludf.DUMMYFUNCTION("""COMPUTED_VALUE"""),1119)</f>
        <v>1119</v>
      </c>
      <c r="B1096" s="5" t="str">
        <f ca="1">IFERROR(__xludf.DUMMYFUNCTION("""COMPUTED_VALUE"""),"Стихин")</f>
        <v>Стихин</v>
      </c>
      <c r="C1096" s="5" t="str">
        <f ca="1">IFERROR(__xludf.DUMMYFUNCTION("""COMPUTED_VALUE"""),"Владимир")</f>
        <v>Владимир</v>
      </c>
      <c r="D1096" s="5" t="str">
        <f ca="1">IFERROR(__xludf.DUMMYFUNCTION("""COMPUTED_VALUE"""),"Владимирович")</f>
        <v>Владимирович</v>
      </c>
      <c r="E1096" s="5" t="str">
        <f ca="1">IFERROR(__xludf.DUMMYFUNCTION("""COMPUTED_VALUE"""),"Команда №4468")</f>
        <v>Команда №4468</v>
      </c>
      <c r="F1096" s="6" t="str">
        <f ca="1">IFERROR(__xludf.DUMMYFUNCTION("""COMPUTED_VALUE"""),"Разработка сервиса, позволяющая перевести 2D чертеж в BIM модель")</f>
        <v>Разработка сервиса, позволяющая перевести 2D чертеж в BIM модель</v>
      </c>
      <c r="G1096" s="7">
        <f ca="1">IFERROR(__xludf.DUMMYFUNCTION("""COMPUTED_VALUE"""),0)</f>
        <v>0</v>
      </c>
    </row>
    <row r="1097" spans="1:7" ht="26.4" x14ac:dyDescent="0.25">
      <c r="A1097" s="5">
        <f ca="1">IFERROR(__xludf.DUMMYFUNCTION("""COMPUTED_VALUE"""),972)</f>
        <v>972</v>
      </c>
      <c r="B1097" s="5" t="str">
        <f ca="1">IFERROR(__xludf.DUMMYFUNCTION("""COMPUTED_VALUE"""),"Путинцев")</f>
        <v>Путинцев</v>
      </c>
      <c r="C1097" s="5" t="str">
        <f ca="1">IFERROR(__xludf.DUMMYFUNCTION("""COMPUTED_VALUE"""),"Дмитрий")</f>
        <v>Дмитрий</v>
      </c>
      <c r="D1097" s="5" t="str">
        <f ca="1">IFERROR(__xludf.DUMMYFUNCTION("""COMPUTED_VALUE"""),"Александрович")</f>
        <v>Александрович</v>
      </c>
      <c r="E1097" s="5" t="str">
        <f ca="1">IFERROR(__xludf.DUMMYFUNCTION("""COMPUTED_VALUE"""),"Команда №4469")</f>
        <v>Команда №4469</v>
      </c>
      <c r="F1097" s="6" t="str">
        <f ca="1">IFERROR(__xludf.DUMMYFUNCTION("""COMPUTED_VALUE"""),"Подготовка данных массива источников грязеобразования в Екатеринбурге к анализу")</f>
        <v>Подготовка данных массива источников грязеобразования в Екатеринбурге к анализу</v>
      </c>
      <c r="G1097" s="7">
        <f ca="1">IFERROR(__xludf.DUMMYFUNCTION("""COMPUTED_VALUE"""),87)</f>
        <v>87</v>
      </c>
    </row>
    <row r="1098" spans="1:7" ht="26.4" x14ac:dyDescent="0.25">
      <c r="A1098" s="5">
        <f ca="1">IFERROR(__xludf.DUMMYFUNCTION("""COMPUTED_VALUE"""),974)</f>
        <v>974</v>
      </c>
      <c r="B1098" s="5" t="str">
        <f ca="1">IFERROR(__xludf.DUMMYFUNCTION("""COMPUTED_VALUE"""),"Пушкарев")</f>
        <v>Пушкарев</v>
      </c>
      <c r="C1098" s="5" t="str">
        <f ca="1">IFERROR(__xludf.DUMMYFUNCTION("""COMPUTED_VALUE"""),"Владислав")</f>
        <v>Владислав</v>
      </c>
      <c r="D1098" s="5" t="str">
        <f ca="1">IFERROR(__xludf.DUMMYFUNCTION("""COMPUTED_VALUE"""),"Дмитриевич")</f>
        <v>Дмитриевич</v>
      </c>
      <c r="E1098" s="5" t="str">
        <f ca="1">IFERROR(__xludf.DUMMYFUNCTION("""COMPUTED_VALUE"""),"Команда №4469")</f>
        <v>Команда №4469</v>
      </c>
      <c r="F1098" s="6" t="str">
        <f ca="1">IFERROR(__xludf.DUMMYFUNCTION("""COMPUTED_VALUE"""),"Подготовка данных массива источников грязеобразования в Екатеринбурге к анализу")</f>
        <v>Подготовка данных массива источников грязеобразования в Екатеринбурге к анализу</v>
      </c>
      <c r="G1098" s="7">
        <f ca="1">IFERROR(__xludf.DUMMYFUNCTION("""COMPUTED_VALUE"""),87)</f>
        <v>87</v>
      </c>
    </row>
    <row r="1099" spans="1:7" ht="26.4" x14ac:dyDescent="0.25">
      <c r="A1099" s="5">
        <f ca="1">IFERROR(__xludf.DUMMYFUNCTION("""COMPUTED_VALUE"""),1136)</f>
        <v>1136</v>
      </c>
      <c r="B1099" s="5" t="str">
        <f ca="1">IFERROR(__xludf.DUMMYFUNCTION("""COMPUTED_VALUE"""),"Сушенцов")</f>
        <v>Сушенцов</v>
      </c>
      <c r="C1099" s="5" t="str">
        <f ca="1">IFERROR(__xludf.DUMMYFUNCTION("""COMPUTED_VALUE"""),"Александр")</f>
        <v>Александр</v>
      </c>
      <c r="D1099" s="5" t="str">
        <f ca="1">IFERROR(__xludf.DUMMYFUNCTION("""COMPUTED_VALUE"""),"Сергеевич")</f>
        <v>Сергеевич</v>
      </c>
      <c r="E1099" s="5" t="str">
        <f ca="1">IFERROR(__xludf.DUMMYFUNCTION("""COMPUTED_VALUE"""),"Команда №4469")</f>
        <v>Команда №4469</v>
      </c>
      <c r="F1099" s="6" t="str">
        <f ca="1">IFERROR(__xludf.DUMMYFUNCTION("""COMPUTED_VALUE"""),"Подготовка данных массива источников грязеобразования в Екатеринбурге к анализу")</f>
        <v>Подготовка данных массива источников грязеобразования в Екатеринбурге к анализу</v>
      </c>
      <c r="G1099" s="7">
        <f ca="1">IFERROR(__xludf.DUMMYFUNCTION("""COMPUTED_VALUE"""),87)</f>
        <v>87</v>
      </c>
    </row>
    <row r="1100" spans="1:7" ht="26.4" x14ac:dyDescent="0.25">
      <c r="A1100" s="5">
        <f ca="1">IFERROR(__xludf.DUMMYFUNCTION("""COMPUTED_VALUE"""),1222)</f>
        <v>1222</v>
      </c>
      <c r="B1100" s="5" t="str">
        <f ca="1">IFERROR(__xludf.DUMMYFUNCTION("""COMPUTED_VALUE"""),"Филипенко")</f>
        <v>Филипенко</v>
      </c>
      <c r="C1100" s="5" t="str">
        <f ca="1">IFERROR(__xludf.DUMMYFUNCTION("""COMPUTED_VALUE"""),"Никита")</f>
        <v>Никита</v>
      </c>
      <c r="D1100" s="5" t="str">
        <f ca="1">IFERROR(__xludf.DUMMYFUNCTION("""COMPUTED_VALUE"""),"Евгеньевич")</f>
        <v>Евгеньевич</v>
      </c>
      <c r="E1100" s="5" t="str">
        <f ca="1">IFERROR(__xludf.DUMMYFUNCTION("""COMPUTED_VALUE"""),"Команда №4469")</f>
        <v>Команда №4469</v>
      </c>
      <c r="F1100" s="6" t="str">
        <f ca="1">IFERROR(__xludf.DUMMYFUNCTION("""COMPUTED_VALUE"""),"Подготовка данных массива источников грязеобразования в Екатеринбурге к анализу")</f>
        <v>Подготовка данных массива источников грязеобразования в Екатеринбурге к анализу</v>
      </c>
      <c r="G1100" s="7">
        <f ca="1">IFERROR(__xludf.DUMMYFUNCTION("""COMPUTED_VALUE"""),87)</f>
        <v>87</v>
      </c>
    </row>
    <row r="1101" spans="1:7" ht="26.4" x14ac:dyDescent="0.25">
      <c r="A1101" s="5">
        <f ca="1">IFERROR(__xludf.DUMMYFUNCTION("""COMPUTED_VALUE"""),519)</f>
        <v>519</v>
      </c>
      <c r="B1101" s="5" t="str">
        <f ca="1">IFERROR(__xludf.DUMMYFUNCTION("""COMPUTED_VALUE"""),"Кияткина")</f>
        <v>Кияткина</v>
      </c>
      <c r="C1101" s="5" t="str">
        <f ca="1">IFERROR(__xludf.DUMMYFUNCTION("""COMPUTED_VALUE"""),"Софья")</f>
        <v>Софья</v>
      </c>
      <c r="D1101" s="5" t="str">
        <f ca="1">IFERROR(__xludf.DUMMYFUNCTION("""COMPUTED_VALUE"""),"Павловна")</f>
        <v>Павловна</v>
      </c>
      <c r="E1101" s="5" t="str">
        <f ca="1">IFERROR(__xludf.DUMMYFUNCTION("""COMPUTED_VALUE"""),"Команда №4472")</f>
        <v>Команда №4472</v>
      </c>
      <c r="F1101" s="6" t="str">
        <f ca="1">IFERROR(__xludf.DUMMYFUNCTION("""COMPUTED_VALUE"""),"Создание модели распределения поверхностных грязевых наносов на жилой территории города")</f>
        <v>Создание модели распределения поверхностных грязевых наносов на жилой территории города</v>
      </c>
      <c r="G1101" s="7">
        <f ca="1">IFERROR(__xludf.DUMMYFUNCTION("""COMPUTED_VALUE"""),78)</f>
        <v>78</v>
      </c>
    </row>
    <row r="1102" spans="1:7" ht="26.4" x14ac:dyDescent="0.25">
      <c r="A1102" s="5">
        <f ca="1">IFERROR(__xludf.DUMMYFUNCTION("""COMPUTED_VALUE"""),658)</f>
        <v>658</v>
      </c>
      <c r="B1102" s="5" t="str">
        <f ca="1">IFERROR(__xludf.DUMMYFUNCTION("""COMPUTED_VALUE"""),"Лапп")</f>
        <v>Лапп</v>
      </c>
      <c r="C1102" s="5" t="str">
        <f ca="1">IFERROR(__xludf.DUMMYFUNCTION("""COMPUTED_VALUE"""),"Георгий")</f>
        <v>Георгий</v>
      </c>
      <c r="D1102" s="5" t="str">
        <f ca="1">IFERROR(__xludf.DUMMYFUNCTION("""COMPUTED_VALUE"""),"Валентинович")</f>
        <v>Валентинович</v>
      </c>
      <c r="E1102" s="5" t="str">
        <f ca="1">IFERROR(__xludf.DUMMYFUNCTION("""COMPUTED_VALUE"""),"Команда №4472")</f>
        <v>Команда №4472</v>
      </c>
      <c r="F1102" s="6" t="str">
        <f ca="1">IFERROR(__xludf.DUMMYFUNCTION("""COMPUTED_VALUE"""),"Создание модели распределения поверхностных грязевых наносов на жилой территории города")</f>
        <v>Создание модели распределения поверхностных грязевых наносов на жилой территории города</v>
      </c>
      <c r="G1102" s="7">
        <f ca="1">IFERROR(__xludf.DUMMYFUNCTION("""COMPUTED_VALUE"""),78)</f>
        <v>78</v>
      </c>
    </row>
    <row r="1103" spans="1:7" ht="26.4" x14ac:dyDescent="0.25">
      <c r="A1103" s="5">
        <f ca="1">IFERROR(__xludf.DUMMYFUNCTION("""COMPUTED_VALUE"""),675)</f>
        <v>675</v>
      </c>
      <c r="B1103" s="5" t="str">
        <f ca="1">IFERROR(__xludf.DUMMYFUNCTION("""COMPUTED_VALUE"""),"Лещенко")</f>
        <v>Лещенко</v>
      </c>
      <c r="C1103" s="5" t="str">
        <f ca="1">IFERROR(__xludf.DUMMYFUNCTION("""COMPUTED_VALUE"""),"Никита")</f>
        <v>Никита</v>
      </c>
      <c r="D1103" s="5" t="str">
        <f ca="1">IFERROR(__xludf.DUMMYFUNCTION("""COMPUTED_VALUE"""),"Александрович")</f>
        <v>Александрович</v>
      </c>
      <c r="E1103" s="5" t="str">
        <f ca="1">IFERROR(__xludf.DUMMYFUNCTION("""COMPUTED_VALUE"""),"Команда №4472")</f>
        <v>Команда №4472</v>
      </c>
      <c r="F1103" s="6" t="str">
        <f ca="1">IFERROR(__xludf.DUMMYFUNCTION("""COMPUTED_VALUE"""),"Создание модели распределения поверхностных грязевых наносов на жилой территории города")</f>
        <v>Создание модели распределения поверхностных грязевых наносов на жилой территории города</v>
      </c>
      <c r="G1103" s="7">
        <f ca="1">IFERROR(__xludf.DUMMYFUNCTION("""COMPUTED_VALUE"""),78)</f>
        <v>78</v>
      </c>
    </row>
    <row r="1104" spans="1:7" ht="26.4" x14ac:dyDescent="0.25">
      <c r="A1104" s="5">
        <f ca="1">IFERROR(__xludf.DUMMYFUNCTION("""COMPUTED_VALUE"""),679)</f>
        <v>679</v>
      </c>
      <c r="B1104" s="5" t="str">
        <f ca="1">IFERROR(__xludf.DUMMYFUNCTION("""COMPUTED_VALUE"""),"Литвин")</f>
        <v>Литвин</v>
      </c>
      <c r="C1104" s="5" t="str">
        <f ca="1">IFERROR(__xludf.DUMMYFUNCTION("""COMPUTED_VALUE"""),"Александр")</f>
        <v>Александр</v>
      </c>
      <c r="D1104" s="5" t="str">
        <f ca="1">IFERROR(__xludf.DUMMYFUNCTION("""COMPUTED_VALUE"""),"Юрьевич")</f>
        <v>Юрьевич</v>
      </c>
      <c r="E1104" s="5" t="str">
        <f ca="1">IFERROR(__xludf.DUMMYFUNCTION("""COMPUTED_VALUE"""),"Команда №4472")</f>
        <v>Команда №4472</v>
      </c>
      <c r="F1104" s="6" t="str">
        <f ca="1">IFERROR(__xludf.DUMMYFUNCTION("""COMPUTED_VALUE"""),"Создание модели распределения поверхностных грязевых наносов на жилой территории города")</f>
        <v>Создание модели распределения поверхностных грязевых наносов на жилой территории города</v>
      </c>
      <c r="G1104" s="7">
        <f ca="1">IFERROR(__xludf.DUMMYFUNCTION("""COMPUTED_VALUE"""),78)</f>
        <v>78</v>
      </c>
    </row>
    <row r="1105" spans="1:7" ht="26.4" x14ac:dyDescent="0.25">
      <c r="A1105" s="5">
        <f ca="1">IFERROR(__xludf.DUMMYFUNCTION("""COMPUTED_VALUE"""),681)</f>
        <v>681</v>
      </c>
      <c r="B1105" s="5" t="str">
        <f ca="1">IFERROR(__xludf.DUMMYFUNCTION("""COMPUTED_VALUE"""),"Лихачёв")</f>
        <v>Лихачёв</v>
      </c>
      <c r="C1105" s="5" t="str">
        <f ca="1">IFERROR(__xludf.DUMMYFUNCTION("""COMPUTED_VALUE"""),"Антон")</f>
        <v>Антон</v>
      </c>
      <c r="D1105" s="5" t="str">
        <f ca="1">IFERROR(__xludf.DUMMYFUNCTION("""COMPUTED_VALUE"""),"Алексеевич")</f>
        <v>Алексеевич</v>
      </c>
      <c r="E1105" s="5" t="str">
        <f ca="1">IFERROR(__xludf.DUMMYFUNCTION("""COMPUTED_VALUE"""),"Команда №4472")</f>
        <v>Команда №4472</v>
      </c>
      <c r="F1105" s="6" t="str">
        <f ca="1">IFERROR(__xludf.DUMMYFUNCTION("""COMPUTED_VALUE"""),"Создание модели распределения поверхностных грязевых наносов на жилой территории города")</f>
        <v>Создание модели распределения поверхностных грязевых наносов на жилой территории города</v>
      </c>
      <c r="G1105" s="7">
        <f ca="1">IFERROR(__xludf.DUMMYFUNCTION("""COMPUTED_VALUE"""),78)</f>
        <v>78</v>
      </c>
    </row>
    <row r="1106" spans="1:7" ht="39.6" x14ac:dyDescent="0.25">
      <c r="A1106" s="5">
        <f ca="1">IFERROR(__xludf.DUMMYFUNCTION("""COMPUTED_VALUE"""),221)</f>
        <v>221</v>
      </c>
      <c r="B1106" s="5" t="str">
        <f ca="1">IFERROR(__xludf.DUMMYFUNCTION("""COMPUTED_VALUE"""),"Воронченко")</f>
        <v>Воронченко</v>
      </c>
      <c r="C1106" s="5" t="str">
        <f ca="1">IFERROR(__xludf.DUMMYFUNCTION("""COMPUTED_VALUE"""),"Николай")</f>
        <v>Николай</v>
      </c>
      <c r="D1106" s="5" t="str">
        <f ca="1">IFERROR(__xludf.DUMMYFUNCTION("""COMPUTED_VALUE"""),"Алексеевич")</f>
        <v>Алексеевич</v>
      </c>
      <c r="E1106" s="5" t="str">
        <f ca="1">IFERROR(__xludf.DUMMYFUNCTION("""COMPUTED_VALUE"""),"Команда №4474")</f>
        <v>Команда №4474</v>
      </c>
      <c r="F1106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06" s="7">
        <f ca="1">IFERROR(__xludf.DUMMYFUNCTION("""COMPUTED_VALUE"""),85)</f>
        <v>85</v>
      </c>
    </row>
    <row r="1107" spans="1:7" ht="39.6" x14ac:dyDescent="0.25">
      <c r="A1107" s="5">
        <f ca="1">IFERROR(__xludf.DUMMYFUNCTION("""COMPUTED_VALUE"""),601)</f>
        <v>601</v>
      </c>
      <c r="B1107" s="5" t="str">
        <f ca="1">IFERROR(__xludf.DUMMYFUNCTION("""COMPUTED_VALUE"""),"Кочмарева")</f>
        <v>Кочмарева</v>
      </c>
      <c r="C1107" s="5" t="str">
        <f ca="1">IFERROR(__xludf.DUMMYFUNCTION("""COMPUTED_VALUE"""),"Нина")</f>
        <v>Нина</v>
      </c>
      <c r="D1107" s="5" t="str">
        <f ca="1">IFERROR(__xludf.DUMMYFUNCTION("""COMPUTED_VALUE"""),"Владимировна")</f>
        <v>Владимировна</v>
      </c>
      <c r="E1107" s="5" t="str">
        <f ca="1">IFERROR(__xludf.DUMMYFUNCTION("""COMPUTED_VALUE"""),"Команда №4474")</f>
        <v>Команда №4474</v>
      </c>
      <c r="F1107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07" s="7">
        <f ca="1">IFERROR(__xludf.DUMMYFUNCTION("""COMPUTED_VALUE"""),85)</f>
        <v>85</v>
      </c>
    </row>
    <row r="1108" spans="1:7" ht="39.6" x14ac:dyDescent="0.25">
      <c r="A1108" s="5">
        <f ca="1">IFERROR(__xludf.DUMMYFUNCTION("""COMPUTED_VALUE"""),801)</f>
        <v>801</v>
      </c>
      <c r="B1108" s="5" t="str">
        <f ca="1">IFERROR(__xludf.DUMMYFUNCTION("""COMPUTED_VALUE"""),"Мусина")</f>
        <v>Мусина</v>
      </c>
      <c r="C1108" s="5" t="str">
        <f ca="1">IFERROR(__xludf.DUMMYFUNCTION("""COMPUTED_VALUE"""),"Диана")</f>
        <v>Диана</v>
      </c>
      <c r="D1108" s="5" t="str">
        <f ca="1">IFERROR(__xludf.DUMMYFUNCTION("""COMPUTED_VALUE"""),"Ильгамовна")</f>
        <v>Ильгамовна</v>
      </c>
      <c r="E1108" s="5" t="str">
        <f ca="1">IFERROR(__xludf.DUMMYFUNCTION("""COMPUTED_VALUE"""),"Команда №4474")</f>
        <v>Команда №4474</v>
      </c>
      <c r="F1108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08" s="7">
        <f ca="1">IFERROR(__xludf.DUMMYFUNCTION("""COMPUTED_VALUE"""),85)</f>
        <v>85</v>
      </c>
    </row>
    <row r="1109" spans="1:7" ht="39.6" x14ac:dyDescent="0.25">
      <c r="A1109" s="5">
        <f ca="1">IFERROR(__xludf.DUMMYFUNCTION("""COMPUTED_VALUE"""),852)</f>
        <v>852</v>
      </c>
      <c r="B1109" s="5" t="str">
        <f ca="1">IFERROR(__xludf.DUMMYFUNCTION("""COMPUTED_VALUE"""),"Нилогов")</f>
        <v>Нилогов</v>
      </c>
      <c r="C1109" s="5" t="str">
        <f ca="1">IFERROR(__xludf.DUMMYFUNCTION("""COMPUTED_VALUE"""),"Александр")</f>
        <v>Александр</v>
      </c>
      <c r="D1109" s="5" t="str">
        <f ca="1">IFERROR(__xludf.DUMMYFUNCTION("""COMPUTED_VALUE"""),"Александрович")</f>
        <v>Александрович</v>
      </c>
      <c r="E1109" s="5" t="str">
        <f ca="1">IFERROR(__xludf.DUMMYFUNCTION("""COMPUTED_VALUE"""),"Команда №4474")</f>
        <v>Команда №4474</v>
      </c>
      <c r="F1109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09" s="7">
        <f ca="1">IFERROR(__xludf.DUMMYFUNCTION("""COMPUTED_VALUE"""),85)</f>
        <v>85</v>
      </c>
    </row>
    <row r="1110" spans="1:7" ht="39.6" x14ac:dyDescent="0.25">
      <c r="A1110" s="5">
        <f ca="1">IFERROR(__xludf.DUMMYFUNCTION("""COMPUTED_VALUE"""),1057)</f>
        <v>1057</v>
      </c>
      <c r="B1110" s="5" t="str">
        <f ca="1">IFERROR(__xludf.DUMMYFUNCTION("""COMPUTED_VALUE"""),"Серебренников")</f>
        <v>Серебренников</v>
      </c>
      <c r="C1110" s="5" t="str">
        <f ca="1">IFERROR(__xludf.DUMMYFUNCTION("""COMPUTED_VALUE"""),"Денис")</f>
        <v>Денис</v>
      </c>
      <c r="D1110" s="5" t="str">
        <f ca="1">IFERROR(__xludf.DUMMYFUNCTION("""COMPUTED_VALUE"""),"Александрович")</f>
        <v>Александрович</v>
      </c>
      <c r="E1110" s="5" t="str">
        <f ca="1">IFERROR(__xludf.DUMMYFUNCTION("""COMPUTED_VALUE"""),"Команда №4474")</f>
        <v>Команда №4474</v>
      </c>
      <c r="F1110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10" s="7">
        <f ca="1">IFERROR(__xludf.DUMMYFUNCTION("""COMPUTED_VALUE"""),85)</f>
        <v>85</v>
      </c>
    </row>
    <row r="1111" spans="1:7" ht="13.2" x14ac:dyDescent="0.25">
      <c r="A1111" s="5">
        <f ca="1">IFERROR(__xludf.DUMMYFUNCTION("""COMPUTED_VALUE"""),37)</f>
        <v>37</v>
      </c>
      <c r="B1111" s="5" t="str">
        <f ca="1">IFERROR(__xludf.DUMMYFUNCTION("""COMPUTED_VALUE"""),"Андреянов")</f>
        <v>Андреянов</v>
      </c>
      <c r="C1111" s="5" t="str">
        <f ca="1">IFERROR(__xludf.DUMMYFUNCTION("""COMPUTED_VALUE"""),"Даниил")</f>
        <v>Даниил</v>
      </c>
      <c r="D1111" s="5" t="str">
        <f ca="1">IFERROR(__xludf.DUMMYFUNCTION("""COMPUTED_VALUE"""),"Юрьевич")</f>
        <v>Юрьевич</v>
      </c>
      <c r="E1111" s="5" t="str">
        <f ca="1">IFERROR(__xludf.DUMMYFUNCTION("""COMPUTED_VALUE"""),"Команда №4475")</f>
        <v>Команда №4475</v>
      </c>
      <c r="F1111" s="6" t="str">
        <f ca="1">IFERROR(__xludf.DUMMYFUNCTION("""COMPUTED_VALUE"""),"Разработка плагина для ImageJ/Fiji")</f>
        <v>Разработка плагина для ImageJ/Fiji</v>
      </c>
      <c r="G1111" s="7">
        <f ca="1">IFERROR(__xludf.DUMMYFUNCTION("""COMPUTED_VALUE"""),0)</f>
        <v>0</v>
      </c>
    </row>
    <row r="1112" spans="1:7" ht="13.2" x14ac:dyDescent="0.25">
      <c r="A1112" s="5">
        <f ca="1">IFERROR(__xludf.DUMMYFUNCTION("""COMPUTED_VALUE"""),418)</f>
        <v>418</v>
      </c>
      <c r="B1112" s="5" t="str">
        <f ca="1">IFERROR(__xludf.DUMMYFUNCTION("""COMPUTED_VALUE"""),"Зарипов")</f>
        <v>Зарипов</v>
      </c>
      <c r="C1112" s="5" t="str">
        <f ca="1">IFERROR(__xludf.DUMMYFUNCTION("""COMPUTED_VALUE"""),"Роман")</f>
        <v>Роман</v>
      </c>
      <c r="D1112" s="5" t="str">
        <f ca="1">IFERROR(__xludf.DUMMYFUNCTION("""COMPUTED_VALUE"""),"Альбертович")</f>
        <v>Альбертович</v>
      </c>
      <c r="E1112" s="5" t="str">
        <f ca="1">IFERROR(__xludf.DUMMYFUNCTION("""COMPUTED_VALUE"""),"Команда №4475")</f>
        <v>Команда №4475</v>
      </c>
      <c r="F1112" s="6" t="str">
        <f ca="1">IFERROR(__xludf.DUMMYFUNCTION("""COMPUTED_VALUE"""),"Разработка плагина для ImageJ/Fiji")</f>
        <v>Разработка плагина для ImageJ/Fiji</v>
      </c>
      <c r="G1112" s="7">
        <f ca="1">IFERROR(__xludf.DUMMYFUNCTION("""COMPUTED_VALUE"""),0)</f>
        <v>0</v>
      </c>
    </row>
    <row r="1113" spans="1:7" ht="13.2" x14ac:dyDescent="0.25">
      <c r="A1113" s="5">
        <f ca="1">IFERROR(__xludf.DUMMYFUNCTION("""COMPUTED_VALUE"""),496)</f>
        <v>496</v>
      </c>
      <c r="B1113" s="5" t="str">
        <f ca="1">IFERROR(__xludf.DUMMYFUNCTION("""COMPUTED_VALUE"""),"Кармазь")</f>
        <v>Кармазь</v>
      </c>
      <c r="C1113" s="5" t="str">
        <f ca="1">IFERROR(__xludf.DUMMYFUNCTION("""COMPUTED_VALUE"""),"Александр")</f>
        <v>Александр</v>
      </c>
      <c r="D1113" s="5" t="str">
        <f ca="1">IFERROR(__xludf.DUMMYFUNCTION("""COMPUTED_VALUE"""),"Иванович")</f>
        <v>Иванович</v>
      </c>
      <c r="E1113" s="5" t="str">
        <f ca="1">IFERROR(__xludf.DUMMYFUNCTION("""COMPUTED_VALUE"""),"Команда №4475")</f>
        <v>Команда №4475</v>
      </c>
      <c r="F1113" s="6" t="str">
        <f ca="1">IFERROR(__xludf.DUMMYFUNCTION("""COMPUTED_VALUE"""),"Разработка плагина для ImageJ/Fiji")</f>
        <v>Разработка плагина для ImageJ/Fiji</v>
      </c>
      <c r="G1113" s="7">
        <f ca="1">IFERROR(__xludf.DUMMYFUNCTION("""COMPUTED_VALUE"""),0)</f>
        <v>0</v>
      </c>
    </row>
    <row r="1114" spans="1:7" ht="13.2" x14ac:dyDescent="0.25">
      <c r="A1114" s="5">
        <f ca="1">IFERROR(__xludf.DUMMYFUNCTION("""COMPUTED_VALUE"""),499)</f>
        <v>499</v>
      </c>
      <c r="B1114" s="5" t="str">
        <f ca="1">IFERROR(__xludf.DUMMYFUNCTION("""COMPUTED_VALUE"""),"Касаткин")</f>
        <v>Касаткин</v>
      </c>
      <c r="C1114" s="5" t="str">
        <f ca="1">IFERROR(__xludf.DUMMYFUNCTION("""COMPUTED_VALUE"""),"Николай")</f>
        <v>Николай</v>
      </c>
      <c r="D1114" s="5" t="str">
        <f ca="1">IFERROR(__xludf.DUMMYFUNCTION("""COMPUTED_VALUE"""),"Сергеевич")</f>
        <v>Сергеевич</v>
      </c>
      <c r="E1114" s="5" t="str">
        <f ca="1">IFERROR(__xludf.DUMMYFUNCTION("""COMPUTED_VALUE"""),"Команда №4475")</f>
        <v>Команда №4475</v>
      </c>
      <c r="F1114" s="6" t="str">
        <f ca="1">IFERROR(__xludf.DUMMYFUNCTION("""COMPUTED_VALUE"""),"Разработка плагина для ImageJ/Fiji")</f>
        <v>Разработка плагина для ImageJ/Fiji</v>
      </c>
      <c r="G1114" s="7">
        <f ca="1">IFERROR(__xludf.DUMMYFUNCTION("""COMPUTED_VALUE"""),0)</f>
        <v>0</v>
      </c>
    </row>
    <row r="1115" spans="1:7" ht="13.2" x14ac:dyDescent="0.25">
      <c r="A1115" s="5">
        <f ca="1">IFERROR(__xludf.DUMMYFUNCTION("""COMPUTED_VALUE"""),529)</f>
        <v>529</v>
      </c>
      <c r="B1115" s="5" t="str">
        <f ca="1">IFERROR(__xludf.DUMMYFUNCTION("""COMPUTED_VALUE"""),"Князев")</f>
        <v>Князев</v>
      </c>
      <c r="C1115" s="5" t="str">
        <f ca="1">IFERROR(__xludf.DUMMYFUNCTION("""COMPUTED_VALUE"""),"Семён")</f>
        <v>Семён</v>
      </c>
      <c r="D1115" s="5" t="str">
        <f ca="1">IFERROR(__xludf.DUMMYFUNCTION("""COMPUTED_VALUE"""),"Алексеевич")</f>
        <v>Алексеевич</v>
      </c>
      <c r="E1115" s="5" t="str">
        <f ca="1">IFERROR(__xludf.DUMMYFUNCTION("""COMPUTED_VALUE"""),"Команда №4475")</f>
        <v>Команда №4475</v>
      </c>
      <c r="F1115" s="6" t="str">
        <f ca="1">IFERROR(__xludf.DUMMYFUNCTION("""COMPUTED_VALUE"""),"Разработка плагина для ImageJ/Fiji")</f>
        <v>Разработка плагина для ImageJ/Fiji</v>
      </c>
      <c r="G1115" s="7">
        <f ca="1">IFERROR(__xludf.DUMMYFUNCTION("""COMPUTED_VALUE"""),0)</f>
        <v>0</v>
      </c>
    </row>
    <row r="1116" spans="1:7" ht="39.6" x14ac:dyDescent="0.25">
      <c r="A1116" s="5">
        <f ca="1">IFERROR(__xludf.DUMMYFUNCTION("""COMPUTED_VALUE"""),281)</f>
        <v>281</v>
      </c>
      <c r="B1116" s="5" t="str">
        <f ca="1">IFERROR(__xludf.DUMMYFUNCTION("""COMPUTED_VALUE"""),"Григорьев")</f>
        <v>Григорьев</v>
      </c>
      <c r="C1116" s="5" t="str">
        <f ca="1">IFERROR(__xludf.DUMMYFUNCTION("""COMPUTED_VALUE"""),"Олег")</f>
        <v>Олег</v>
      </c>
      <c r="D1116" s="5" t="str">
        <f ca="1">IFERROR(__xludf.DUMMYFUNCTION("""COMPUTED_VALUE"""),"Андреевич")</f>
        <v>Андреевич</v>
      </c>
      <c r="E1116" s="5" t="str">
        <f ca="1">IFERROR(__xludf.DUMMYFUNCTION("""COMPUTED_VALUE"""),"Команда №4476")</f>
        <v>Команда №4476</v>
      </c>
      <c r="F1116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16" s="7">
        <f ca="1">IFERROR(__xludf.DUMMYFUNCTION("""COMPUTED_VALUE"""),95)</f>
        <v>95</v>
      </c>
    </row>
    <row r="1117" spans="1:7" ht="39.6" x14ac:dyDescent="0.25">
      <c r="A1117" s="5">
        <f ca="1">IFERROR(__xludf.DUMMYFUNCTION("""COMPUTED_VALUE"""),557)</f>
        <v>557</v>
      </c>
      <c r="B1117" s="5" t="str">
        <f ca="1">IFERROR(__xludf.DUMMYFUNCTION("""COMPUTED_VALUE"""),"Колташев")</f>
        <v>Колташев</v>
      </c>
      <c r="C1117" s="5" t="str">
        <f ca="1">IFERROR(__xludf.DUMMYFUNCTION("""COMPUTED_VALUE"""),"Денис")</f>
        <v>Денис</v>
      </c>
      <c r="D1117" s="5" t="str">
        <f ca="1">IFERROR(__xludf.DUMMYFUNCTION("""COMPUTED_VALUE"""),"Сергеевич")</f>
        <v>Сергеевич</v>
      </c>
      <c r="E1117" s="5" t="str">
        <f ca="1">IFERROR(__xludf.DUMMYFUNCTION("""COMPUTED_VALUE"""),"Команда №4476")</f>
        <v>Команда №4476</v>
      </c>
      <c r="F1117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17" s="7">
        <f ca="1">IFERROR(__xludf.DUMMYFUNCTION("""COMPUTED_VALUE"""),95)</f>
        <v>95</v>
      </c>
    </row>
    <row r="1118" spans="1:7" ht="39.6" x14ac:dyDescent="0.25">
      <c r="A1118" s="5">
        <f ca="1">IFERROR(__xludf.DUMMYFUNCTION("""COMPUTED_VALUE"""),735)</f>
        <v>735</v>
      </c>
      <c r="B1118" s="5" t="str">
        <f ca="1">IFERROR(__xludf.DUMMYFUNCTION("""COMPUTED_VALUE"""),"Маснавиев")</f>
        <v>Маснавиев</v>
      </c>
      <c r="C1118" s="5" t="str">
        <f ca="1">IFERROR(__xludf.DUMMYFUNCTION("""COMPUTED_VALUE"""),"Данил")</f>
        <v>Данил</v>
      </c>
      <c r="D1118" s="5" t="str">
        <f ca="1">IFERROR(__xludf.DUMMYFUNCTION("""COMPUTED_VALUE"""),"Ильшатович")</f>
        <v>Ильшатович</v>
      </c>
      <c r="E1118" s="5" t="str">
        <f ca="1">IFERROR(__xludf.DUMMYFUNCTION("""COMPUTED_VALUE"""),"Команда №4476")</f>
        <v>Команда №4476</v>
      </c>
      <c r="F1118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18" s="7">
        <f ca="1">IFERROR(__xludf.DUMMYFUNCTION("""COMPUTED_VALUE"""),95)</f>
        <v>95</v>
      </c>
    </row>
    <row r="1119" spans="1:7" ht="39.6" x14ac:dyDescent="0.25">
      <c r="A1119" s="5">
        <f ca="1">IFERROR(__xludf.DUMMYFUNCTION("""COMPUTED_VALUE"""),1082)</f>
        <v>1082</v>
      </c>
      <c r="B1119" s="5" t="str">
        <f ca="1">IFERROR(__xludf.DUMMYFUNCTION("""COMPUTED_VALUE"""),"Слукин")</f>
        <v>Слукин</v>
      </c>
      <c r="C1119" s="5" t="str">
        <f ca="1">IFERROR(__xludf.DUMMYFUNCTION("""COMPUTED_VALUE"""),"Михаил")</f>
        <v>Михаил</v>
      </c>
      <c r="D1119" s="5" t="str">
        <f ca="1">IFERROR(__xludf.DUMMYFUNCTION("""COMPUTED_VALUE"""),"Сергеевич")</f>
        <v>Сергеевич</v>
      </c>
      <c r="E1119" s="5" t="str">
        <f ca="1">IFERROR(__xludf.DUMMYFUNCTION("""COMPUTED_VALUE"""),"Команда №4476")</f>
        <v>Команда №4476</v>
      </c>
      <c r="F1119" s="6" t="str">
        <f ca="1">IFERROR(__xludf.DUMMYFUNCTION("""COMPUTED_VALUE"""),"Распознавание по 2D изображению матча команд топ-уровня видов тактических единоборств (ТТЕ) на поле.")</f>
        <v>Распознавание по 2D изображению матча команд топ-уровня видов тактических единоборств (ТТЕ) на поле.</v>
      </c>
      <c r="G1119" s="7">
        <f ca="1">IFERROR(__xludf.DUMMYFUNCTION("""COMPUTED_VALUE"""),95)</f>
        <v>95</v>
      </c>
    </row>
    <row r="1120" spans="1:7" ht="26.4" x14ac:dyDescent="0.25">
      <c r="A1120" s="5">
        <f ca="1">IFERROR(__xludf.DUMMYFUNCTION("""COMPUTED_VALUE"""),407)</f>
        <v>407</v>
      </c>
      <c r="B1120" s="5" t="str">
        <f ca="1">IFERROR(__xludf.DUMMYFUNCTION("""COMPUTED_VALUE"""),"Зазноба")</f>
        <v>Зазноба</v>
      </c>
      <c r="C1120" s="5" t="str">
        <f ca="1">IFERROR(__xludf.DUMMYFUNCTION("""COMPUTED_VALUE"""),"Савелий")</f>
        <v>Савелий</v>
      </c>
      <c r="D1120" s="5" t="str">
        <f ca="1">IFERROR(__xludf.DUMMYFUNCTION("""COMPUTED_VALUE"""),"Антонович")</f>
        <v>Антонович</v>
      </c>
      <c r="E1120" s="5" t="str">
        <f ca="1">IFERROR(__xludf.DUMMYFUNCTION("""COMPUTED_VALUE"""),"Команда №4477")</f>
        <v>Команда №4477</v>
      </c>
      <c r="F1120" s="6" t="str">
        <f ca="1">IFERROR(__xludf.DUMMYFUNCTION("""COMPUTED_VALUE"""),"Создание универсального конструктор лендингов. Ярус.")</f>
        <v>Создание универсального конструктор лендингов. Ярус.</v>
      </c>
      <c r="G1120" s="7">
        <f ca="1">IFERROR(__xludf.DUMMYFUNCTION("""COMPUTED_VALUE"""),83)</f>
        <v>83</v>
      </c>
    </row>
    <row r="1121" spans="1:7" ht="26.4" x14ac:dyDescent="0.25">
      <c r="A1121" s="5">
        <f ca="1">IFERROR(__xludf.DUMMYFUNCTION("""COMPUTED_VALUE"""),470)</f>
        <v>470</v>
      </c>
      <c r="B1121" s="5" t="str">
        <f ca="1">IFERROR(__xludf.DUMMYFUNCTION("""COMPUTED_VALUE"""),"Иргашев")</f>
        <v>Иргашев</v>
      </c>
      <c r="C1121" s="5" t="str">
        <f ca="1">IFERROR(__xludf.DUMMYFUNCTION("""COMPUTED_VALUE"""),"Тимофей")</f>
        <v>Тимофей</v>
      </c>
      <c r="D1121" s="5" t="str">
        <f ca="1">IFERROR(__xludf.DUMMYFUNCTION("""COMPUTED_VALUE"""),"Александрович")</f>
        <v>Александрович</v>
      </c>
      <c r="E1121" s="5" t="str">
        <f ca="1">IFERROR(__xludf.DUMMYFUNCTION("""COMPUTED_VALUE"""),"Команда №4477")</f>
        <v>Команда №4477</v>
      </c>
      <c r="F1121" s="6" t="str">
        <f ca="1">IFERROR(__xludf.DUMMYFUNCTION("""COMPUTED_VALUE"""),"Создание универсального конструктор лендингов. Ярус.")</f>
        <v>Создание универсального конструктор лендингов. Ярус.</v>
      </c>
      <c r="G1121" s="7">
        <f ca="1">IFERROR(__xludf.DUMMYFUNCTION("""COMPUTED_VALUE"""),83)</f>
        <v>83</v>
      </c>
    </row>
    <row r="1122" spans="1:7" ht="26.4" x14ac:dyDescent="0.25">
      <c r="A1122" s="5">
        <f ca="1">IFERROR(__xludf.DUMMYFUNCTION("""COMPUTED_VALUE"""),1070)</f>
        <v>1070</v>
      </c>
      <c r="B1122" s="5" t="str">
        <f ca="1">IFERROR(__xludf.DUMMYFUNCTION("""COMPUTED_VALUE"""),"Ситников")</f>
        <v>Ситников</v>
      </c>
      <c r="C1122" s="5" t="str">
        <f ca="1">IFERROR(__xludf.DUMMYFUNCTION("""COMPUTED_VALUE"""),"Павел")</f>
        <v>Павел</v>
      </c>
      <c r="D1122" s="5" t="str">
        <f ca="1">IFERROR(__xludf.DUMMYFUNCTION("""COMPUTED_VALUE"""),"Игоревич")</f>
        <v>Игоревич</v>
      </c>
      <c r="E1122" s="5" t="str">
        <f ca="1">IFERROR(__xludf.DUMMYFUNCTION("""COMPUTED_VALUE"""),"Команда №4477")</f>
        <v>Команда №4477</v>
      </c>
      <c r="F1122" s="6" t="str">
        <f ca="1">IFERROR(__xludf.DUMMYFUNCTION("""COMPUTED_VALUE"""),"Создание универсального конструктор лендингов. Ярус.")</f>
        <v>Создание универсального конструктор лендингов. Ярус.</v>
      </c>
      <c r="G1122" s="7">
        <f ca="1">IFERROR(__xludf.DUMMYFUNCTION("""COMPUTED_VALUE"""),83)</f>
        <v>83</v>
      </c>
    </row>
    <row r="1123" spans="1:7" ht="26.4" x14ac:dyDescent="0.25">
      <c r="A1123" s="5">
        <f ca="1">IFERROR(__xludf.DUMMYFUNCTION("""COMPUTED_VALUE"""),305)</f>
        <v>305</v>
      </c>
      <c r="B1123" s="5" t="str">
        <f ca="1">IFERROR(__xludf.DUMMYFUNCTION("""COMPUTED_VALUE"""),"Дедов")</f>
        <v>Дедов</v>
      </c>
      <c r="C1123" s="5" t="str">
        <f ca="1">IFERROR(__xludf.DUMMYFUNCTION("""COMPUTED_VALUE"""),"Данил")</f>
        <v>Данил</v>
      </c>
      <c r="D1123" s="5" t="str">
        <f ca="1">IFERROR(__xludf.DUMMYFUNCTION("""COMPUTED_VALUE"""),"Валерьевич")</f>
        <v>Валерьевич</v>
      </c>
      <c r="E1123" s="5" t="str">
        <f ca="1">IFERROR(__xludf.DUMMYFUNCTION("""COMPUTED_VALUE"""),"Команда №4481")</f>
        <v>Команда №4481</v>
      </c>
      <c r="F1123" s="6" t="str">
        <f ca="1">IFERROR(__xludf.DUMMYFUNCTION("""COMPUTED_VALUE"""),"Развёртывание существующих решений по ИБ IoT")</f>
        <v>Развёртывание существующих решений по ИБ IoT</v>
      </c>
      <c r="G1123" s="7">
        <f ca="1">IFERROR(__xludf.DUMMYFUNCTION("""COMPUTED_VALUE"""),98)</f>
        <v>98</v>
      </c>
    </row>
    <row r="1124" spans="1:7" ht="26.4" x14ac:dyDescent="0.25">
      <c r="A1124" s="5">
        <f ca="1">IFERROR(__xludf.DUMMYFUNCTION("""COMPUTED_VALUE"""),329)</f>
        <v>329</v>
      </c>
      <c r="B1124" s="5" t="str">
        <f ca="1">IFERROR(__xludf.DUMMYFUNCTION("""COMPUTED_VALUE"""),"Долганов")</f>
        <v>Долганов</v>
      </c>
      <c r="C1124" s="5" t="str">
        <f ca="1">IFERROR(__xludf.DUMMYFUNCTION("""COMPUTED_VALUE"""),"Максим")</f>
        <v>Максим</v>
      </c>
      <c r="D1124" s="5" t="str">
        <f ca="1">IFERROR(__xludf.DUMMYFUNCTION("""COMPUTED_VALUE"""),"Александрович")</f>
        <v>Александрович</v>
      </c>
      <c r="E1124" s="5" t="str">
        <f ca="1">IFERROR(__xludf.DUMMYFUNCTION("""COMPUTED_VALUE"""),"Команда №4481")</f>
        <v>Команда №4481</v>
      </c>
      <c r="F1124" s="6" t="str">
        <f ca="1">IFERROR(__xludf.DUMMYFUNCTION("""COMPUTED_VALUE"""),"Развёртывание существующих решений по ИБ IoT")</f>
        <v>Развёртывание существующих решений по ИБ IoT</v>
      </c>
      <c r="G1124" s="7">
        <f ca="1">IFERROR(__xludf.DUMMYFUNCTION("""COMPUTED_VALUE"""),98)</f>
        <v>98</v>
      </c>
    </row>
    <row r="1125" spans="1:7" ht="26.4" x14ac:dyDescent="0.25">
      <c r="A1125" s="5">
        <f ca="1">IFERROR(__xludf.DUMMYFUNCTION("""COMPUTED_VALUE"""),597)</f>
        <v>597</v>
      </c>
      <c r="B1125" s="5" t="str">
        <f ca="1">IFERROR(__xludf.DUMMYFUNCTION("""COMPUTED_VALUE"""),"Котов")</f>
        <v>Котов</v>
      </c>
      <c r="C1125" s="5" t="str">
        <f ca="1">IFERROR(__xludf.DUMMYFUNCTION("""COMPUTED_VALUE"""),"Илья")</f>
        <v>Илья</v>
      </c>
      <c r="D1125" s="5" t="str">
        <f ca="1">IFERROR(__xludf.DUMMYFUNCTION("""COMPUTED_VALUE"""),"Сергеевич")</f>
        <v>Сергеевич</v>
      </c>
      <c r="E1125" s="5" t="str">
        <f ca="1">IFERROR(__xludf.DUMMYFUNCTION("""COMPUTED_VALUE"""),"Команда №4481")</f>
        <v>Команда №4481</v>
      </c>
      <c r="F1125" s="6" t="str">
        <f ca="1">IFERROR(__xludf.DUMMYFUNCTION("""COMPUTED_VALUE"""),"Развёртывание существующих решений по ИБ IoT")</f>
        <v>Развёртывание существующих решений по ИБ IoT</v>
      </c>
      <c r="G1125" s="7">
        <f ca="1">IFERROR(__xludf.DUMMYFUNCTION("""COMPUTED_VALUE"""),98)</f>
        <v>98</v>
      </c>
    </row>
    <row r="1126" spans="1:7" ht="26.4" x14ac:dyDescent="0.25">
      <c r="A1126" s="5">
        <f ca="1">IFERROR(__xludf.DUMMYFUNCTION("""COMPUTED_VALUE"""),724)</f>
        <v>724</v>
      </c>
      <c r="B1126" s="5" t="str">
        <f ca="1">IFERROR(__xludf.DUMMYFUNCTION("""COMPUTED_VALUE"""),"Мамаев")</f>
        <v>Мамаев</v>
      </c>
      <c r="C1126" s="5" t="str">
        <f ca="1">IFERROR(__xludf.DUMMYFUNCTION("""COMPUTED_VALUE"""),"Алексей")</f>
        <v>Алексей</v>
      </c>
      <c r="D1126" s="5" t="str">
        <f ca="1">IFERROR(__xludf.DUMMYFUNCTION("""COMPUTED_VALUE"""),"Игоревич")</f>
        <v>Игоревич</v>
      </c>
      <c r="E1126" s="5" t="str">
        <f ca="1">IFERROR(__xludf.DUMMYFUNCTION("""COMPUTED_VALUE"""),"Команда №4481")</f>
        <v>Команда №4481</v>
      </c>
      <c r="F1126" s="6" t="str">
        <f ca="1">IFERROR(__xludf.DUMMYFUNCTION("""COMPUTED_VALUE"""),"Развёртывание существующих решений по ИБ IoT")</f>
        <v>Развёртывание существующих решений по ИБ IoT</v>
      </c>
      <c r="G1126" s="7">
        <f ca="1">IFERROR(__xludf.DUMMYFUNCTION("""COMPUTED_VALUE"""),98)</f>
        <v>98</v>
      </c>
    </row>
    <row r="1127" spans="1:7" ht="26.4" x14ac:dyDescent="0.25">
      <c r="A1127" s="5">
        <f ca="1">IFERROR(__xludf.DUMMYFUNCTION("""COMPUTED_VALUE"""),1277)</f>
        <v>1277</v>
      </c>
      <c r="B1127" s="5" t="str">
        <f ca="1">IFERROR(__xludf.DUMMYFUNCTION("""COMPUTED_VALUE"""),"Чернейков")</f>
        <v>Чернейков</v>
      </c>
      <c r="C1127" s="5" t="str">
        <f ca="1">IFERROR(__xludf.DUMMYFUNCTION("""COMPUTED_VALUE"""),"Никита")</f>
        <v>Никита</v>
      </c>
      <c r="D1127" s="5" t="str">
        <f ca="1">IFERROR(__xludf.DUMMYFUNCTION("""COMPUTED_VALUE"""),"Константинович")</f>
        <v>Константинович</v>
      </c>
      <c r="E1127" s="5" t="str">
        <f ca="1">IFERROR(__xludf.DUMMYFUNCTION("""COMPUTED_VALUE"""),"Команда №4481")</f>
        <v>Команда №4481</v>
      </c>
      <c r="F1127" s="6" t="str">
        <f ca="1">IFERROR(__xludf.DUMMYFUNCTION("""COMPUTED_VALUE"""),"Развёртывание существующих решений по ИБ IoT")</f>
        <v>Развёртывание существующих решений по ИБ IoT</v>
      </c>
      <c r="G1127" s="7">
        <f ca="1">IFERROR(__xludf.DUMMYFUNCTION("""COMPUTED_VALUE"""),98)</f>
        <v>98</v>
      </c>
    </row>
    <row r="1128" spans="1:7" ht="39.6" x14ac:dyDescent="0.25">
      <c r="A1128" s="5">
        <f ca="1">IFERROR(__xludf.DUMMYFUNCTION("""COMPUTED_VALUE"""),17)</f>
        <v>17</v>
      </c>
      <c r="B1128" s="5" t="str">
        <f ca="1">IFERROR(__xludf.DUMMYFUNCTION("""COMPUTED_VALUE"""),"Авалос")</f>
        <v>Авалос</v>
      </c>
      <c r="C1128" s="5" t="str">
        <f ca="1">IFERROR(__xludf.DUMMYFUNCTION("""COMPUTED_VALUE"""),"Паз")</f>
        <v>Паз</v>
      </c>
      <c r="D1128" s="5" t="str">
        <f ca="1">IFERROR(__xludf.DUMMYFUNCTION("""COMPUTED_VALUE"""),"И")</f>
        <v>И</v>
      </c>
      <c r="E1128" s="5" t="str">
        <f ca="1">IFERROR(__xludf.DUMMYFUNCTION("""COMPUTED_VALUE"""),"Команда №4482")</f>
        <v>Команда №4482</v>
      </c>
      <c r="F1128" s="6" t="str">
        <f ca="1">IFERROR(__xludf.DUMMYFUNCTION("""COMPUTED_VALUE"""),"Создание АСУТП котельной, состоящей из двух контроллеров (котлов) и контроллера общего котельного оборудования")</f>
        <v>Создание АСУТП котельной, состоящей из двух контроллеров (котлов) и контроллера общего котельного оборудования</v>
      </c>
      <c r="G1128" s="7">
        <f ca="1">IFERROR(__xludf.DUMMYFUNCTION("""COMPUTED_VALUE"""),0)</f>
        <v>0</v>
      </c>
    </row>
    <row r="1129" spans="1:7" ht="39.6" x14ac:dyDescent="0.25">
      <c r="A1129" s="5">
        <f ca="1">IFERROR(__xludf.DUMMYFUNCTION("""COMPUTED_VALUE"""),135)</f>
        <v>135</v>
      </c>
      <c r="B1129" s="5" t="str">
        <f ca="1">IFERROR(__xludf.DUMMYFUNCTION("""COMPUTED_VALUE"""),"Богданов")</f>
        <v>Богданов</v>
      </c>
      <c r="C1129" s="5" t="str">
        <f ca="1">IFERROR(__xludf.DUMMYFUNCTION("""COMPUTED_VALUE"""),"Никита")</f>
        <v>Никита</v>
      </c>
      <c r="D1129" s="5" t="str">
        <f ca="1">IFERROR(__xludf.DUMMYFUNCTION("""COMPUTED_VALUE"""),"Игоревич")</f>
        <v>Игоревич</v>
      </c>
      <c r="E1129" s="5" t="str">
        <f ca="1">IFERROR(__xludf.DUMMYFUNCTION("""COMPUTED_VALUE"""),"Команда №4482")</f>
        <v>Команда №4482</v>
      </c>
      <c r="F1129" s="6" t="str">
        <f ca="1">IFERROR(__xludf.DUMMYFUNCTION("""COMPUTED_VALUE"""),"Создание АСУТП котельной, состоящей из двух контроллеров (котлов) и контроллера общего котельного оборудования")</f>
        <v>Создание АСУТП котельной, состоящей из двух контроллеров (котлов) и контроллера общего котельного оборудования</v>
      </c>
      <c r="G1129" s="7">
        <f ca="1">IFERROR(__xludf.DUMMYFUNCTION("""COMPUTED_VALUE"""),0)</f>
        <v>0</v>
      </c>
    </row>
    <row r="1130" spans="1:7" ht="39.6" x14ac:dyDescent="0.25">
      <c r="A1130" s="5">
        <f ca="1">IFERROR(__xludf.DUMMYFUNCTION("""COMPUTED_VALUE"""),747)</f>
        <v>747</v>
      </c>
      <c r="B1130" s="5" t="str">
        <f ca="1">IFERROR(__xludf.DUMMYFUNCTION("""COMPUTED_VALUE"""),"Мекшеев")</f>
        <v>Мекшеев</v>
      </c>
      <c r="C1130" s="5" t="str">
        <f ca="1">IFERROR(__xludf.DUMMYFUNCTION("""COMPUTED_VALUE"""),"Богдан")</f>
        <v>Богдан</v>
      </c>
      <c r="D1130" s="5" t="str">
        <f ca="1">IFERROR(__xludf.DUMMYFUNCTION("""COMPUTED_VALUE"""),"Сергеевич")</f>
        <v>Сергеевич</v>
      </c>
      <c r="E1130" s="5" t="str">
        <f ca="1">IFERROR(__xludf.DUMMYFUNCTION("""COMPUTED_VALUE"""),"Команда №4482")</f>
        <v>Команда №4482</v>
      </c>
      <c r="F1130" s="6" t="str">
        <f ca="1">IFERROR(__xludf.DUMMYFUNCTION("""COMPUTED_VALUE"""),"Создание АСУТП котельной, состоящей из двух контроллеров (котлов) и контроллера общего котельного оборудования")</f>
        <v>Создание АСУТП котельной, состоящей из двух контроллеров (котлов) и контроллера общего котельного оборудования</v>
      </c>
      <c r="G1130" s="7">
        <f ca="1">IFERROR(__xludf.DUMMYFUNCTION("""COMPUTED_VALUE"""),0)</f>
        <v>0</v>
      </c>
    </row>
    <row r="1131" spans="1:7" ht="26.4" x14ac:dyDescent="0.25">
      <c r="A1131" s="5">
        <f ca="1">IFERROR(__xludf.DUMMYFUNCTION("""COMPUTED_VALUE"""),422)</f>
        <v>422</v>
      </c>
      <c r="B1131" s="5" t="str">
        <f ca="1">IFERROR(__xludf.DUMMYFUNCTION("""COMPUTED_VALUE"""),"Захаров")</f>
        <v>Захаров</v>
      </c>
      <c r="C1131" s="5" t="str">
        <f ca="1">IFERROR(__xludf.DUMMYFUNCTION("""COMPUTED_VALUE"""),"Сергей")</f>
        <v>Сергей</v>
      </c>
      <c r="D1131" s="5" t="str">
        <f ca="1">IFERROR(__xludf.DUMMYFUNCTION("""COMPUTED_VALUE"""),"Александрович")</f>
        <v>Александрович</v>
      </c>
      <c r="E1131" s="5" t="str">
        <f ca="1">IFERROR(__xludf.DUMMYFUNCTION("""COMPUTED_VALUE"""),"Команда №4483")</f>
        <v>Команда №4483</v>
      </c>
      <c r="F1131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1131" s="7">
        <f ca="1">IFERROR(__xludf.DUMMYFUNCTION("""COMPUTED_VALUE"""),82)</f>
        <v>82</v>
      </c>
    </row>
    <row r="1132" spans="1:7" ht="26.4" x14ac:dyDescent="0.25">
      <c r="A1132" s="5">
        <f ca="1">IFERROR(__xludf.DUMMYFUNCTION("""COMPUTED_VALUE"""),860)</f>
        <v>860</v>
      </c>
      <c r="B1132" s="5" t="str">
        <f ca="1">IFERROR(__xludf.DUMMYFUNCTION("""COMPUTED_VALUE"""),"Носиновский")</f>
        <v>Носиновский</v>
      </c>
      <c r="C1132" s="5" t="str">
        <f ca="1">IFERROR(__xludf.DUMMYFUNCTION("""COMPUTED_VALUE"""),"Богдан")</f>
        <v>Богдан</v>
      </c>
      <c r="D1132" s="5" t="str">
        <f ca="1">IFERROR(__xludf.DUMMYFUNCTION("""COMPUTED_VALUE"""),"Вячеславович")</f>
        <v>Вячеславович</v>
      </c>
      <c r="E1132" s="5" t="str">
        <f ca="1">IFERROR(__xludf.DUMMYFUNCTION("""COMPUTED_VALUE"""),"Команда №4483")</f>
        <v>Команда №4483</v>
      </c>
      <c r="F1132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1132" s="7">
        <f ca="1">IFERROR(__xludf.DUMMYFUNCTION("""COMPUTED_VALUE"""),82)</f>
        <v>82</v>
      </c>
    </row>
    <row r="1133" spans="1:7" ht="26.4" x14ac:dyDescent="0.25">
      <c r="A1133" s="5">
        <f ca="1">IFERROR(__xludf.DUMMYFUNCTION("""COMPUTED_VALUE"""),912)</f>
        <v>912</v>
      </c>
      <c r="B1133" s="5" t="str">
        <f ca="1">IFERROR(__xludf.DUMMYFUNCTION("""COMPUTED_VALUE"""),"Переверзев")</f>
        <v>Переверзев</v>
      </c>
      <c r="C1133" s="5" t="str">
        <f ca="1">IFERROR(__xludf.DUMMYFUNCTION("""COMPUTED_VALUE"""),"Александр")</f>
        <v>Александр</v>
      </c>
      <c r="D1133" s="5" t="str">
        <f ca="1">IFERROR(__xludf.DUMMYFUNCTION("""COMPUTED_VALUE"""),"Евгеньевич")</f>
        <v>Евгеньевич</v>
      </c>
      <c r="E1133" s="5" t="str">
        <f ca="1">IFERROR(__xludf.DUMMYFUNCTION("""COMPUTED_VALUE"""),"Команда №4483")</f>
        <v>Команда №4483</v>
      </c>
      <c r="F1133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1133" s="7">
        <f ca="1">IFERROR(__xludf.DUMMYFUNCTION("""COMPUTED_VALUE"""),82)</f>
        <v>82</v>
      </c>
    </row>
    <row r="1134" spans="1:7" ht="26.4" x14ac:dyDescent="0.25">
      <c r="A1134" s="5">
        <f ca="1">IFERROR(__xludf.DUMMYFUNCTION("""COMPUTED_VALUE"""),987)</f>
        <v>987</v>
      </c>
      <c r="B1134" s="5" t="str">
        <f ca="1">IFERROR(__xludf.DUMMYFUNCTION("""COMPUTED_VALUE"""),"Реент")</f>
        <v>Реент</v>
      </c>
      <c r="C1134" s="5" t="str">
        <f ca="1">IFERROR(__xludf.DUMMYFUNCTION("""COMPUTED_VALUE"""),"Константин")</f>
        <v>Константин</v>
      </c>
      <c r="D1134" s="5" t="str">
        <f ca="1">IFERROR(__xludf.DUMMYFUNCTION("""COMPUTED_VALUE"""),"Дмитриевич")</f>
        <v>Дмитриевич</v>
      </c>
      <c r="E1134" s="5" t="str">
        <f ca="1">IFERROR(__xludf.DUMMYFUNCTION("""COMPUTED_VALUE"""),"Команда №4483")</f>
        <v>Команда №4483</v>
      </c>
      <c r="F1134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1134" s="7">
        <f ca="1">IFERROR(__xludf.DUMMYFUNCTION("""COMPUTED_VALUE"""),82)</f>
        <v>82</v>
      </c>
    </row>
    <row r="1135" spans="1:7" ht="26.4" x14ac:dyDescent="0.25">
      <c r="A1135" s="5">
        <f ca="1">IFERROR(__xludf.DUMMYFUNCTION("""COMPUTED_VALUE"""),1304)</f>
        <v>1304</v>
      </c>
      <c r="B1135" s="5" t="str">
        <f ca="1">IFERROR(__xludf.DUMMYFUNCTION("""COMPUTED_VALUE"""),"Шалимов")</f>
        <v>Шалимов</v>
      </c>
      <c r="C1135" s="5" t="str">
        <f ca="1">IFERROR(__xludf.DUMMYFUNCTION("""COMPUTED_VALUE"""),"Вадим")</f>
        <v>Вадим</v>
      </c>
      <c r="D1135" s="5" t="str">
        <f ca="1">IFERROR(__xludf.DUMMYFUNCTION("""COMPUTED_VALUE"""),"Константинович")</f>
        <v>Константинович</v>
      </c>
      <c r="E1135" s="5" t="str">
        <f ca="1">IFERROR(__xludf.DUMMYFUNCTION("""COMPUTED_VALUE"""),"Команда №4483")</f>
        <v>Команда №4483</v>
      </c>
      <c r="F1135" s="6" t="str">
        <f ca="1">IFERROR(__xludf.DUMMYFUNCTION("""COMPUTED_VALUE"""),"Создание сайта с личным кабинетом клиента. Автосервис.")</f>
        <v>Создание сайта с личным кабинетом клиента. Автосервис.</v>
      </c>
      <c r="G1135" s="7">
        <f ca="1">IFERROR(__xludf.DUMMYFUNCTION("""COMPUTED_VALUE"""),82)</f>
        <v>82</v>
      </c>
    </row>
    <row r="1136" spans="1:7" ht="26.4" x14ac:dyDescent="0.25">
      <c r="A1136" s="5">
        <f ca="1">IFERROR(__xludf.DUMMYFUNCTION("""COMPUTED_VALUE"""),495)</f>
        <v>495</v>
      </c>
      <c r="B1136" s="5" t="str">
        <f ca="1">IFERROR(__xludf.DUMMYFUNCTION("""COMPUTED_VALUE"""),"Карболин")</f>
        <v>Карболин</v>
      </c>
      <c r="C1136" s="5" t="str">
        <f ca="1">IFERROR(__xludf.DUMMYFUNCTION("""COMPUTED_VALUE"""),"Сергей")</f>
        <v>Сергей</v>
      </c>
      <c r="D1136" s="5" t="str">
        <f ca="1">IFERROR(__xludf.DUMMYFUNCTION("""COMPUTED_VALUE"""),"Александрович")</f>
        <v>Александрович</v>
      </c>
      <c r="E1136" s="5" t="str">
        <f ca="1">IFERROR(__xludf.DUMMYFUNCTION("""COMPUTED_VALUE"""),"Команда №4486")</f>
        <v>Команда №4486</v>
      </c>
      <c r="F1136" s="6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G1136" s="7">
        <f ca="1">IFERROR(__xludf.DUMMYFUNCTION("""COMPUTED_VALUE"""),70)</f>
        <v>70</v>
      </c>
    </row>
    <row r="1137" spans="1:7" ht="26.4" x14ac:dyDescent="0.25">
      <c r="A1137" s="5">
        <f ca="1">IFERROR(__xludf.DUMMYFUNCTION("""COMPUTED_VALUE"""),551)</f>
        <v>551</v>
      </c>
      <c r="B1137" s="5" t="str">
        <f ca="1">IFERROR(__xludf.DUMMYFUNCTION("""COMPUTED_VALUE"""),"Колмаков")</f>
        <v>Колмаков</v>
      </c>
      <c r="C1137" s="5" t="str">
        <f ca="1">IFERROR(__xludf.DUMMYFUNCTION("""COMPUTED_VALUE"""),"Марк")</f>
        <v>Марк</v>
      </c>
      <c r="D1137" s="5" t="str">
        <f ca="1">IFERROR(__xludf.DUMMYFUNCTION("""COMPUTED_VALUE"""),"Евгеньевич")</f>
        <v>Евгеньевич</v>
      </c>
      <c r="E1137" s="5" t="str">
        <f ca="1">IFERROR(__xludf.DUMMYFUNCTION("""COMPUTED_VALUE"""),"Команда №4486")</f>
        <v>Команда №4486</v>
      </c>
      <c r="F1137" s="6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G1137" s="7">
        <f ca="1">IFERROR(__xludf.DUMMYFUNCTION("""COMPUTED_VALUE"""),70)</f>
        <v>70</v>
      </c>
    </row>
    <row r="1138" spans="1:7" ht="26.4" x14ac:dyDescent="0.25">
      <c r="A1138" s="5">
        <f ca="1">IFERROR(__xludf.DUMMYFUNCTION("""COMPUTED_VALUE"""),582)</f>
        <v>582</v>
      </c>
      <c r="B1138" s="5" t="str">
        <f ca="1">IFERROR(__xludf.DUMMYFUNCTION("""COMPUTED_VALUE"""),"Кормин")</f>
        <v>Кормин</v>
      </c>
      <c r="C1138" s="5" t="str">
        <f ca="1">IFERROR(__xludf.DUMMYFUNCTION("""COMPUTED_VALUE"""),"Иван")</f>
        <v>Иван</v>
      </c>
      <c r="D1138" s="5" t="str">
        <f ca="1">IFERROR(__xludf.DUMMYFUNCTION("""COMPUTED_VALUE"""),"Александрович")</f>
        <v>Александрович</v>
      </c>
      <c r="E1138" s="5" t="str">
        <f ca="1">IFERROR(__xludf.DUMMYFUNCTION("""COMPUTED_VALUE"""),"Команда №4486")</f>
        <v>Команда №4486</v>
      </c>
      <c r="F1138" s="6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G1138" s="7">
        <f ca="1">IFERROR(__xludf.DUMMYFUNCTION("""COMPUTED_VALUE"""),70)</f>
        <v>70</v>
      </c>
    </row>
    <row r="1139" spans="1:7" ht="26.4" x14ac:dyDescent="0.25">
      <c r="A1139" s="5">
        <f ca="1">IFERROR(__xludf.DUMMYFUNCTION("""COMPUTED_VALUE"""),590)</f>
        <v>590</v>
      </c>
      <c r="B1139" s="5" t="str">
        <f ca="1">IFERROR(__xludf.DUMMYFUNCTION("""COMPUTED_VALUE"""),"Косарев")</f>
        <v>Косарев</v>
      </c>
      <c r="C1139" s="5" t="str">
        <f ca="1">IFERROR(__xludf.DUMMYFUNCTION("""COMPUTED_VALUE"""),"Алексей")</f>
        <v>Алексей</v>
      </c>
      <c r="D1139" s="5" t="str">
        <f ca="1">IFERROR(__xludf.DUMMYFUNCTION("""COMPUTED_VALUE"""),"Алексеевич")</f>
        <v>Алексеевич</v>
      </c>
      <c r="E1139" s="5" t="str">
        <f ca="1">IFERROR(__xludf.DUMMYFUNCTION("""COMPUTED_VALUE"""),"Команда №4486")</f>
        <v>Команда №4486</v>
      </c>
      <c r="F1139" s="6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G1139" s="7">
        <f ca="1">IFERROR(__xludf.DUMMYFUNCTION("""COMPUTED_VALUE"""),70)</f>
        <v>70</v>
      </c>
    </row>
    <row r="1140" spans="1:7" ht="26.4" x14ac:dyDescent="0.25">
      <c r="A1140" s="5">
        <f ca="1">IFERROR(__xludf.DUMMYFUNCTION("""COMPUTED_VALUE"""),618)</f>
        <v>618</v>
      </c>
      <c r="B1140" s="5" t="str">
        <f ca="1">IFERROR(__xludf.DUMMYFUNCTION("""COMPUTED_VALUE"""),"Крылов")</f>
        <v>Крылов</v>
      </c>
      <c r="C1140" s="5" t="str">
        <f ca="1">IFERROR(__xludf.DUMMYFUNCTION("""COMPUTED_VALUE"""),"Никита")</f>
        <v>Никита</v>
      </c>
      <c r="D1140" s="5" t="str">
        <f ca="1">IFERROR(__xludf.DUMMYFUNCTION("""COMPUTED_VALUE"""),"Андреевич")</f>
        <v>Андреевич</v>
      </c>
      <c r="E1140" s="5" t="str">
        <f ca="1">IFERROR(__xludf.DUMMYFUNCTION("""COMPUTED_VALUE"""),"Команда №4486")</f>
        <v>Команда №4486</v>
      </c>
      <c r="F1140" s="6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G1140" s="7">
        <f ca="1">IFERROR(__xludf.DUMMYFUNCTION("""COMPUTED_VALUE"""),70)</f>
        <v>70</v>
      </c>
    </row>
    <row r="1141" spans="1:7" ht="26.4" x14ac:dyDescent="0.25">
      <c r="A1141" s="5">
        <f ca="1">IFERROR(__xludf.DUMMYFUNCTION("""COMPUTED_VALUE"""),1269)</f>
        <v>1269</v>
      </c>
      <c r="B1141" s="5" t="str">
        <f ca="1">IFERROR(__xludf.DUMMYFUNCTION("""COMPUTED_VALUE"""),"Цыбиков")</f>
        <v>Цыбиков</v>
      </c>
      <c r="C1141" s="5" t="str">
        <f ca="1">IFERROR(__xludf.DUMMYFUNCTION("""COMPUTED_VALUE"""),"Владимир")</f>
        <v>Владимир</v>
      </c>
      <c r="D1141" s="5" t="str">
        <f ca="1">IFERROR(__xludf.DUMMYFUNCTION("""COMPUTED_VALUE"""),"Баирович")</f>
        <v>Баирович</v>
      </c>
      <c r="E1141" s="5" t="str">
        <f ca="1">IFERROR(__xludf.DUMMYFUNCTION("""COMPUTED_VALUE"""),"Команда №4486")</f>
        <v>Команда №4486</v>
      </c>
      <c r="F1141" s="6" t="str">
        <f ca="1">IFERROR(__xludf.DUMMYFUNCTION("""COMPUTED_VALUE"""),"Разработка прототипа интеграции Prometheus с зонтичной системой мониторинга")</f>
        <v>Разработка прототипа интеграции Prometheus с зонтичной системой мониторинга</v>
      </c>
      <c r="G1141" s="7">
        <f ca="1">IFERROR(__xludf.DUMMYFUNCTION("""COMPUTED_VALUE"""),70)</f>
        <v>70</v>
      </c>
    </row>
    <row r="1142" spans="1:7" ht="39.6" x14ac:dyDescent="0.25">
      <c r="A1142" s="5">
        <f ca="1">IFERROR(__xludf.DUMMYFUNCTION("""COMPUTED_VALUE"""),6)</f>
        <v>6</v>
      </c>
      <c r="B1142" s="5" t="str">
        <f ca="1">IFERROR(__xludf.DUMMYFUNCTION("""COMPUTED_VALUE"""),"Абдуллаев")</f>
        <v>Абдуллаев</v>
      </c>
      <c r="C1142" s="5" t="str">
        <f ca="1">IFERROR(__xludf.DUMMYFUNCTION("""COMPUTED_VALUE"""),"Пархат")</f>
        <v>Пархат</v>
      </c>
      <c r="D1142" s="5" t="str">
        <f ca="1">IFERROR(__xludf.DUMMYFUNCTION("""COMPUTED_VALUE"""),"Ялкунович")</f>
        <v>Ялкунович</v>
      </c>
      <c r="E1142" s="5" t="str">
        <f ca="1">IFERROR(__xludf.DUMMYFUNCTION("""COMPUTED_VALUE"""),"Команда №4487")</f>
        <v>Команда №4487</v>
      </c>
      <c r="F1142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142" s="7">
        <f ca="1">IFERROR(__xludf.DUMMYFUNCTION("""COMPUTED_VALUE"""),80)</f>
        <v>80</v>
      </c>
    </row>
    <row r="1143" spans="1:7" ht="39.6" x14ac:dyDescent="0.25">
      <c r="A1143" s="5">
        <f ca="1">IFERROR(__xludf.DUMMYFUNCTION("""COMPUTED_VALUE"""),42)</f>
        <v>42</v>
      </c>
      <c r="B1143" s="5" t="str">
        <f ca="1">IFERROR(__xludf.DUMMYFUNCTION("""COMPUTED_VALUE"""),"Антонов")</f>
        <v>Антонов</v>
      </c>
      <c r="C1143" s="5" t="str">
        <f ca="1">IFERROR(__xludf.DUMMYFUNCTION("""COMPUTED_VALUE"""),"Владислав")</f>
        <v>Владислав</v>
      </c>
      <c r="D1143" s="5" t="str">
        <f ca="1">IFERROR(__xludf.DUMMYFUNCTION("""COMPUTED_VALUE"""),"Сергеевич")</f>
        <v>Сергеевич</v>
      </c>
      <c r="E1143" s="5" t="str">
        <f ca="1">IFERROR(__xludf.DUMMYFUNCTION("""COMPUTED_VALUE"""),"Команда №4487")</f>
        <v>Команда №4487</v>
      </c>
      <c r="F1143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143" s="7">
        <f ca="1">IFERROR(__xludf.DUMMYFUNCTION("""COMPUTED_VALUE"""),80)</f>
        <v>80</v>
      </c>
    </row>
    <row r="1144" spans="1:7" ht="39.6" x14ac:dyDescent="0.25">
      <c r="A1144" s="5">
        <f ca="1">IFERROR(__xludf.DUMMYFUNCTION("""COMPUTED_VALUE"""),146)</f>
        <v>146</v>
      </c>
      <c r="B1144" s="5" t="str">
        <f ca="1">IFERROR(__xludf.DUMMYFUNCTION("""COMPUTED_VALUE"""),"Борозняк")</f>
        <v>Борозняк</v>
      </c>
      <c r="C1144" s="5" t="str">
        <f ca="1">IFERROR(__xludf.DUMMYFUNCTION("""COMPUTED_VALUE"""),"Илья")</f>
        <v>Илья</v>
      </c>
      <c r="D1144" s="5" t="str">
        <f ca="1">IFERROR(__xludf.DUMMYFUNCTION("""COMPUTED_VALUE"""),"Сергеевич")</f>
        <v>Сергеевич</v>
      </c>
      <c r="E1144" s="5" t="str">
        <f ca="1">IFERROR(__xludf.DUMMYFUNCTION("""COMPUTED_VALUE"""),"Команда №4487")</f>
        <v>Команда №4487</v>
      </c>
      <c r="F1144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144" s="7">
        <f ca="1">IFERROR(__xludf.DUMMYFUNCTION("""COMPUTED_VALUE"""),80)</f>
        <v>80</v>
      </c>
    </row>
    <row r="1145" spans="1:7" ht="39.6" x14ac:dyDescent="0.25">
      <c r="A1145" s="5">
        <f ca="1">IFERROR(__xludf.DUMMYFUNCTION("""COMPUTED_VALUE"""),171)</f>
        <v>171</v>
      </c>
      <c r="B1145" s="5" t="str">
        <f ca="1">IFERROR(__xludf.DUMMYFUNCTION("""COMPUTED_VALUE"""),"Валеев")</f>
        <v>Валеев</v>
      </c>
      <c r="C1145" s="5" t="str">
        <f ca="1">IFERROR(__xludf.DUMMYFUNCTION("""COMPUTED_VALUE"""),"Родион")</f>
        <v>Родион</v>
      </c>
      <c r="D1145" s="5" t="str">
        <f ca="1">IFERROR(__xludf.DUMMYFUNCTION("""COMPUTED_VALUE"""),"Иргалеевич")</f>
        <v>Иргалеевич</v>
      </c>
      <c r="E1145" s="5" t="str">
        <f ca="1">IFERROR(__xludf.DUMMYFUNCTION("""COMPUTED_VALUE"""),"Команда №4487")</f>
        <v>Команда №4487</v>
      </c>
      <c r="F1145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145" s="7">
        <f ca="1">IFERROR(__xludf.DUMMYFUNCTION("""COMPUTED_VALUE"""),80)</f>
        <v>80</v>
      </c>
    </row>
    <row r="1146" spans="1:7" ht="39.6" x14ac:dyDescent="0.25">
      <c r="A1146" s="5">
        <f ca="1">IFERROR(__xludf.DUMMYFUNCTION("""COMPUTED_VALUE"""),1355)</f>
        <v>1355</v>
      </c>
      <c r="B1146" s="5" t="str">
        <f ca="1">IFERROR(__xludf.DUMMYFUNCTION("""COMPUTED_VALUE"""),"Щербаков")</f>
        <v>Щербаков</v>
      </c>
      <c r="C1146" s="5" t="str">
        <f ca="1">IFERROR(__xludf.DUMMYFUNCTION("""COMPUTED_VALUE"""),"Данил")</f>
        <v>Данил</v>
      </c>
      <c r="D1146" s="5" t="str">
        <f ca="1">IFERROR(__xludf.DUMMYFUNCTION("""COMPUTED_VALUE"""),"Вячеславович")</f>
        <v>Вячеславович</v>
      </c>
      <c r="E1146" s="5" t="str">
        <f ca="1">IFERROR(__xludf.DUMMYFUNCTION("""COMPUTED_VALUE"""),"Команда №4487")</f>
        <v>Команда №4487</v>
      </c>
      <c r="F1146" s="6" t="str">
        <f ca="1">IFERROR(__xludf.DUMMYFUNCTION("""COMPUTED_VALUE"""),"Создание программного комплекса для автоматизированного подбора оборудования систем водоочистки загородных домов.")</f>
        <v>Создание программного комплекса для автоматизированного подбора оборудования систем водоочистки загородных домов.</v>
      </c>
      <c r="G1146" s="7">
        <f ca="1">IFERROR(__xludf.DUMMYFUNCTION("""COMPUTED_VALUE"""),80)</f>
        <v>80</v>
      </c>
    </row>
    <row r="1147" spans="1:7" ht="26.4" x14ac:dyDescent="0.25">
      <c r="A1147" s="5">
        <f ca="1">IFERROR(__xludf.DUMMYFUNCTION("""COMPUTED_VALUE"""),358)</f>
        <v>358</v>
      </c>
      <c r="B1147" s="5" t="str">
        <f ca="1">IFERROR(__xludf.DUMMYFUNCTION("""COMPUTED_VALUE"""),"Елисеев")</f>
        <v>Елисеев</v>
      </c>
      <c r="C1147" s="5" t="str">
        <f ca="1">IFERROR(__xludf.DUMMYFUNCTION("""COMPUTED_VALUE"""),"Сергей")</f>
        <v>Сергей</v>
      </c>
      <c r="D1147" s="5" t="str">
        <f ca="1">IFERROR(__xludf.DUMMYFUNCTION("""COMPUTED_VALUE"""),"Александрович")</f>
        <v>Александрович</v>
      </c>
      <c r="E1147" s="5" t="str">
        <f ca="1">IFERROR(__xludf.DUMMYFUNCTION("""COMPUTED_VALUE"""),"Команда №4503")</f>
        <v>Команда №4503</v>
      </c>
      <c r="F1147" s="6" t="str">
        <f ca="1">IFERROR(__xludf.DUMMYFUNCTION("""COMPUTED_VALUE"""),"Создание модели поведения пользователя для поиска аномалий")</f>
        <v>Создание модели поведения пользователя для поиска аномалий</v>
      </c>
      <c r="G1147" s="7">
        <f ca="1">IFERROR(__xludf.DUMMYFUNCTION("""COMPUTED_VALUE"""),0)</f>
        <v>0</v>
      </c>
    </row>
    <row r="1148" spans="1:7" ht="26.4" x14ac:dyDescent="0.25">
      <c r="A1148" s="5">
        <f ca="1">IFERROR(__xludf.DUMMYFUNCTION("""COMPUTED_VALUE"""),493)</f>
        <v>493</v>
      </c>
      <c r="B1148" s="5" t="str">
        <f ca="1">IFERROR(__xludf.DUMMYFUNCTION("""COMPUTED_VALUE"""),"Карасев")</f>
        <v>Карасев</v>
      </c>
      <c r="C1148" s="5" t="str">
        <f ca="1">IFERROR(__xludf.DUMMYFUNCTION("""COMPUTED_VALUE"""),"Никита")</f>
        <v>Никита</v>
      </c>
      <c r="D1148" s="5" t="str">
        <f ca="1">IFERROR(__xludf.DUMMYFUNCTION("""COMPUTED_VALUE"""),"Денисович")</f>
        <v>Денисович</v>
      </c>
      <c r="E1148" s="5" t="str">
        <f ca="1">IFERROR(__xludf.DUMMYFUNCTION("""COMPUTED_VALUE"""),"Команда №4503")</f>
        <v>Команда №4503</v>
      </c>
      <c r="F1148" s="6" t="str">
        <f ca="1">IFERROR(__xludf.DUMMYFUNCTION("""COMPUTED_VALUE"""),"Создание модели поведения пользователя для поиска аномалий")</f>
        <v>Создание модели поведения пользователя для поиска аномалий</v>
      </c>
      <c r="G1148" s="7">
        <f ca="1">IFERROR(__xludf.DUMMYFUNCTION("""COMPUTED_VALUE"""),0)</f>
        <v>0</v>
      </c>
    </row>
    <row r="1149" spans="1:7" ht="26.4" x14ac:dyDescent="0.25">
      <c r="A1149" s="5">
        <f ca="1">IFERROR(__xludf.DUMMYFUNCTION("""COMPUTED_VALUE"""),1012)</f>
        <v>1012</v>
      </c>
      <c r="B1149" s="5" t="str">
        <f ca="1">IFERROR(__xludf.DUMMYFUNCTION("""COMPUTED_VALUE"""),"Рязапов")</f>
        <v>Рязапов</v>
      </c>
      <c r="C1149" s="5" t="str">
        <f ca="1">IFERROR(__xludf.DUMMYFUNCTION("""COMPUTED_VALUE"""),"Динис")</f>
        <v>Динис</v>
      </c>
      <c r="D1149" s="5" t="str">
        <f ca="1">IFERROR(__xludf.DUMMYFUNCTION("""COMPUTED_VALUE"""),"Эдуардович")</f>
        <v>Эдуардович</v>
      </c>
      <c r="E1149" s="5" t="str">
        <f ca="1">IFERROR(__xludf.DUMMYFUNCTION("""COMPUTED_VALUE"""),"Команда №4503")</f>
        <v>Команда №4503</v>
      </c>
      <c r="F1149" s="6" t="str">
        <f ca="1">IFERROR(__xludf.DUMMYFUNCTION("""COMPUTED_VALUE"""),"Создание модели поведения пользователя для поиска аномалий")</f>
        <v>Создание модели поведения пользователя для поиска аномалий</v>
      </c>
      <c r="G1149" s="7">
        <f ca="1">IFERROR(__xludf.DUMMYFUNCTION("""COMPUTED_VALUE"""),0)</f>
        <v>0</v>
      </c>
    </row>
    <row r="1150" spans="1:7" ht="26.4" x14ac:dyDescent="0.25">
      <c r="A1150" s="5">
        <f ca="1">IFERROR(__xludf.DUMMYFUNCTION("""COMPUTED_VALUE"""),1328)</f>
        <v>1328</v>
      </c>
      <c r="B1150" s="5" t="str">
        <f ca="1">IFERROR(__xludf.DUMMYFUNCTION("""COMPUTED_VALUE"""),"Шестовских")</f>
        <v>Шестовских</v>
      </c>
      <c r="C1150" s="5" t="str">
        <f ca="1">IFERROR(__xludf.DUMMYFUNCTION("""COMPUTED_VALUE"""),"Полина")</f>
        <v>Полина</v>
      </c>
      <c r="D1150" s="5" t="str">
        <f ca="1">IFERROR(__xludf.DUMMYFUNCTION("""COMPUTED_VALUE"""),"Евгеньевна")</f>
        <v>Евгеньевна</v>
      </c>
      <c r="E1150" s="5" t="str">
        <f ca="1">IFERROR(__xludf.DUMMYFUNCTION("""COMPUTED_VALUE"""),"Команда №4503")</f>
        <v>Команда №4503</v>
      </c>
      <c r="F1150" s="6" t="str">
        <f ca="1">IFERROR(__xludf.DUMMYFUNCTION("""COMPUTED_VALUE"""),"Создание модели поведения пользователя для поиска аномалий")</f>
        <v>Создание модели поведения пользователя для поиска аномалий</v>
      </c>
      <c r="G1150" s="7">
        <f ca="1">IFERROR(__xludf.DUMMYFUNCTION("""COMPUTED_VALUE"""),0)</f>
        <v>0</v>
      </c>
    </row>
    <row r="1151" spans="1:7" ht="39.6" x14ac:dyDescent="0.25">
      <c r="A1151" s="5">
        <f ca="1">IFERROR(__xludf.DUMMYFUNCTION("""COMPUTED_VALUE"""),439)</f>
        <v>439</v>
      </c>
      <c r="B1151" s="5" t="str">
        <f ca="1">IFERROR(__xludf.DUMMYFUNCTION("""COMPUTED_VALUE"""),"Зотов")</f>
        <v>Зотов</v>
      </c>
      <c r="C1151" s="5" t="str">
        <f ca="1">IFERROR(__xludf.DUMMYFUNCTION("""COMPUTED_VALUE"""),"Андрей")</f>
        <v>Андрей</v>
      </c>
      <c r="D1151" s="5" t="str">
        <f ca="1">IFERROR(__xludf.DUMMYFUNCTION("""COMPUTED_VALUE"""),"Сергеевич")</f>
        <v>Сергеевич</v>
      </c>
      <c r="E1151" s="5" t="str">
        <f ca="1">IFERROR(__xludf.DUMMYFUNCTION("""COMPUTED_VALUE"""),"Команда №4511")</f>
        <v>Команда №4511</v>
      </c>
      <c r="F1151" s="6" t="str">
        <f ca="1">IFERROR(__xludf.DUMMYFUNCTION("""COMPUTED_VALUE"""),"Разработка микросервиса, позволяющего провести анализ траекторий посетителей на основании видео")</f>
        <v>Разработка микросервиса, позволяющего провести анализ траекторий посетителей на основании видео</v>
      </c>
      <c r="G1151" s="7">
        <f ca="1">IFERROR(__xludf.DUMMYFUNCTION("""COMPUTED_VALUE"""),90)</f>
        <v>90</v>
      </c>
    </row>
    <row r="1152" spans="1:7" ht="39.6" x14ac:dyDescent="0.25">
      <c r="A1152" s="5">
        <f ca="1">IFERROR(__xludf.DUMMYFUNCTION("""COMPUTED_VALUE"""),962)</f>
        <v>962</v>
      </c>
      <c r="B1152" s="5" t="str">
        <f ca="1">IFERROR(__xludf.DUMMYFUNCTION("""COMPUTED_VALUE"""),"Прокопов")</f>
        <v>Прокопов</v>
      </c>
      <c r="C1152" s="5" t="str">
        <f ca="1">IFERROR(__xludf.DUMMYFUNCTION("""COMPUTED_VALUE"""),"Никита")</f>
        <v>Никита</v>
      </c>
      <c r="D1152" s="5" t="str">
        <f ca="1">IFERROR(__xludf.DUMMYFUNCTION("""COMPUTED_VALUE"""),"Александрович")</f>
        <v>Александрович</v>
      </c>
      <c r="E1152" s="5" t="str">
        <f ca="1">IFERROR(__xludf.DUMMYFUNCTION("""COMPUTED_VALUE"""),"Команда №4511")</f>
        <v>Команда №4511</v>
      </c>
      <c r="F1152" s="6" t="str">
        <f ca="1">IFERROR(__xludf.DUMMYFUNCTION("""COMPUTED_VALUE"""),"Разработка микросервиса, позволяющего провести анализ траекторий посетителей на основании видео")</f>
        <v>Разработка микросервиса, позволяющего провести анализ траекторий посетителей на основании видео</v>
      </c>
      <c r="G1152" s="7">
        <f ca="1">IFERROR(__xludf.DUMMYFUNCTION("""COMPUTED_VALUE"""),90)</f>
        <v>90</v>
      </c>
    </row>
    <row r="1153" spans="1:7" ht="39.6" x14ac:dyDescent="0.25">
      <c r="A1153" s="5">
        <f ca="1">IFERROR(__xludf.DUMMYFUNCTION("""COMPUTED_VALUE"""),1361)</f>
        <v>1361</v>
      </c>
      <c r="B1153" s="5" t="str">
        <f ca="1">IFERROR(__xludf.DUMMYFUNCTION("""COMPUTED_VALUE"""),"Юданов")</f>
        <v>Юданов</v>
      </c>
      <c r="C1153" s="5" t="str">
        <f ca="1">IFERROR(__xludf.DUMMYFUNCTION("""COMPUTED_VALUE"""),"Кирилл")</f>
        <v>Кирилл</v>
      </c>
      <c r="D1153" s="5" t="str">
        <f ca="1">IFERROR(__xludf.DUMMYFUNCTION("""COMPUTED_VALUE"""),"Дмитриевич")</f>
        <v>Дмитриевич</v>
      </c>
      <c r="E1153" s="5" t="str">
        <f ca="1">IFERROR(__xludf.DUMMYFUNCTION("""COMPUTED_VALUE"""),"Команда №4511")</f>
        <v>Команда №4511</v>
      </c>
      <c r="F1153" s="6" t="str">
        <f ca="1">IFERROR(__xludf.DUMMYFUNCTION("""COMPUTED_VALUE"""),"Разработка микросервиса, позволяющего провести анализ траекторий посетителей на основании видео")</f>
        <v>Разработка микросервиса, позволяющего провести анализ траекторий посетителей на основании видео</v>
      </c>
      <c r="G1153" s="7">
        <f ca="1">IFERROR(__xludf.DUMMYFUNCTION("""COMPUTED_VALUE"""),90)</f>
        <v>90</v>
      </c>
    </row>
    <row r="1154" spans="1:7" ht="26.4" x14ac:dyDescent="0.25">
      <c r="A1154" s="5">
        <f ca="1">IFERROR(__xludf.DUMMYFUNCTION("""COMPUTED_VALUE"""),851)</f>
        <v>851</v>
      </c>
      <c r="B1154" s="5" t="str">
        <f ca="1">IFERROR(__xludf.DUMMYFUNCTION("""COMPUTED_VALUE"""),"Николин")</f>
        <v>Николин</v>
      </c>
      <c r="C1154" s="5" t="str">
        <f ca="1">IFERROR(__xludf.DUMMYFUNCTION("""COMPUTED_VALUE"""),"Василий")</f>
        <v>Василий</v>
      </c>
      <c r="D1154" s="5" t="str">
        <f ca="1">IFERROR(__xludf.DUMMYFUNCTION("""COMPUTED_VALUE"""),"Антонович")</f>
        <v>Антонович</v>
      </c>
      <c r="E1154" s="5" t="str">
        <f ca="1">IFERROR(__xludf.DUMMYFUNCTION("""COMPUTED_VALUE"""),"Команда №4513")</f>
        <v>Команда №4513</v>
      </c>
      <c r="F1154" s="6" t="str">
        <f ca="1">IFERROR(__xludf.DUMMYFUNCTION("""COMPUTED_VALUE"""),"Создание системы автоматического проведения интервью")</f>
        <v>Создание системы автоматического проведения интервью</v>
      </c>
      <c r="G1154" s="7">
        <f ca="1">IFERROR(__xludf.DUMMYFUNCTION("""COMPUTED_VALUE"""),0)</f>
        <v>0</v>
      </c>
    </row>
    <row r="1155" spans="1:7" ht="26.4" x14ac:dyDescent="0.25">
      <c r="A1155" s="5">
        <f ca="1">IFERROR(__xludf.DUMMYFUNCTION("""COMPUTED_VALUE"""),60)</f>
        <v>60</v>
      </c>
      <c r="B1155" s="5" t="str">
        <f ca="1">IFERROR(__xludf.DUMMYFUNCTION("""COMPUTED_VALUE"""),"Артемьев")</f>
        <v>Артемьев</v>
      </c>
      <c r="C1155" s="5" t="str">
        <f ca="1">IFERROR(__xludf.DUMMYFUNCTION("""COMPUTED_VALUE"""),"Иван")</f>
        <v>Иван</v>
      </c>
      <c r="D1155" s="5" t="str">
        <f ca="1">IFERROR(__xludf.DUMMYFUNCTION("""COMPUTED_VALUE"""),"Григорьевич")</f>
        <v>Григорьевич</v>
      </c>
      <c r="E1155" s="5" t="str">
        <f ca="1">IFERROR(__xludf.DUMMYFUNCTION("""COMPUTED_VALUE"""),"Команда №4515")</f>
        <v>Команда №4515</v>
      </c>
      <c r="F1155" s="6" t="str">
        <f ca="1">IFERROR(__xludf.DUMMYFUNCTION("""COMPUTED_VALUE"""),"Защищенная беспроводная сеть на территории «Умного месторождения»")</f>
        <v>Защищенная беспроводная сеть на территории «Умного месторождения»</v>
      </c>
      <c r="G1155" s="7">
        <f ca="1">IFERROR(__xludf.DUMMYFUNCTION("""COMPUTED_VALUE"""),61)</f>
        <v>61</v>
      </c>
    </row>
    <row r="1156" spans="1:7" ht="26.4" x14ac:dyDescent="0.25">
      <c r="A1156" s="5">
        <f ca="1">IFERROR(__xludf.DUMMYFUNCTION("""COMPUTED_VALUE"""),331)</f>
        <v>331</v>
      </c>
      <c r="B1156" s="5" t="str">
        <f ca="1">IFERROR(__xludf.DUMMYFUNCTION("""COMPUTED_VALUE"""),"Доможиров")</f>
        <v>Доможиров</v>
      </c>
      <c r="C1156" s="5" t="str">
        <f ca="1">IFERROR(__xludf.DUMMYFUNCTION("""COMPUTED_VALUE"""),"Юрий")</f>
        <v>Юрий</v>
      </c>
      <c r="D1156" s="5" t="str">
        <f ca="1">IFERROR(__xludf.DUMMYFUNCTION("""COMPUTED_VALUE"""),"Дмитриевич")</f>
        <v>Дмитриевич</v>
      </c>
      <c r="E1156" s="5" t="str">
        <f ca="1">IFERROR(__xludf.DUMMYFUNCTION("""COMPUTED_VALUE"""),"Команда №4515")</f>
        <v>Команда №4515</v>
      </c>
      <c r="F1156" s="6" t="str">
        <f ca="1">IFERROR(__xludf.DUMMYFUNCTION("""COMPUTED_VALUE"""),"Защищенная беспроводная сеть на территории «Умного месторождения»")</f>
        <v>Защищенная беспроводная сеть на территории «Умного месторождения»</v>
      </c>
      <c r="G1156" s="7">
        <f ca="1">IFERROR(__xludf.DUMMYFUNCTION("""COMPUTED_VALUE"""),61)</f>
        <v>61</v>
      </c>
    </row>
    <row r="1157" spans="1:7" ht="26.4" x14ac:dyDescent="0.25">
      <c r="A1157" s="5">
        <f ca="1">IFERROR(__xludf.DUMMYFUNCTION("""COMPUTED_VALUE"""),1233)</f>
        <v>1233</v>
      </c>
      <c r="B1157" s="5" t="str">
        <f ca="1">IFERROR(__xludf.DUMMYFUNCTION("""COMPUTED_VALUE"""),"Фомин")</f>
        <v>Фомин</v>
      </c>
      <c r="C1157" s="5" t="str">
        <f ca="1">IFERROR(__xludf.DUMMYFUNCTION("""COMPUTED_VALUE"""),"Андрей")</f>
        <v>Андрей</v>
      </c>
      <c r="D1157" s="5" t="str">
        <f ca="1">IFERROR(__xludf.DUMMYFUNCTION("""COMPUTED_VALUE"""),"Сергеевич")</f>
        <v>Сергеевич</v>
      </c>
      <c r="E1157" s="5" t="str">
        <f ca="1">IFERROR(__xludf.DUMMYFUNCTION("""COMPUTED_VALUE"""),"Команда №4515")</f>
        <v>Команда №4515</v>
      </c>
      <c r="F1157" s="6" t="str">
        <f ca="1">IFERROR(__xludf.DUMMYFUNCTION("""COMPUTED_VALUE"""),"Защищенная беспроводная сеть на территории «Умного месторождения»")</f>
        <v>Защищенная беспроводная сеть на территории «Умного месторождения»</v>
      </c>
      <c r="G1157" s="7">
        <f ca="1">IFERROR(__xludf.DUMMYFUNCTION("""COMPUTED_VALUE"""),61)</f>
        <v>61</v>
      </c>
    </row>
    <row r="1158" spans="1:7" ht="26.4" x14ac:dyDescent="0.25">
      <c r="A1158" s="5">
        <f ca="1">IFERROR(__xludf.DUMMYFUNCTION("""COMPUTED_VALUE"""),99)</f>
        <v>99</v>
      </c>
      <c r="B1158" s="5" t="str">
        <f ca="1">IFERROR(__xludf.DUMMYFUNCTION("""COMPUTED_VALUE"""),"Бачурин")</f>
        <v>Бачурин</v>
      </c>
      <c r="C1158" s="5" t="str">
        <f ca="1">IFERROR(__xludf.DUMMYFUNCTION("""COMPUTED_VALUE"""),"Матвей")</f>
        <v>Матвей</v>
      </c>
      <c r="D1158" s="5" t="str">
        <f ca="1">IFERROR(__xludf.DUMMYFUNCTION("""COMPUTED_VALUE"""),"Владимирович")</f>
        <v>Владимирович</v>
      </c>
      <c r="E1158" s="5" t="str">
        <f ca="1">IFERROR(__xludf.DUMMYFUNCTION("""COMPUTED_VALUE"""),"Команда №4516")</f>
        <v>Команда №4516</v>
      </c>
      <c r="F1158" s="6" t="str">
        <f ca="1">IFERROR(__xludf.DUMMYFUNCTION("""COMPUTED_VALUE"""),"Human Voice Data Transmission: An Investigation Using Machine Learning.")</f>
        <v>Human Voice Data Transmission: An Investigation Using Machine Learning.</v>
      </c>
      <c r="G1158" s="7">
        <f ca="1">IFERROR(__xludf.DUMMYFUNCTION("""COMPUTED_VALUE"""),100)</f>
        <v>100</v>
      </c>
    </row>
    <row r="1159" spans="1:7" ht="26.4" x14ac:dyDescent="0.25">
      <c r="A1159" s="5">
        <f ca="1">IFERROR(__xludf.DUMMYFUNCTION("""COMPUTED_VALUE"""),190)</f>
        <v>190</v>
      </c>
      <c r="B1159" s="5" t="str">
        <f ca="1">IFERROR(__xludf.DUMMYFUNCTION("""COMPUTED_VALUE"""),"Велиуллаев")</f>
        <v>Велиуллаев</v>
      </c>
      <c r="C1159" s="5" t="str">
        <f ca="1">IFERROR(__xludf.DUMMYFUNCTION("""COMPUTED_VALUE"""),"Владислав")</f>
        <v>Владислав</v>
      </c>
      <c r="D1159" s="5" t="str">
        <f ca="1">IFERROR(__xludf.DUMMYFUNCTION("""COMPUTED_VALUE"""),"Маратович")</f>
        <v>Маратович</v>
      </c>
      <c r="E1159" s="5" t="str">
        <f ca="1">IFERROR(__xludf.DUMMYFUNCTION("""COMPUTED_VALUE"""),"Команда №4516")</f>
        <v>Команда №4516</v>
      </c>
      <c r="F1159" s="6" t="str">
        <f ca="1">IFERROR(__xludf.DUMMYFUNCTION("""COMPUTED_VALUE"""),"Human Voice Data Transmission: An Investigation Using Machine Learning.")</f>
        <v>Human Voice Data Transmission: An Investigation Using Machine Learning.</v>
      </c>
      <c r="G1159" s="7">
        <f ca="1">IFERROR(__xludf.DUMMYFUNCTION("""COMPUTED_VALUE"""),100)</f>
        <v>100</v>
      </c>
    </row>
    <row r="1160" spans="1:7" ht="26.4" x14ac:dyDescent="0.25">
      <c r="A1160" s="5">
        <f ca="1">IFERROR(__xludf.DUMMYFUNCTION("""COMPUTED_VALUE"""),1104)</f>
        <v>1104</v>
      </c>
      <c r="B1160" s="5" t="str">
        <f ca="1">IFERROR(__xludf.DUMMYFUNCTION("""COMPUTED_VALUE"""),"Солодовник")</f>
        <v>Солодовник</v>
      </c>
      <c r="C1160" s="5" t="str">
        <f ca="1">IFERROR(__xludf.DUMMYFUNCTION("""COMPUTED_VALUE"""),"Дмитрий")</f>
        <v>Дмитрий</v>
      </c>
      <c r="D1160" s="5" t="str">
        <f ca="1">IFERROR(__xludf.DUMMYFUNCTION("""COMPUTED_VALUE"""),"Павлович")</f>
        <v>Павлович</v>
      </c>
      <c r="E1160" s="5" t="str">
        <f ca="1">IFERROR(__xludf.DUMMYFUNCTION("""COMPUTED_VALUE"""),"Команда №4516")</f>
        <v>Команда №4516</v>
      </c>
      <c r="F1160" s="6" t="str">
        <f ca="1">IFERROR(__xludf.DUMMYFUNCTION("""COMPUTED_VALUE"""),"Human Voice Data Transmission: An Investigation Using Machine Learning.")</f>
        <v>Human Voice Data Transmission: An Investigation Using Machine Learning.</v>
      </c>
      <c r="G1160" s="7">
        <f ca="1">IFERROR(__xludf.DUMMYFUNCTION("""COMPUTED_VALUE"""),100)</f>
        <v>100</v>
      </c>
    </row>
    <row r="1161" spans="1:7" ht="26.4" x14ac:dyDescent="0.25">
      <c r="A1161" s="5">
        <f ca="1">IFERROR(__xludf.DUMMYFUNCTION("""COMPUTED_VALUE"""),1294)</f>
        <v>1294</v>
      </c>
      <c r="B1161" s="5" t="str">
        <f ca="1">IFERROR(__xludf.DUMMYFUNCTION("""COMPUTED_VALUE"""),"Чудиновских")</f>
        <v>Чудиновских</v>
      </c>
      <c r="C1161" s="5" t="str">
        <f ca="1">IFERROR(__xludf.DUMMYFUNCTION("""COMPUTED_VALUE"""),"Николай")</f>
        <v>Николай</v>
      </c>
      <c r="D1161" s="5" t="str">
        <f ca="1">IFERROR(__xludf.DUMMYFUNCTION("""COMPUTED_VALUE"""),"Витальевич")</f>
        <v>Витальевич</v>
      </c>
      <c r="E1161" s="5" t="str">
        <f ca="1">IFERROR(__xludf.DUMMYFUNCTION("""COMPUTED_VALUE"""),"Команда №4516")</f>
        <v>Команда №4516</v>
      </c>
      <c r="F1161" s="6" t="str">
        <f ca="1">IFERROR(__xludf.DUMMYFUNCTION("""COMPUTED_VALUE"""),"Human Voice Data Transmission: An Investigation Using Machine Learning.")</f>
        <v>Human Voice Data Transmission: An Investigation Using Machine Learning.</v>
      </c>
      <c r="G1161" s="7">
        <f ca="1">IFERROR(__xludf.DUMMYFUNCTION("""COMPUTED_VALUE"""),100)</f>
        <v>100</v>
      </c>
    </row>
    <row r="1162" spans="1:7" ht="26.4" x14ac:dyDescent="0.25">
      <c r="A1162" s="5">
        <f ca="1">IFERROR(__xludf.DUMMYFUNCTION("""COMPUTED_VALUE"""),1351)</f>
        <v>1351</v>
      </c>
      <c r="B1162" s="5" t="str">
        <f ca="1">IFERROR(__xludf.DUMMYFUNCTION("""COMPUTED_VALUE"""),"Шурпиков")</f>
        <v>Шурпиков</v>
      </c>
      <c r="C1162" s="5" t="str">
        <f ca="1">IFERROR(__xludf.DUMMYFUNCTION("""COMPUTED_VALUE"""),"Алексей")</f>
        <v>Алексей</v>
      </c>
      <c r="D1162" s="5" t="str">
        <f ca="1">IFERROR(__xludf.DUMMYFUNCTION("""COMPUTED_VALUE"""),"Александрович")</f>
        <v>Александрович</v>
      </c>
      <c r="E1162" s="5" t="str">
        <f ca="1">IFERROR(__xludf.DUMMYFUNCTION("""COMPUTED_VALUE"""),"Команда №4516")</f>
        <v>Команда №4516</v>
      </c>
      <c r="F1162" s="6" t="str">
        <f ca="1">IFERROR(__xludf.DUMMYFUNCTION("""COMPUTED_VALUE"""),"Human Voice Data Transmission: An Investigation Using Machine Learning.")</f>
        <v>Human Voice Data Transmission: An Investigation Using Machine Learning.</v>
      </c>
      <c r="G1162" s="7">
        <f ca="1">IFERROR(__xludf.DUMMYFUNCTION("""COMPUTED_VALUE"""),100)</f>
        <v>100</v>
      </c>
    </row>
    <row r="1163" spans="1:7" ht="26.4" x14ac:dyDescent="0.25">
      <c r="A1163" s="5">
        <f ca="1">IFERROR(__xludf.DUMMYFUNCTION("""COMPUTED_VALUE"""),1145)</f>
        <v>1145</v>
      </c>
      <c r="B1163" s="5" t="str">
        <f ca="1">IFERROR(__xludf.DUMMYFUNCTION("""COMPUTED_VALUE"""),"Таха")</f>
        <v>Таха</v>
      </c>
      <c r="C1163" s="5" t="str">
        <f ca="1">IFERROR(__xludf.DUMMYFUNCTION("""COMPUTED_VALUE"""),"Халед")</f>
        <v>Халед</v>
      </c>
      <c r="D1163" s="5" t="str">
        <f ca="1">IFERROR(__xludf.DUMMYFUNCTION("""COMPUTED_VALUE"""),"Салах")</f>
        <v>Салах</v>
      </c>
      <c r="E1163" s="5" t="str">
        <f ca="1">IFERROR(__xludf.DUMMYFUNCTION("""COMPUTED_VALUE"""),"Команда №4553")</f>
        <v>Команда №4553</v>
      </c>
      <c r="F1163" s="6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G1163" s="7">
        <f ca="1">IFERROR(__xludf.DUMMYFUNCTION("""COMPUTED_VALUE"""),0)</f>
        <v>0</v>
      </c>
    </row>
    <row r="1164" spans="1:7" ht="26.4" x14ac:dyDescent="0.25">
      <c r="A1164" s="5">
        <f ca="1">IFERROR(__xludf.DUMMYFUNCTION("""COMPUTED_VALUE"""),0)</f>
        <v>0</v>
      </c>
      <c r="B1164" s="5" t="str">
        <f ca="1">IFERROR(__xludf.DUMMYFUNCTION("""COMPUTED_VALUE"""),"--")</f>
        <v>--</v>
      </c>
      <c r="C1164" s="5" t="str">
        <f ca="1">IFERROR(__xludf.DUMMYFUNCTION("""COMPUTED_VALUE"""),"Амджед")</f>
        <v>Амджед</v>
      </c>
      <c r="D1164" s="5" t="str">
        <f ca="1">IFERROR(__xludf.DUMMYFUNCTION("""COMPUTED_VALUE"""),"Ельсадиг")</f>
        <v>Ельсадиг</v>
      </c>
      <c r="E1164" s="5" t="str">
        <f ca="1">IFERROR(__xludf.DUMMYFUNCTION("""COMPUTED_VALUE"""),"Команда №4563")</f>
        <v>Команда №4563</v>
      </c>
      <c r="F1164" s="6" t="str">
        <f ca="1">IFERROR(__xludf.DUMMYFUNCTION("""COMPUTED_VALUE"""),"Автосервис. Создание заставки для мобильной игры на unity (ИРИТ-РТФ)")</f>
        <v>Автосервис. Создание заставки для мобильной игры на unity (ИРИТ-РТФ)</v>
      </c>
      <c r="G1164" s="7">
        <f ca="1">IFERROR(__xludf.DUMMYFUNCTION("""COMPUTED_VALUE"""),0)</f>
        <v>0</v>
      </c>
    </row>
    <row r="1165" spans="1:7" ht="26.4" x14ac:dyDescent="0.25">
      <c r="A1165" s="5">
        <f ca="1">IFERROR(__xludf.DUMMYFUNCTION("""COMPUTED_VALUE"""),351)</f>
        <v>351</v>
      </c>
      <c r="B1165" s="5" t="str">
        <f ca="1">IFERROR(__xludf.DUMMYFUNCTION("""COMPUTED_VALUE"""),"Дурович")</f>
        <v>Дурович</v>
      </c>
      <c r="C1165" s="5" t="str">
        <f ca="1">IFERROR(__xludf.DUMMYFUNCTION("""COMPUTED_VALUE"""),"Полина")</f>
        <v>Полина</v>
      </c>
      <c r="D1165" s="5" t="str">
        <f ca="1">IFERROR(__xludf.DUMMYFUNCTION("""COMPUTED_VALUE"""),"Михайловна")</f>
        <v>Михайловна</v>
      </c>
      <c r="E1165" s="5" t="str">
        <f ca="1">IFERROR(__xludf.DUMMYFUNCTION("""COMPUTED_VALUE"""),"Команда №4564")</f>
        <v>Команда №4564</v>
      </c>
      <c r="F1165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1165" s="7">
        <f ca="1">IFERROR(__xludf.DUMMYFUNCTION("""COMPUTED_VALUE"""),70)</f>
        <v>70</v>
      </c>
    </row>
    <row r="1166" spans="1:7" ht="26.4" x14ac:dyDescent="0.25">
      <c r="A1166" s="5">
        <f ca="1">IFERROR(__xludf.DUMMYFUNCTION("""COMPUTED_VALUE"""),791)</f>
        <v>791</v>
      </c>
      <c r="B1166" s="5" t="str">
        <f ca="1">IFERROR(__xludf.DUMMYFUNCTION("""COMPUTED_VALUE"""),"Музафаров")</f>
        <v>Музафаров</v>
      </c>
      <c r="C1166" s="5" t="str">
        <f ca="1">IFERROR(__xludf.DUMMYFUNCTION("""COMPUTED_VALUE"""),"Данил")</f>
        <v>Данил</v>
      </c>
      <c r="D1166" s="5" t="str">
        <f ca="1">IFERROR(__xludf.DUMMYFUNCTION("""COMPUTED_VALUE"""),"Рамилевич")</f>
        <v>Рамилевич</v>
      </c>
      <c r="E1166" s="5" t="str">
        <f ca="1">IFERROR(__xludf.DUMMYFUNCTION("""COMPUTED_VALUE"""),"Команда №4564")</f>
        <v>Команда №4564</v>
      </c>
      <c r="F1166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1166" s="7">
        <f ca="1">IFERROR(__xludf.DUMMYFUNCTION("""COMPUTED_VALUE"""),70)</f>
        <v>70</v>
      </c>
    </row>
    <row r="1167" spans="1:7" ht="26.4" x14ac:dyDescent="0.25">
      <c r="A1167" s="5">
        <f ca="1">IFERROR(__xludf.DUMMYFUNCTION("""COMPUTED_VALUE"""),920)</f>
        <v>920</v>
      </c>
      <c r="B1167" s="5" t="str">
        <f ca="1">IFERROR(__xludf.DUMMYFUNCTION("""COMPUTED_VALUE"""),"Пермякова")</f>
        <v>Пермякова</v>
      </c>
      <c r="C1167" s="5" t="str">
        <f ca="1">IFERROR(__xludf.DUMMYFUNCTION("""COMPUTED_VALUE"""),"Мария")</f>
        <v>Мария</v>
      </c>
      <c r="D1167" s="5" t="str">
        <f ca="1">IFERROR(__xludf.DUMMYFUNCTION("""COMPUTED_VALUE"""),"Ивановна")</f>
        <v>Ивановна</v>
      </c>
      <c r="E1167" s="5" t="str">
        <f ca="1">IFERROR(__xludf.DUMMYFUNCTION("""COMPUTED_VALUE"""),"Команда №4564")</f>
        <v>Команда №4564</v>
      </c>
      <c r="F1167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1167" s="7">
        <f ca="1">IFERROR(__xludf.DUMMYFUNCTION("""COMPUTED_VALUE"""),70)</f>
        <v>70</v>
      </c>
    </row>
    <row r="1168" spans="1:7" ht="26.4" x14ac:dyDescent="0.25">
      <c r="A1168" s="5">
        <f ca="1">IFERROR(__xludf.DUMMYFUNCTION("""COMPUTED_VALUE"""),953)</f>
        <v>953</v>
      </c>
      <c r="B1168" s="5" t="str">
        <f ca="1">IFERROR(__xludf.DUMMYFUNCTION("""COMPUTED_VALUE"""),"Попова")</f>
        <v>Попова</v>
      </c>
      <c r="C1168" s="5" t="str">
        <f ca="1">IFERROR(__xludf.DUMMYFUNCTION("""COMPUTED_VALUE"""),"Валерия")</f>
        <v>Валерия</v>
      </c>
      <c r="D1168" s="5" t="str">
        <f ca="1">IFERROR(__xludf.DUMMYFUNCTION("""COMPUTED_VALUE"""),"Евгеньевна")</f>
        <v>Евгеньевна</v>
      </c>
      <c r="E1168" s="5" t="str">
        <f ca="1">IFERROR(__xludf.DUMMYFUNCTION("""COMPUTED_VALUE"""),"Команда №4564")</f>
        <v>Команда №4564</v>
      </c>
      <c r="F1168" s="6" t="str">
        <f ca="1">IFERROR(__xludf.DUMMYFUNCTION("""COMPUTED_VALUE"""),"Разработка программы для управления симулятором Flightgear")</f>
        <v>Разработка программы для управления симулятором Flightgear</v>
      </c>
      <c r="G1168" s="7">
        <f ca="1">IFERROR(__xludf.DUMMYFUNCTION("""COMPUTED_VALUE"""),70)</f>
        <v>70</v>
      </c>
    </row>
    <row r="1169" spans="1:7" ht="39.6" x14ac:dyDescent="0.25">
      <c r="A1169" s="5">
        <f ca="1">IFERROR(__xludf.DUMMYFUNCTION("""COMPUTED_VALUE"""),440)</f>
        <v>440</v>
      </c>
      <c r="B1169" s="5" t="str">
        <f ca="1">IFERROR(__xludf.DUMMYFUNCTION("""COMPUTED_VALUE"""),"Зубакин")</f>
        <v>Зубакин</v>
      </c>
      <c r="C1169" s="5" t="str">
        <f ca="1">IFERROR(__xludf.DUMMYFUNCTION("""COMPUTED_VALUE"""),"Ренат")</f>
        <v>Ренат</v>
      </c>
      <c r="D1169" s="5" t="str">
        <f ca="1">IFERROR(__xludf.DUMMYFUNCTION("""COMPUTED_VALUE"""),"Хакимович")</f>
        <v>Хакимович</v>
      </c>
      <c r="E1169" s="5" t="str">
        <f ca="1">IFERROR(__xludf.DUMMYFUNCTION("""COMPUTED_VALUE"""),"Команда №7777")</f>
        <v>Команда №7777</v>
      </c>
      <c r="F1169" s="6" t="str">
        <f ca="1">IFERROR(__xludf.DUMMYFUNCTION("""COMPUTED_VALUE"""),"Создание тепловой карты региона РФ для визуализации данных об уровне удовлетворенности граждан")</f>
        <v>Создание тепловой карты региона РФ для визуализации данных об уровне удовлетворенности граждан</v>
      </c>
      <c r="G1169" s="7">
        <f ca="1">IFERROR(__xludf.DUMMYFUNCTION("""COMPUTED_VALUE"""),95)</f>
        <v>95</v>
      </c>
    </row>
    <row r="1170" spans="1:7" ht="39.6" x14ac:dyDescent="0.25">
      <c r="A1170" s="5">
        <f ca="1">IFERROR(__xludf.DUMMYFUNCTION("""COMPUTED_VALUE"""),563)</f>
        <v>563</v>
      </c>
      <c r="B1170" s="5" t="str">
        <f ca="1">IFERROR(__xludf.DUMMYFUNCTION("""COMPUTED_VALUE"""),"Кондратова")</f>
        <v>Кондратова</v>
      </c>
      <c r="C1170" s="5" t="str">
        <f ca="1">IFERROR(__xludf.DUMMYFUNCTION("""COMPUTED_VALUE"""),"Анна")</f>
        <v>Анна</v>
      </c>
      <c r="D1170" s="5" t="str">
        <f ca="1">IFERROR(__xludf.DUMMYFUNCTION("""COMPUTED_VALUE"""),"Вячеславовна")</f>
        <v>Вячеславовна</v>
      </c>
      <c r="E1170" s="5" t="str">
        <f ca="1">IFERROR(__xludf.DUMMYFUNCTION("""COMPUTED_VALUE"""),"Команда №7777")</f>
        <v>Команда №7777</v>
      </c>
      <c r="F1170" s="6" t="str">
        <f ca="1">IFERROR(__xludf.DUMMYFUNCTION("""COMPUTED_VALUE"""),"Создание тепловой карты региона РФ для визуализации данных об уровне удовлетворенности граждан")</f>
        <v>Создание тепловой карты региона РФ для визуализации данных об уровне удовлетворенности граждан</v>
      </c>
      <c r="G1170" s="7">
        <f ca="1">IFERROR(__xludf.DUMMYFUNCTION("""COMPUTED_VALUE"""),95)</f>
        <v>95</v>
      </c>
    </row>
    <row r="1171" spans="1:7" ht="39.6" x14ac:dyDescent="0.25">
      <c r="A1171" s="5">
        <f ca="1">IFERROR(__xludf.DUMMYFUNCTION("""COMPUTED_VALUE"""),761)</f>
        <v>761</v>
      </c>
      <c r="B1171" s="5" t="str">
        <f ca="1">IFERROR(__xludf.DUMMYFUNCTION("""COMPUTED_VALUE"""),"Мехряков")</f>
        <v>Мехряков</v>
      </c>
      <c r="C1171" s="5" t="str">
        <f ca="1">IFERROR(__xludf.DUMMYFUNCTION("""COMPUTED_VALUE"""),"Матвей")</f>
        <v>Матвей</v>
      </c>
      <c r="D1171" s="5" t="str">
        <f ca="1">IFERROR(__xludf.DUMMYFUNCTION("""COMPUTED_VALUE"""),"Николаевич")</f>
        <v>Николаевич</v>
      </c>
      <c r="E1171" s="5" t="str">
        <f ca="1">IFERROR(__xludf.DUMMYFUNCTION("""COMPUTED_VALUE"""),"Команда №7777")</f>
        <v>Команда №7777</v>
      </c>
      <c r="F1171" s="6" t="str">
        <f ca="1">IFERROR(__xludf.DUMMYFUNCTION("""COMPUTED_VALUE"""),"Создание тепловой карты региона РФ для визуализации данных об уровне удовлетворенности граждан")</f>
        <v>Создание тепловой карты региона РФ для визуализации данных об уровне удовлетворенности граждан</v>
      </c>
      <c r="G1171" s="7">
        <f ca="1">IFERROR(__xludf.DUMMYFUNCTION("""COMPUTED_VALUE"""),95)</f>
        <v>95</v>
      </c>
    </row>
    <row r="1172" spans="1:7" ht="39.6" x14ac:dyDescent="0.25">
      <c r="A1172" s="5">
        <f ca="1">IFERROR(__xludf.DUMMYFUNCTION("""COMPUTED_VALUE"""),995)</f>
        <v>995</v>
      </c>
      <c r="B1172" s="5" t="str">
        <f ca="1">IFERROR(__xludf.DUMMYFUNCTION("""COMPUTED_VALUE"""),"Романов")</f>
        <v>Романов</v>
      </c>
      <c r="C1172" s="5" t="str">
        <f ca="1">IFERROR(__xludf.DUMMYFUNCTION("""COMPUTED_VALUE"""),"Даниил")</f>
        <v>Даниил</v>
      </c>
      <c r="D1172" s="5" t="str">
        <f ca="1">IFERROR(__xludf.DUMMYFUNCTION("""COMPUTED_VALUE"""),"Константинович")</f>
        <v>Константинович</v>
      </c>
      <c r="E1172" s="5" t="str">
        <f ca="1">IFERROR(__xludf.DUMMYFUNCTION("""COMPUTED_VALUE"""),"Команда №7777")</f>
        <v>Команда №7777</v>
      </c>
      <c r="F1172" s="6" t="str">
        <f ca="1">IFERROR(__xludf.DUMMYFUNCTION("""COMPUTED_VALUE"""),"Создание тепловой карты региона РФ для визуализации данных об уровне удовлетворенности граждан")</f>
        <v>Создание тепловой карты региона РФ для визуализации данных об уровне удовлетворенности граждан</v>
      </c>
      <c r="G1172" s="7">
        <f ca="1">IFERROR(__xludf.DUMMYFUNCTION("""COMPUTED_VALUE"""),95)</f>
        <v>95</v>
      </c>
    </row>
    <row r="1173" spans="1:7" ht="39.6" x14ac:dyDescent="0.25">
      <c r="A1173" s="5">
        <f ca="1">IFERROR(__xludf.DUMMYFUNCTION("""COMPUTED_VALUE"""),1033)</f>
        <v>1033</v>
      </c>
      <c r="B1173" s="5" t="str">
        <f ca="1">IFERROR(__xludf.DUMMYFUNCTION("""COMPUTED_VALUE"""),"Самков")</f>
        <v>Самков</v>
      </c>
      <c r="C1173" s="5" t="str">
        <f ca="1">IFERROR(__xludf.DUMMYFUNCTION("""COMPUTED_VALUE"""),"Никита")</f>
        <v>Никита</v>
      </c>
      <c r="D1173" s="5" t="str">
        <f ca="1">IFERROR(__xludf.DUMMYFUNCTION("""COMPUTED_VALUE"""),"Алексеевич")</f>
        <v>Алексеевич</v>
      </c>
      <c r="E1173" s="5" t="str">
        <f ca="1">IFERROR(__xludf.DUMMYFUNCTION("""COMPUTED_VALUE"""),"Команда №7777")</f>
        <v>Команда №7777</v>
      </c>
      <c r="F1173" s="6" t="str">
        <f ca="1">IFERROR(__xludf.DUMMYFUNCTION("""COMPUTED_VALUE"""),"Создание тепловой карты региона РФ для визуализации данных об уровне удовлетворенности граждан")</f>
        <v>Создание тепловой карты региона РФ для визуализации данных об уровне удовлетворенности граждан</v>
      </c>
      <c r="G1173" s="7">
        <f ca="1">IFERROR(__xludf.DUMMYFUNCTION("""COMPUTED_VALUE"""),95)</f>
        <v>95</v>
      </c>
    </row>
    <row r="1174" spans="1:7" ht="13.2" x14ac:dyDescent="0.25">
      <c r="A1174" s="5">
        <f ca="1">IFERROR(__xludf.DUMMYFUNCTION("""COMPUTED_VALUE"""),114)</f>
        <v>114</v>
      </c>
      <c r="B1174" s="5" t="str">
        <f ca="1">IFERROR(__xludf.DUMMYFUNCTION("""COMPUTED_VALUE"""),"Белоцерковский")</f>
        <v>Белоцерковский</v>
      </c>
      <c r="C1174" s="5" t="str">
        <f ca="1">IFERROR(__xludf.DUMMYFUNCTION("""COMPUTED_VALUE"""),"Владислав")</f>
        <v>Владислав</v>
      </c>
      <c r="D1174" s="5" t="str">
        <f ca="1">IFERROR(__xludf.DUMMYFUNCTION("""COMPUTED_VALUE"""),"Сергеевич")</f>
        <v>Сергеевич</v>
      </c>
      <c r="E1174" s="5" t="str">
        <f ca="1">IFERROR(__xludf.DUMMYFUNCTION("""COMPUTED_VALUE"""),"Команда Кирен")</f>
        <v>Команда Кирен</v>
      </c>
      <c r="F1174" s="6" t="str">
        <f ca="1">IFERROR(__xludf.DUMMYFUNCTION("""COMPUTED_VALUE"""),"Автопилот для игры Space Engineers")</f>
        <v>Автопилот для игры Space Engineers</v>
      </c>
      <c r="G1174" s="7">
        <f ca="1">IFERROR(__xludf.DUMMYFUNCTION("""COMPUTED_VALUE"""),60)</f>
        <v>60</v>
      </c>
    </row>
    <row r="1175" spans="1:7" ht="13.2" x14ac:dyDescent="0.25">
      <c r="A1175" s="5">
        <f ca="1">IFERROR(__xludf.DUMMYFUNCTION("""COMPUTED_VALUE"""),680)</f>
        <v>680</v>
      </c>
      <c r="B1175" s="5" t="str">
        <f ca="1">IFERROR(__xludf.DUMMYFUNCTION("""COMPUTED_VALUE"""),"Литовкин")</f>
        <v>Литовкин</v>
      </c>
      <c r="C1175" s="5" t="str">
        <f ca="1">IFERROR(__xludf.DUMMYFUNCTION("""COMPUTED_VALUE"""),"Радомир")</f>
        <v>Радомир</v>
      </c>
      <c r="D1175" s="5" t="str">
        <f ca="1">IFERROR(__xludf.DUMMYFUNCTION("""COMPUTED_VALUE"""),"Игоревич")</f>
        <v>Игоревич</v>
      </c>
      <c r="E1175" s="5" t="str">
        <f ca="1">IFERROR(__xludf.DUMMYFUNCTION("""COMPUTED_VALUE"""),"Команда Кирен")</f>
        <v>Команда Кирен</v>
      </c>
      <c r="F1175" s="6" t="str">
        <f ca="1">IFERROR(__xludf.DUMMYFUNCTION("""COMPUTED_VALUE"""),"Автопилот для игры Space Engineers")</f>
        <v>Автопилот для игры Space Engineers</v>
      </c>
      <c r="G1175" s="7">
        <f ca="1">IFERROR(__xludf.DUMMYFUNCTION("""COMPUTED_VALUE"""),60)</f>
        <v>60</v>
      </c>
    </row>
    <row r="1176" spans="1:7" ht="13.2" x14ac:dyDescent="0.25">
      <c r="A1176" s="5">
        <f ca="1">IFERROR(__xludf.DUMMYFUNCTION("""COMPUTED_VALUE"""),714)</f>
        <v>714</v>
      </c>
      <c r="B1176" s="5" t="str">
        <f ca="1">IFERROR(__xludf.DUMMYFUNCTION("""COMPUTED_VALUE"""),"Макаров")</f>
        <v>Макаров</v>
      </c>
      <c r="C1176" s="5" t="str">
        <f ca="1">IFERROR(__xludf.DUMMYFUNCTION("""COMPUTED_VALUE"""),"Виктор")</f>
        <v>Виктор</v>
      </c>
      <c r="D1176" s="5" t="str">
        <f ca="1">IFERROR(__xludf.DUMMYFUNCTION("""COMPUTED_VALUE"""),"Вячеславович")</f>
        <v>Вячеславович</v>
      </c>
      <c r="E1176" s="5" t="str">
        <f ca="1">IFERROR(__xludf.DUMMYFUNCTION("""COMPUTED_VALUE"""),"Команда Кирен")</f>
        <v>Команда Кирен</v>
      </c>
      <c r="F1176" s="6" t="str">
        <f ca="1">IFERROR(__xludf.DUMMYFUNCTION("""COMPUTED_VALUE"""),"Автопилот для игры Space Engineers")</f>
        <v>Автопилот для игры Space Engineers</v>
      </c>
      <c r="G1176" s="7">
        <f ca="1">IFERROR(__xludf.DUMMYFUNCTION("""COMPUTED_VALUE"""),60)</f>
        <v>60</v>
      </c>
    </row>
    <row r="1177" spans="1:7" ht="13.2" x14ac:dyDescent="0.25">
      <c r="A1177" s="5">
        <f ca="1">IFERROR(__xludf.DUMMYFUNCTION("""COMPUTED_VALUE"""),809)</f>
        <v>809</v>
      </c>
      <c r="B1177" s="5" t="str">
        <f ca="1">IFERROR(__xludf.DUMMYFUNCTION("""COMPUTED_VALUE"""),"Мягченко")</f>
        <v>Мягченко</v>
      </c>
      <c r="C1177" s="5" t="str">
        <f ca="1">IFERROR(__xludf.DUMMYFUNCTION("""COMPUTED_VALUE"""),"Илья")</f>
        <v>Илья</v>
      </c>
      <c r="D1177" s="5" t="str">
        <f ca="1">IFERROR(__xludf.DUMMYFUNCTION("""COMPUTED_VALUE"""),"Дмитриевич")</f>
        <v>Дмитриевич</v>
      </c>
      <c r="E1177" s="5" t="str">
        <f ca="1">IFERROR(__xludf.DUMMYFUNCTION("""COMPUTED_VALUE"""),"Команда Кирен")</f>
        <v>Команда Кирен</v>
      </c>
      <c r="F1177" s="6" t="str">
        <f ca="1">IFERROR(__xludf.DUMMYFUNCTION("""COMPUTED_VALUE"""),"Автопилот для игры Space Engineers")</f>
        <v>Автопилот для игры Space Engineers</v>
      </c>
      <c r="G1177" s="7">
        <f ca="1">IFERROR(__xludf.DUMMYFUNCTION("""COMPUTED_VALUE"""),60)</f>
        <v>60</v>
      </c>
    </row>
    <row r="1178" spans="1:7" ht="39.6" x14ac:dyDescent="0.25">
      <c r="A1178" s="5">
        <f ca="1">IFERROR(__xludf.DUMMYFUNCTION("""COMPUTED_VALUE"""),546)</f>
        <v>546</v>
      </c>
      <c r="B1178" s="5" t="str">
        <f ca="1">IFERROR(__xludf.DUMMYFUNCTION("""COMPUTED_VALUE"""),"Кокшаров")</f>
        <v>Кокшаров</v>
      </c>
      <c r="C1178" s="5" t="str">
        <f ca="1">IFERROR(__xludf.DUMMYFUNCTION("""COMPUTED_VALUE"""),"Павел")</f>
        <v>Павел</v>
      </c>
      <c r="D1178" s="5" t="str">
        <f ca="1">IFERROR(__xludf.DUMMYFUNCTION("""COMPUTED_VALUE"""),"Евгеньевич")</f>
        <v>Евгеньевич</v>
      </c>
      <c r="E1178" s="5" t="str">
        <f ca="1">IFERROR(__xludf.DUMMYFUNCTION("""COMPUTED_VALUE"""),"ПоLEGOн")</f>
        <v>ПоLEGOн</v>
      </c>
      <c r="F1178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178" s="7">
        <f ca="1">IFERROR(__xludf.DUMMYFUNCTION("""COMPUTED_VALUE"""),85)</f>
        <v>85</v>
      </c>
    </row>
    <row r="1179" spans="1:7" ht="39.6" x14ac:dyDescent="0.25">
      <c r="A1179" s="5">
        <f ca="1">IFERROR(__xludf.DUMMYFUNCTION("""COMPUTED_VALUE"""),643)</f>
        <v>643</v>
      </c>
      <c r="B1179" s="5" t="str">
        <f ca="1">IFERROR(__xludf.DUMMYFUNCTION("""COMPUTED_VALUE"""),"Кульпанов")</f>
        <v>Кульпанов</v>
      </c>
      <c r="C1179" s="5" t="str">
        <f ca="1">IFERROR(__xludf.DUMMYFUNCTION("""COMPUTED_VALUE"""),"Максим")</f>
        <v>Максим</v>
      </c>
      <c r="D1179" s="5" t="str">
        <f ca="1">IFERROR(__xludf.DUMMYFUNCTION("""COMPUTED_VALUE"""),"Александрович")</f>
        <v>Александрович</v>
      </c>
      <c r="E1179" s="5" t="str">
        <f ca="1">IFERROR(__xludf.DUMMYFUNCTION("""COMPUTED_VALUE"""),"ПоLEGOн")</f>
        <v>ПоLEGOн</v>
      </c>
      <c r="F1179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179" s="7">
        <f ca="1">IFERROR(__xludf.DUMMYFUNCTION("""COMPUTED_VALUE"""),85)</f>
        <v>85</v>
      </c>
    </row>
    <row r="1180" spans="1:7" ht="39.6" x14ac:dyDescent="0.25">
      <c r="A1180" s="5">
        <f ca="1">IFERROR(__xludf.DUMMYFUNCTION("""COMPUTED_VALUE"""),669)</f>
        <v>669</v>
      </c>
      <c r="B1180" s="5" t="str">
        <f ca="1">IFERROR(__xludf.DUMMYFUNCTION("""COMPUTED_VALUE"""),"Лебедев")</f>
        <v>Лебедев</v>
      </c>
      <c r="C1180" s="5" t="str">
        <f ca="1">IFERROR(__xludf.DUMMYFUNCTION("""COMPUTED_VALUE"""),"Андрей")</f>
        <v>Андрей</v>
      </c>
      <c r="D1180" s="5" t="str">
        <f ca="1">IFERROR(__xludf.DUMMYFUNCTION("""COMPUTED_VALUE"""),"Денисович")</f>
        <v>Денисович</v>
      </c>
      <c r="E1180" s="5" t="str">
        <f ca="1">IFERROR(__xludf.DUMMYFUNCTION("""COMPUTED_VALUE"""),"ПоLEGOн")</f>
        <v>ПоLEGOн</v>
      </c>
      <c r="F1180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180" s="7">
        <f ca="1">IFERROR(__xludf.DUMMYFUNCTION("""COMPUTED_VALUE"""),85)</f>
        <v>85</v>
      </c>
    </row>
    <row r="1181" spans="1:7" ht="39.6" x14ac:dyDescent="0.25">
      <c r="A1181" s="5">
        <f ca="1">IFERROR(__xludf.DUMMYFUNCTION("""COMPUTED_VALUE"""),1090)</f>
        <v>1090</v>
      </c>
      <c r="B1181" s="5" t="str">
        <f ca="1">IFERROR(__xludf.DUMMYFUNCTION("""COMPUTED_VALUE"""),"Снедков")</f>
        <v>Снедков</v>
      </c>
      <c r="C1181" s="5" t="str">
        <f ca="1">IFERROR(__xludf.DUMMYFUNCTION("""COMPUTED_VALUE"""),"Илья")</f>
        <v>Илья</v>
      </c>
      <c r="D1181" s="5" t="str">
        <f ca="1">IFERROR(__xludf.DUMMYFUNCTION("""COMPUTED_VALUE"""),"Андреевич")</f>
        <v>Андреевич</v>
      </c>
      <c r="E1181" s="5" t="str">
        <f ca="1">IFERROR(__xludf.DUMMYFUNCTION("""COMPUTED_VALUE"""),"ПоLEGOн")</f>
        <v>ПоLEGOн</v>
      </c>
      <c r="F1181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181" s="7">
        <f ca="1">IFERROR(__xludf.DUMMYFUNCTION("""COMPUTED_VALUE"""),85)</f>
        <v>85</v>
      </c>
    </row>
    <row r="1182" spans="1:7" ht="39.6" x14ac:dyDescent="0.25">
      <c r="A1182" s="5">
        <f ca="1">IFERROR(__xludf.DUMMYFUNCTION("""COMPUTED_VALUE"""),1166)</f>
        <v>1166</v>
      </c>
      <c r="B1182" s="5" t="str">
        <f ca="1">IFERROR(__xludf.DUMMYFUNCTION("""COMPUTED_VALUE"""),"Тонкушин")</f>
        <v>Тонкушин</v>
      </c>
      <c r="C1182" s="5" t="str">
        <f ca="1">IFERROR(__xludf.DUMMYFUNCTION("""COMPUTED_VALUE"""),"Константин")</f>
        <v>Константин</v>
      </c>
      <c r="D1182" s="5" t="str">
        <f ca="1">IFERROR(__xludf.DUMMYFUNCTION("""COMPUTED_VALUE"""),"Сергеевич")</f>
        <v>Сергеевич</v>
      </c>
      <c r="E1182" s="5" t="str">
        <f ca="1">IFERROR(__xludf.DUMMYFUNCTION("""COMPUTED_VALUE"""),"ПоLEGOн")</f>
        <v>ПоLEGOн</v>
      </c>
      <c r="F1182" s="6" t="str">
        <f ca="1">IFERROR(__xludf.DUMMYFUNCTION("""COMPUTED_VALUE"""),"Разработка мобильного приложения по конструированию для детей с ограниченными возможностями")</f>
        <v>Разработка мобильного приложения по конструированию для детей с ограниченными возможностями</v>
      </c>
      <c r="G1182" s="7">
        <f ca="1">IFERROR(__xludf.DUMMYFUNCTION("""COMPUTED_VALUE"""),85)</f>
        <v>85</v>
      </c>
    </row>
    <row r="1183" spans="1:7" ht="26.4" x14ac:dyDescent="0.25">
      <c r="A1183" s="5">
        <f ca="1">IFERROR(__xludf.DUMMYFUNCTION("""COMPUTED_VALUE"""),405)</f>
        <v>405</v>
      </c>
      <c r="B1183" s="5" t="str">
        <f ca="1">IFERROR(__xludf.DUMMYFUNCTION("""COMPUTED_VALUE"""),"Загуменова")</f>
        <v>Загуменова</v>
      </c>
      <c r="C1183" s="5" t="str">
        <f ca="1">IFERROR(__xludf.DUMMYFUNCTION("""COMPUTED_VALUE"""),"Марина")</f>
        <v>Марина</v>
      </c>
      <c r="D1183" s="5" t="str">
        <f ca="1">IFERROR(__xludf.DUMMYFUNCTION("""COMPUTED_VALUE"""),"Валерьевна")</f>
        <v>Валерьевна</v>
      </c>
      <c r="E1183" s="5" t="str">
        <f ca="1">IFERROR(__xludf.DUMMYFUNCTION("""COMPUTED_VALUE"""),"ПУШКА")</f>
        <v>ПУШКА</v>
      </c>
      <c r="F1183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1183" s="7">
        <f ca="1">IFERROR(__xludf.DUMMYFUNCTION("""COMPUTED_VALUE"""),100)</f>
        <v>100</v>
      </c>
    </row>
    <row r="1184" spans="1:7" ht="26.4" x14ac:dyDescent="0.25">
      <c r="A1184" s="5">
        <f ca="1">IFERROR(__xludf.DUMMYFUNCTION("""COMPUTED_VALUE"""),535)</f>
        <v>535</v>
      </c>
      <c r="B1184" s="5" t="str">
        <f ca="1">IFERROR(__xludf.DUMMYFUNCTION("""COMPUTED_VALUE"""),"Ковешникова")</f>
        <v>Ковешникова</v>
      </c>
      <c r="C1184" s="5" t="str">
        <f ca="1">IFERROR(__xludf.DUMMYFUNCTION("""COMPUTED_VALUE"""),"Татьяна")</f>
        <v>Татьяна</v>
      </c>
      <c r="D1184" s="5" t="str">
        <f ca="1">IFERROR(__xludf.DUMMYFUNCTION("""COMPUTED_VALUE"""),"Анатольевна")</f>
        <v>Анатольевна</v>
      </c>
      <c r="E1184" s="5" t="str">
        <f ca="1">IFERROR(__xludf.DUMMYFUNCTION("""COMPUTED_VALUE"""),"ПУШКА")</f>
        <v>ПУШКА</v>
      </c>
      <c r="F1184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1184" s="7">
        <f ca="1">IFERROR(__xludf.DUMMYFUNCTION("""COMPUTED_VALUE"""),100)</f>
        <v>100</v>
      </c>
    </row>
    <row r="1185" spans="1:7" ht="26.4" x14ac:dyDescent="0.25">
      <c r="A1185" s="5">
        <f ca="1">IFERROR(__xludf.DUMMYFUNCTION("""COMPUTED_VALUE"""),697)</f>
        <v>697</v>
      </c>
      <c r="B1185" s="5" t="str">
        <f ca="1">IFERROR(__xludf.DUMMYFUNCTION("""COMPUTED_VALUE"""),"Лыков")</f>
        <v>Лыков</v>
      </c>
      <c r="C1185" s="5" t="str">
        <f ca="1">IFERROR(__xludf.DUMMYFUNCTION("""COMPUTED_VALUE"""),"Дмитрий")</f>
        <v>Дмитрий</v>
      </c>
      <c r="D1185" s="5" t="str">
        <f ca="1">IFERROR(__xludf.DUMMYFUNCTION("""COMPUTED_VALUE"""),"Вадимович")</f>
        <v>Вадимович</v>
      </c>
      <c r="E1185" s="5" t="str">
        <f ca="1">IFERROR(__xludf.DUMMYFUNCTION("""COMPUTED_VALUE"""),"ПУШКА")</f>
        <v>ПУШКА</v>
      </c>
      <c r="F1185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1185" s="7">
        <f ca="1">IFERROR(__xludf.DUMMYFUNCTION("""COMPUTED_VALUE"""),100)</f>
        <v>100</v>
      </c>
    </row>
    <row r="1186" spans="1:7" ht="26.4" x14ac:dyDescent="0.25">
      <c r="A1186" s="5">
        <f ca="1">IFERROR(__xludf.DUMMYFUNCTION("""COMPUTED_VALUE"""),921)</f>
        <v>921</v>
      </c>
      <c r="B1186" s="5" t="str">
        <f ca="1">IFERROR(__xludf.DUMMYFUNCTION("""COMPUTED_VALUE"""),"Перов")</f>
        <v>Перов</v>
      </c>
      <c r="C1186" s="5" t="str">
        <f ca="1">IFERROR(__xludf.DUMMYFUNCTION("""COMPUTED_VALUE"""),"Юрий")</f>
        <v>Юрий</v>
      </c>
      <c r="D1186" s="5" t="str">
        <f ca="1">IFERROR(__xludf.DUMMYFUNCTION("""COMPUTED_VALUE"""),"Евгеньевич")</f>
        <v>Евгеньевич</v>
      </c>
      <c r="E1186" s="5" t="str">
        <f ca="1">IFERROR(__xludf.DUMMYFUNCTION("""COMPUTED_VALUE"""),"ПУШКА")</f>
        <v>ПУШКА</v>
      </c>
      <c r="F1186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1186" s="7">
        <f ca="1">IFERROR(__xludf.DUMMYFUNCTION("""COMPUTED_VALUE"""),100)</f>
        <v>100</v>
      </c>
    </row>
    <row r="1187" spans="1:7" ht="26.4" x14ac:dyDescent="0.25">
      <c r="A1187" s="5">
        <f ca="1">IFERROR(__xludf.DUMMYFUNCTION("""COMPUTED_VALUE"""),1058)</f>
        <v>1058</v>
      </c>
      <c r="B1187" s="5" t="str">
        <f ca="1">IFERROR(__xludf.DUMMYFUNCTION("""COMPUTED_VALUE"""),"Серебрякова")</f>
        <v>Серебрякова</v>
      </c>
      <c r="C1187" s="5" t="str">
        <f ca="1">IFERROR(__xludf.DUMMYFUNCTION("""COMPUTED_VALUE"""),"Елена")</f>
        <v>Елена</v>
      </c>
      <c r="D1187" s="5" t="str">
        <f ca="1">IFERROR(__xludf.DUMMYFUNCTION("""COMPUTED_VALUE"""),"Юрьевна")</f>
        <v>Юрьевна</v>
      </c>
      <c r="E1187" s="5" t="str">
        <f ca="1">IFERROR(__xludf.DUMMYFUNCTION("""COMPUTED_VALUE"""),"ПУШКА")</f>
        <v>ПУШКА</v>
      </c>
      <c r="F1187" s="6" t="str">
        <f ca="1">IFERROR(__xludf.DUMMYFUNCTION("""COMPUTED_VALUE"""),"Разработка внутреннего корпоративного HR-портал для большой ИТ-компании")</f>
        <v>Разработка внутреннего корпоративного HR-портал для большой ИТ-компании</v>
      </c>
      <c r="G1187" s="7">
        <f ca="1">IFERROR(__xludf.DUMMYFUNCTION("""COMPUTED_VALUE"""),100)</f>
        <v>100</v>
      </c>
    </row>
    <row r="1188" spans="1:7" ht="39.6" x14ac:dyDescent="0.25">
      <c r="A1188" s="5">
        <f ca="1">IFERROR(__xludf.DUMMYFUNCTION("""COMPUTED_VALUE"""),159)</f>
        <v>159</v>
      </c>
      <c r="B1188" s="5" t="str">
        <f ca="1">IFERROR(__xludf.DUMMYFUNCTION("""COMPUTED_VALUE"""),"Бусов")</f>
        <v>Бусов</v>
      </c>
      <c r="C1188" s="5" t="str">
        <f ca="1">IFERROR(__xludf.DUMMYFUNCTION("""COMPUTED_VALUE"""),"Артём")</f>
        <v>Артём</v>
      </c>
      <c r="D1188" s="5" t="str">
        <f ca="1">IFERROR(__xludf.DUMMYFUNCTION("""COMPUTED_VALUE"""),"Николаевич")</f>
        <v>Николаевич</v>
      </c>
      <c r="E1188" s="5" t="str">
        <f ca="1">IFERROR(__xludf.DUMMYFUNCTION("""COMPUTED_VALUE"""),"Солевары 4413")</f>
        <v>Солевары 4413</v>
      </c>
      <c r="F1188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1188" s="7">
        <f ca="1">IFERROR(__xludf.DUMMYFUNCTION("""COMPUTED_VALUE"""),85)</f>
        <v>85</v>
      </c>
    </row>
    <row r="1189" spans="1:7" ht="39.6" x14ac:dyDescent="0.25">
      <c r="A1189" s="5">
        <f ca="1">IFERROR(__xludf.DUMMYFUNCTION("""COMPUTED_VALUE"""),925)</f>
        <v>925</v>
      </c>
      <c r="B1189" s="5" t="str">
        <f ca="1">IFERROR(__xludf.DUMMYFUNCTION("""COMPUTED_VALUE"""),"Петров")</f>
        <v>Петров</v>
      </c>
      <c r="C1189" s="5" t="str">
        <f ca="1">IFERROR(__xludf.DUMMYFUNCTION("""COMPUTED_VALUE"""),"Данила")</f>
        <v>Данила</v>
      </c>
      <c r="D1189" s="5" t="str">
        <f ca="1">IFERROR(__xludf.DUMMYFUNCTION("""COMPUTED_VALUE"""),"Андреевич")</f>
        <v>Андреевич</v>
      </c>
      <c r="E1189" s="5" t="str">
        <f ca="1">IFERROR(__xludf.DUMMYFUNCTION("""COMPUTED_VALUE"""),"Солевары 4413")</f>
        <v>Солевары 4413</v>
      </c>
      <c r="F1189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1189" s="7">
        <f ca="1">IFERROR(__xludf.DUMMYFUNCTION("""COMPUTED_VALUE"""),85)</f>
        <v>85</v>
      </c>
    </row>
    <row r="1190" spans="1:7" ht="39.6" x14ac:dyDescent="0.25">
      <c r="A1190" s="5">
        <f ca="1">IFERROR(__xludf.DUMMYFUNCTION("""COMPUTED_VALUE"""),1078)</f>
        <v>1078</v>
      </c>
      <c r="B1190" s="5" t="str">
        <f ca="1">IFERROR(__xludf.DUMMYFUNCTION("""COMPUTED_VALUE"""),"Следнев")</f>
        <v>Следнев</v>
      </c>
      <c r="C1190" s="5" t="str">
        <f ca="1">IFERROR(__xludf.DUMMYFUNCTION("""COMPUTED_VALUE"""),"Михаил")</f>
        <v>Михаил</v>
      </c>
      <c r="D1190" s="5" t="str">
        <f ca="1">IFERROR(__xludf.DUMMYFUNCTION("""COMPUTED_VALUE"""),"Павлович")</f>
        <v>Павлович</v>
      </c>
      <c r="E1190" s="5" t="str">
        <f ca="1">IFERROR(__xludf.DUMMYFUNCTION("""COMPUTED_VALUE"""),"Солевары 4413")</f>
        <v>Солевары 4413</v>
      </c>
      <c r="F1190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1190" s="7">
        <f ca="1">IFERROR(__xludf.DUMMYFUNCTION("""COMPUTED_VALUE"""),85)</f>
        <v>85</v>
      </c>
    </row>
    <row r="1191" spans="1:7" ht="39.6" x14ac:dyDescent="0.25">
      <c r="A1191" s="5">
        <f ca="1">IFERROR(__xludf.DUMMYFUNCTION("""COMPUTED_VALUE"""),1171)</f>
        <v>1171</v>
      </c>
      <c r="B1191" s="5" t="str">
        <f ca="1">IFERROR(__xludf.DUMMYFUNCTION("""COMPUTED_VALUE"""),"Трефелова")</f>
        <v>Трефелова</v>
      </c>
      <c r="C1191" s="5" t="str">
        <f ca="1">IFERROR(__xludf.DUMMYFUNCTION("""COMPUTED_VALUE"""),"Алина")</f>
        <v>Алина</v>
      </c>
      <c r="D1191" s="5" t="str">
        <f ca="1">IFERROR(__xludf.DUMMYFUNCTION("""COMPUTED_VALUE"""),"Николаевна")</f>
        <v>Николаевна</v>
      </c>
      <c r="E1191" s="5" t="str">
        <f ca="1">IFERROR(__xludf.DUMMYFUNCTION("""COMPUTED_VALUE"""),"Солевары 4413")</f>
        <v>Солевары 4413</v>
      </c>
      <c r="F1191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1191" s="7">
        <f ca="1">IFERROR(__xludf.DUMMYFUNCTION("""COMPUTED_VALUE"""),85)</f>
        <v>85</v>
      </c>
    </row>
    <row r="1192" spans="1:7" ht="39.6" x14ac:dyDescent="0.25">
      <c r="A1192" s="5">
        <f ca="1">IFERROR(__xludf.DUMMYFUNCTION("""COMPUTED_VALUE"""),1383)</f>
        <v>1383</v>
      </c>
      <c r="B1192" s="5" t="str">
        <f ca="1">IFERROR(__xludf.DUMMYFUNCTION("""COMPUTED_VALUE"""),"Яненко")</f>
        <v>Яненко</v>
      </c>
      <c r="C1192" s="5" t="str">
        <f ca="1">IFERROR(__xludf.DUMMYFUNCTION("""COMPUTED_VALUE"""),"Петр")</f>
        <v>Петр</v>
      </c>
      <c r="D1192" s="5" t="str">
        <f ca="1">IFERROR(__xludf.DUMMYFUNCTION("""COMPUTED_VALUE"""),"Сергеевич")</f>
        <v>Сергеевич</v>
      </c>
      <c r="E1192" s="5" t="str">
        <f ca="1">IFERROR(__xludf.DUMMYFUNCTION("""COMPUTED_VALUE"""),"Солевары 4413")</f>
        <v>Солевары 4413</v>
      </c>
      <c r="F1192" s="6" t="str">
        <f ca="1">IFERROR(__xludf.DUMMYFUNCTION("""COMPUTED_VALUE"""),"Разработка чат-бота, позволяющего генерировать ответы о погоде в российских городах по их названию")</f>
        <v>Разработка чат-бота, позволяющего генерировать ответы о погоде в российских городах по их названию</v>
      </c>
      <c r="G1192" s="7">
        <f ca="1">IFERROR(__xludf.DUMMYFUNCTION("""COMPUTED_VALUE"""),85)</f>
        <v>85</v>
      </c>
    </row>
    <row r="1193" spans="1:7" ht="39.6" x14ac:dyDescent="0.25">
      <c r="A1193" s="5">
        <f ca="1">IFERROR(__xludf.DUMMYFUNCTION("""COMPUTED_VALUE"""),163)</f>
        <v>163</v>
      </c>
      <c r="B1193" s="5" t="str">
        <f ca="1">IFERROR(__xludf.DUMMYFUNCTION("""COMPUTED_VALUE"""),"Бушуева")</f>
        <v>Бушуева</v>
      </c>
      <c r="C1193" s="5" t="str">
        <f ca="1">IFERROR(__xludf.DUMMYFUNCTION("""COMPUTED_VALUE"""),"Виолетта")</f>
        <v>Виолетта</v>
      </c>
      <c r="D1193" s="5" t="str">
        <f ca="1">IFERROR(__xludf.DUMMYFUNCTION("""COMPUTED_VALUE"""),"Юрьевна")</f>
        <v>Юрьевна</v>
      </c>
      <c r="E1193" s="5" t="str">
        <f ca="1">IFERROR(__xludf.DUMMYFUNCTION("""COMPUTED_VALUE"""),"Черепашки и Эйприл")</f>
        <v>Черепашки и Эйприл</v>
      </c>
      <c r="F1193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1193" s="7">
        <f ca="1">IFERROR(__xludf.DUMMYFUNCTION("""COMPUTED_VALUE"""),97)</f>
        <v>97</v>
      </c>
    </row>
    <row r="1194" spans="1:7" ht="39.6" x14ac:dyDescent="0.25">
      <c r="A1194" s="5">
        <f ca="1">IFERROR(__xludf.DUMMYFUNCTION("""COMPUTED_VALUE"""),252)</f>
        <v>252</v>
      </c>
      <c r="B1194" s="5" t="str">
        <f ca="1">IFERROR(__xludf.DUMMYFUNCTION("""COMPUTED_VALUE"""),"Гилязов")</f>
        <v>Гилязов</v>
      </c>
      <c r="C1194" s="5" t="str">
        <f ca="1">IFERROR(__xludf.DUMMYFUNCTION("""COMPUTED_VALUE"""),"Арсель")</f>
        <v>Арсель</v>
      </c>
      <c r="D1194" s="5" t="str">
        <f ca="1">IFERROR(__xludf.DUMMYFUNCTION("""COMPUTED_VALUE"""),"Мирасович")</f>
        <v>Мирасович</v>
      </c>
      <c r="E1194" s="5" t="str">
        <f ca="1">IFERROR(__xludf.DUMMYFUNCTION("""COMPUTED_VALUE"""),"Черепашки и Эйприл")</f>
        <v>Черепашки и Эйприл</v>
      </c>
      <c r="F1194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1194" s="7">
        <f ca="1">IFERROR(__xludf.DUMMYFUNCTION("""COMPUTED_VALUE"""),97)</f>
        <v>97</v>
      </c>
    </row>
    <row r="1195" spans="1:7" ht="39.6" x14ac:dyDescent="0.25">
      <c r="A1195" s="5">
        <f ca="1">IFERROR(__xludf.DUMMYFUNCTION("""COMPUTED_VALUE"""),911)</f>
        <v>911</v>
      </c>
      <c r="B1195" s="5" t="str">
        <f ca="1">IFERROR(__xludf.DUMMYFUNCTION("""COMPUTED_VALUE"""),"Первухин")</f>
        <v>Первухин</v>
      </c>
      <c r="C1195" s="5" t="str">
        <f ca="1">IFERROR(__xludf.DUMMYFUNCTION("""COMPUTED_VALUE"""),"Сергей")</f>
        <v>Сергей</v>
      </c>
      <c r="D1195" s="5" t="str">
        <f ca="1">IFERROR(__xludf.DUMMYFUNCTION("""COMPUTED_VALUE"""),"Алексеевич")</f>
        <v>Алексеевич</v>
      </c>
      <c r="E1195" s="5" t="str">
        <f ca="1">IFERROR(__xludf.DUMMYFUNCTION("""COMPUTED_VALUE"""),"Черепашки и Эйприл")</f>
        <v>Черепашки и Эйприл</v>
      </c>
      <c r="F1195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1195" s="7">
        <f ca="1">IFERROR(__xludf.DUMMYFUNCTION("""COMPUTED_VALUE"""),97)</f>
        <v>97</v>
      </c>
    </row>
    <row r="1196" spans="1:7" ht="39.6" x14ac:dyDescent="0.25">
      <c r="A1196" s="5">
        <f ca="1">IFERROR(__xludf.DUMMYFUNCTION("""COMPUTED_VALUE"""),1261)</f>
        <v>1261</v>
      </c>
      <c r="B1196" s="5" t="str">
        <f ca="1">IFERROR(__xludf.DUMMYFUNCTION("""COMPUTED_VALUE"""),"Хуснутдинов")</f>
        <v>Хуснутдинов</v>
      </c>
      <c r="C1196" s="5" t="str">
        <f ca="1">IFERROR(__xludf.DUMMYFUNCTION("""COMPUTED_VALUE"""),"Ринат")</f>
        <v>Ринат</v>
      </c>
      <c r="D1196" s="5" t="str">
        <f ca="1">IFERROR(__xludf.DUMMYFUNCTION("""COMPUTED_VALUE"""),"Альбертович")</f>
        <v>Альбертович</v>
      </c>
      <c r="E1196" s="5" t="str">
        <f ca="1">IFERROR(__xludf.DUMMYFUNCTION("""COMPUTED_VALUE"""),"Черепашки и Эйприл")</f>
        <v>Черепашки и Эйприл</v>
      </c>
      <c r="F1196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1196" s="7">
        <f ca="1">IFERROR(__xludf.DUMMYFUNCTION("""COMPUTED_VALUE"""),97)</f>
        <v>97</v>
      </c>
    </row>
    <row r="1197" spans="1:7" ht="39.6" x14ac:dyDescent="0.25">
      <c r="A1197" s="5">
        <f ca="1">IFERROR(__xludf.DUMMYFUNCTION("""COMPUTED_VALUE"""),1386)</f>
        <v>1386</v>
      </c>
      <c r="B1197" s="5" t="str">
        <f ca="1">IFERROR(__xludf.DUMMYFUNCTION("""COMPUTED_VALUE"""),"Япаров")</f>
        <v>Япаров</v>
      </c>
      <c r="C1197" s="5" t="str">
        <f ca="1">IFERROR(__xludf.DUMMYFUNCTION("""COMPUTED_VALUE"""),"Роберт")</f>
        <v>Роберт</v>
      </c>
      <c r="D1197" s="5" t="str">
        <f ca="1">IFERROR(__xludf.DUMMYFUNCTION("""COMPUTED_VALUE"""),"Эдуардович")</f>
        <v>Эдуардович</v>
      </c>
      <c r="E1197" s="5" t="str">
        <f ca="1">IFERROR(__xludf.DUMMYFUNCTION("""COMPUTED_VALUE"""),"Черепашки и Эйприл")</f>
        <v>Черепашки и Эйприл</v>
      </c>
      <c r="F1197" s="6" t="str">
        <f ca="1">IFERROR(__xludf.DUMMYFUNCTION("""COMPUTED_VALUE"""),"Создание приложения, которое преобразует исходный файл в файл нужной структуры (конвертор файлов)")</f>
        <v>Создание приложения, которое преобразует исходный файл в файл нужной структуры (конвертор файлов)</v>
      </c>
      <c r="G1197" s="7">
        <f ca="1">IFERROR(__xludf.DUMMYFUNCTION("""COMPUTED_VALUE"""),97)</f>
        <v>97</v>
      </c>
    </row>
    <row r="1198" spans="1:7" ht="26.4" x14ac:dyDescent="0.25">
      <c r="A1198" s="5">
        <f ca="1">IFERROR(__xludf.DUMMYFUNCTION("""COMPUTED_VALUE"""),487)</f>
        <v>487</v>
      </c>
      <c r="B1198" s="5" t="str">
        <f ca="1">IFERROR(__xludf.DUMMYFUNCTION("""COMPUTED_VALUE"""),"Каляпин")</f>
        <v>Каляпин</v>
      </c>
      <c r="C1198" s="5" t="str">
        <f ca="1">IFERROR(__xludf.DUMMYFUNCTION("""COMPUTED_VALUE"""),"Михаил")</f>
        <v>Михаил</v>
      </c>
      <c r="D1198" s="5"/>
      <c r="E1198" s="5" t="str">
        <f ca="1">IFERROR(__xludf.DUMMYFUNCTION("""COMPUTED_VALUE"""),"Четверка жезлов")</f>
        <v>Четверка жезлов</v>
      </c>
      <c r="F1198" s="6" t="str">
        <f ca="1">IFERROR(__xludf.DUMMYFUNCTION("""COMPUTED_VALUE"""),"Создание геймифицированного корпоративного портала «VSE В ПЛЮСЕ»")</f>
        <v>Создание геймифицированного корпоративного портала «VSE В ПЛЮСЕ»</v>
      </c>
      <c r="G1198" s="7">
        <f ca="1">IFERROR(__xludf.DUMMYFUNCTION("""COMPUTED_VALUE"""),84)</f>
        <v>84</v>
      </c>
    </row>
    <row r="1199" spans="1:7" ht="26.4" x14ac:dyDescent="0.25">
      <c r="A1199" s="5">
        <f ca="1">IFERROR(__xludf.DUMMYFUNCTION("""COMPUTED_VALUE"""),562)</f>
        <v>562</v>
      </c>
      <c r="B1199" s="5" t="str">
        <f ca="1">IFERROR(__xludf.DUMMYFUNCTION("""COMPUTED_VALUE"""),"Комарова")</f>
        <v>Комарова</v>
      </c>
      <c r="C1199" s="5" t="str">
        <f ca="1">IFERROR(__xludf.DUMMYFUNCTION("""COMPUTED_VALUE"""),"Анастасия")</f>
        <v>Анастасия</v>
      </c>
      <c r="D1199" s="5" t="str">
        <f ca="1">IFERROR(__xludf.DUMMYFUNCTION("""COMPUTED_VALUE"""),"Сергеевна")</f>
        <v>Сергеевна</v>
      </c>
      <c r="E1199" s="5" t="str">
        <f ca="1">IFERROR(__xludf.DUMMYFUNCTION("""COMPUTED_VALUE"""),"Четверка жезлов")</f>
        <v>Четверка жезлов</v>
      </c>
      <c r="F1199" s="6" t="str">
        <f ca="1">IFERROR(__xludf.DUMMYFUNCTION("""COMPUTED_VALUE"""),"Создание геймифицированного корпоративного портала «VSE В ПЛЮСЕ»")</f>
        <v>Создание геймифицированного корпоративного портала «VSE В ПЛЮСЕ»</v>
      </c>
      <c r="G1199" s="7">
        <f ca="1">IFERROR(__xludf.DUMMYFUNCTION("""COMPUTED_VALUE"""),84)</f>
        <v>84</v>
      </c>
    </row>
    <row r="1200" spans="1:7" ht="26.4" x14ac:dyDescent="0.25">
      <c r="A1200" s="5">
        <f ca="1">IFERROR(__xludf.DUMMYFUNCTION("""COMPUTED_VALUE"""),621)</f>
        <v>621</v>
      </c>
      <c r="B1200" s="5" t="str">
        <f ca="1">IFERROR(__xludf.DUMMYFUNCTION("""COMPUTED_VALUE"""),"Крюков")</f>
        <v>Крюков</v>
      </c>
      <c r="C1200" s="5" t="str">
        <f ca="1">IFERROR(__xludf.DUMMYFUNCTION("""COMPUTED_VALUE"""),"Данил")</f>
        <v>Данил</v>
      </c>
      <c r="D1200" s="5" t="str">
        <f ca="1">IFERROR(__xludf.DUMMYFUNCTION("""COMPUTED_VALUE"""),"Антонович")</f>
        <v>Антонович</v>
      </c>
      <c r="E1200" s="5" t="str">
        <f ca="1">IFERROR(__xludf.DUMMYFUNCTION("""COMPUTED_VALUE"""),"Четверка жезлов")</f>
        <v>Четверка жезлов</v>
      </c>
      <c r="F1200" s="6" t="str">
        <f ca="1">IFERROR(__xludf.DUMMYFUNCTION("""COMPUTED_VALUE"""),"Создание геймифицированного корпоративного портала «VSE В ПЛЮСЕ»")</f>
        <v>Создание геймифицированного корпоративного портала «VSE В ПЛЮСЕ»</v>
      </c>
      <c r="G1200" s="7">
        <f ca="1">IFERROR(__xludf.DUMMYFUNCTION("""COMPUTED_VALUE"""),84)</f>
        <v>84</v>
      </c>
    </row>
    <row r="1201" spans="1:7" ht="26.4" x14ac:dyDescent="0.25">
      <c r="A1201" s="5">
        <f ca="1">IFERROR(__xludf.DUMMYFUNCTION("""COMPUTED_VALUE"""),954)</f>
        <v>954</v>
      </c>
      <c r="B1201" s="5" t="str">
        <f ca="1">IFERROR(__xludf.DUMMYFUNCTION("""COMPUTED_VALUE"""),"Попова")</f>
        <v>Попова</v>
      </c>
      <c r="C1201" s="5" t="str">
        <f ca="1">IFERROR(__xludf.DUMMYFUNCTION("""COMPUTED_VALUE"""),"Дина")</f>
        <v>Дина</v>
      </c>
      <c r="D1201" s="5" t="str">
        <f ca="1">IFERROR(__xludf.DUMMYFUNCTION("""COMPUTED_VALUE"""),"Дмитриевна")</f>
        <v>Дмитриевна</v>
      </c>
      <c r="E1201" s="5" t="str">
        <f ca="1">IFERROR(__xludf.DUMMYFUNCTION("""COMPUTED_VALUE"""),"Четверка жезлов")</f>
        <v>Четверка жезлов</v>
      </c>
      <c r="F1201" s="6" t="str">
        <f ca="1">IFERROR(__xludf.DUMMYFUNCTION("""COMPUTED_VALUE"""),"Создание геймифицированного корпоративного портала «VSE В ПЛЮСЕ»")</f>
        <v>Создание геймифицированного корпоративного портала «VSE В ПЛЮСЕ»</v>
      </c>
      <c r="G1201" s="7">
        <f ca="1">IFERROR(__xludf.DUMMYFUNCTION("""COMPUTED_VALUE"""),84)</f>
        <v>84</v>
      </c>
    </row>
    <row r="1202" spans="1:7" ht="13.2" x14ac:dyDescent="0.25">
      <c r="A1202" s="5">
        <f ca="1">IFERROR(__xludf.DUMMYFUNCTION("""COMPUTED_VALUE"""),369)</f>
        <v>369</v>
      </c>
      <c r="B1202" s="5" t="str">
        <f ca="1">IFERROR(__xludf.DUMMYFUNCTION("""COMPUTED_VALUE"""),"Еремин")</f>
        <v>Еремин</v>
      </c>
      <c r="C1202" s="5" t="str">
        <f ca="1">IFERROR(__xludf.DUMMYFUNCTION("""COMPUTED_VALUE"""),"Егор")</f>
        <v>Егор</v>
      </c>
      <c r="D1202" s="5" t="str">
        <f ca="1">IFERROR(__xludf.DUMMYFUNCTION("""COMPUTED_VALUE"""),"Константинович")</f>
        <v>Константинович</v>
      </c>
      <c r="E1202" s="5" t="str">
        <f ca="1">IFERROR(__xludf.DUMMYFUNCTION("""COMPUTED_VALUE"""),"ЧИКИ ПИКИ")</f>
        <v>ЧИКИ ПИКИ</v>
      </c>
      <c r="F1202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202" s="7">
        <f ca="1">IFERROR(__xludf.DUMMYFUNCTION("""COMPUTED_VALUE"""),85)</f>
        <v>85</v>
      </c>
    </row>
    <row r="1203" spans="1:7" ht="13.2" x14ac:dyDescent="0.25">
      <c r="A1203" s="5">
        <f ca="1">IFERROR(__xludf.DUMMYFUNCTION("""COMPUTED_VALUE"""),665)</f>
        <v>665</v>
      </c>
      <c r="B1203" s="5" t="str">
        <f ca="1">IFERROR(__xludf.DUMMYFUNCTION("""COMPUTED_VALUE"""),"Латфуллин")</f>
        <v>Латфуллин</v>
      </c>
      <c r="C1203" s="5" t="str">
        <f ca="1">IFERROR(__xludf.DUMMYFUNCTION("""COMPUTED_VALUE"""),"Вячеслав")</f>
        <v>Вячеслав</v>
      </c>
      <c r="D1203" s="5" t="str">
        <f ca="1">IFERROR(__xludf.DUMMYFUNCTION("""COMPUTED_VALUE"""),"Сергеевич")</f>
        <v>Сергеевич</v>
      </c>
      <c r="E1203" s="5" t="str">
        <f ca="1">IFERROR(__xludf.DUMMYFUNCTION("""COMPUTED_VALUE"""),"ЧИКИ ПИКИ")</f>
        <v>ЧИКИ ПИКИ</v>
      </c>
      <c r="F1203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203" s="7">
        <f ca="1">IFERROR(__xludf.DUMMYFUNCTION("""COMPUTED_VALUE"""),85)</f>
        <v>85</v>
      </c>
    </row>
    <row r="1204" spans="1:7" ht="13.2" x14ac:dyDescent="0.25">
      <c r="A1204" s="5">
        <f ca="1">IFERROR(__xludf.DUMMYFUNCTION("""COMPUTED_VALUE"""),751)</f>
        <v>751</v>
      </c>
      <c r="B1204" s="5" t="str">
        <f ca="1">IFERROR(__xludf.DUMMYFUNCTION("""COMPUTED_VALUE"""),"Мельник")</f>
        <v>Мельник</v>
      </c>
      <c r="C1204" s="5" t="str">
        <f ca="1">IFERROR(__xludf.DUMMYFUNCTION("""COMPUTED_VALUE"""),"Никита")</f>
        <v>Никита</v>
      </c>
      <c r="D1204" s="5" t="str">
        <f ca="1">IFERROR(__xludf.DUMMYFUNCTION("""COMPUTED_VALUE"""),"Андреевич")</f>
        <v>Андреевич</v>
      </c>
      <c r="E1204" s="5" t="str">
        <f ca="1">IFERROR(__xludf.DUMMYFUNCTION("""COMPUTED_VALUE"""),"ЧИКИ ПИКИ")</f>
        <v>ЧИКИ ПИКИ</v>
      </c>
      <c r="F1204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204" s="7">
        <f ca="1">IFERROR(__xludf.DUMMYFUNCTION("""COMPUTED_VALUE"""),85)</f>
        <v>85</v>
      </c>
    </row>
    <row r="1205" spans="1:7" ht="13.2" x14ac:dyDescent="0.25">
      <c r="A1205" s="5">
        <f ca="1">IFERROR(__xludf.DUMMYFUNCTION("""COMPUTED_VALUE"""),1208)</f>
        <v>1208</v>
      </c>
      <c r="B1205" s="5" t="str">
        <f ca="1">IFERROR(__xludf.DUMMYFUNCTION("""COMPUTED_VALUE"""),"Фатеев")</f>
        <v>Фатеев</v>
      </c>
      <c r="C1205" s="5" t="str">
        <f ca="1">IFERROR(__xludf.DUMMYFUNCTION("""COMPUTED_VALUE"""),"Владислав")</f>
        <v>Владислав</v>
      </c>
      <c r="D1205" s="5" t="str">
        <f ca="1">IFERROR(__xludf.DUMMYFUNCTION("""COMPUTED_VALUE"""),"Андреевич")</f>
        <v>Андреевич</v>
      </c>
      <c r="E1205" s="5" t="str">
        <f ca="1">IFERROR(__xludf.DUMMYFUNCTION("""COMPUTED_VALUE"""),"ЧИКИ ПИКИ")</f>
        <v>ЧИКИ ПИКИ</v>
      </c>
      <c r="F1205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205" s="7">
        <f ca="1">IFERROR(__xludf.DUMMYFUNCTION("""COMPUTED_VALUE"""),85)</f>
        <v>85</v>
      </c>
    </row>
    <row r="1206" spans="1:7" ht="13.2" x14ac:dyDescent="0.25">
      <c r="A1206" s="5">
        <f ca="1">IFERROR(__xludf.DUMMYFUNCTION("""COMPUTED_VALUE"""),1279)</f>
        <v>1279</v>
      </c>
      <c r="B1206" s="5" t="str">
        <f ca="1">IFERROR(__xludf.DUMMYFUNCTION("""COMPUTED_VALUE"""),"Черноскутов")</f>
        <v>Черноскутов</v>
      </c>
      <c r="C1206" s="5" t="str">
        <f ca="1">IFERROR(__xludf.DUMMYFUNCTION("""COMPUTED_VALUE"""),"Михаил")</f>
        <v>Михаил</v>
      </c>
      <c r="D1206" s="5" t="str">
        <f ca="1">IFERROR(__xludf.DUMMYFUNCTION("""COMPUTED_VALUE"""),"Алексеевич")</f>
        <v>Алексеевич</v>
      </c>
      <c r="E1206" s="5" t="str">
        <f ca="1">IFERROR(__xludf.DUMMYFUNCTION("""COMPUTED_VALUE"""),"ЧИКИ ПИКИ")</f>
        <v>ЧИКИ ПИКИ</v>
      </c>
      <c r="F1206" s="6" t="str">
        <f ca="1">IFERROR(__xludf.DUMMYFUNCTION("""COMPUTED_VALUE"""),"Создание игры ""Беспилотные системы доставки""")</f>
        <v>Создание игры "Беспилотные системы доставки"</v>
      </c>
      <c r="G1206" s="7">
        <f ca="1">IFERROR(__xludf.DUMMYFUNCTION("""COMPUTED_VALUE"""),85)</f>
        <v>85</v>
      </c>
    </row>
    <row r="1207" spans="1:7" ht="13.2" x14ac:dyDescent="0.25">
      <c r="A1207" s="5">
        <f ca="1">IFERROR(__xludf.DUMMYFUNCTION("""COMPUTED_VALUE"""),1)</f>
        <v>1</v>
      </c>
      <c r="B1207" s="5" t="str">
        <f ca="1">IFERROR(__xludf.DUMMYFUNCTION("""COMPUTED_VALUE"""),"Абашкин")</f>
        <v>Абашкин</v>
      </c>
      <c r="C1207" s="5" t="str">
        <f ca="1">IFERROR(__xludf.DUMMYFUNCTION("""COMPUTED_VALUE"""),"Никита")</f>
        <v>Никита</v>
      </c>
      <c r="D1207" s="5" t="str">
        <f ca="1">IFERROR(__xludf.DUMMYFUNCTION("""COMPUTED_VALUE"""),"Сергеевич")</f>
        <v>Сергеевич</v>
      </c>
      <c r="E1207" s="5"/>
      <c r="F1207" s="6"/>
      <c r="G1207" s="7" t="str">
        <f ca="1">IFERROR(__xludf.DUMMYFUNCTION("""COMPUTED_VALUE"""),"#N/A")</f>
        <v>#N/A</v>
      </c>
    </row>
    <row r="1208" spans="1:7" ht="13.2" x14ac:dyDescent="0.25">
      <c r="A1208" s="5">
        <f ca="1">IFERROR(__xludf.DUMMYFUNCTION("""COMPUTED_VALUE"""),5)</f>
        <v>5</v>
      </c>
      <c r="B1208" s="5" t="str">
        <f ca="1">IFERROR(__xludf.DUMMYFUNCTION("""COMPUTED_VALUE"""),"Абделфаттах")</f>
        <v>Абделфаттах</v>
      </c>
      <c r="C1208" s="5" t="str">
        <f ca="1">IFERROR(__xludf.DUMMYFUNCTION("""COMPUTED_VALUE"""),"Ахмед")</f>
        <v>Ахмед</v>
      </c>
      <c r="D1208" s="5" t="str">
        <f ca="1">IFERROR(__xludf.DUMMYFUNCTION("""COMPUTED_VALUE"""),"Мохамед")</f>
        <v>Мохамед</v>
      </c>
      <c r="E1208" s="5"/>
      <c r="F1208" s="6"/>
      <c r="G1208" s="7" t="str">
        <f ca="1">IFERROR(__xludf.DUMMYFUNCTION("""COMPUTED_VALUE"""),"#N/A")</f>
        <v>#N/A</v>
      </c>
    </row>
    <row r="1209" spans="1:7" ht="13.2" x14ac:dyDescent="0.25">
      <c r="A1209" s="5">
        <f ca="1">IFERROR(__xludf.DUMMYFUNCTION("""COMPUTED_VALUE"""),8)</f>
        <v>8</v>
      </c>
      <c r="B1209" s="5" t="str">
        <f ca="1">IFERROR(__xludf.DUMMYFUNCTION("""COMPUTED_VALUE"""),"Абессоло")</f>
        <v>Абессоло</v>
      </c>
      <c r="C1209" s="5" t="str">
        <f ca="1">IFERROR(__xludf.DUMMYFUNCTION("""COMPUTED_VALUE"""),"Глин")</f>
        <v>Глин</v>
      </c>
      <c r="D1209" s="5" t="str">
        <f ca="1">IFERROR(__xludf.DUMMYFUNCTION("""COMPUTED_VALUE"""),"Гетсби")</f>
        <v>Гетсби</v>
      </c>
      <c r="E1209" s="5"/>
      <c r="F1209" s="6"/>
      <c r="G1209" s="7" t="str">
        <f ca="1">IFERROR(__xludf.DUMMYFUNCTION("""COMPUTED_VALUE"""),"#N/A")</f>
        <v>#N/A</v>
      </c>
    </row>
    <row r="1210" spans="1:7" ht="13.2" x14ac:dyDescent="0.25">
      <c r="A1210" s="5">
        <f ca="1">IFERROR(__xludf.DUMMYFUNCTION("""COMPUTED_VALUE"""),10)</f>
        <v>10</v>
      </c>
      <c r="B1210" s="5" t="str">
        <f ca="1">IFERROR(__xludf.DUMMYFUNCTION("""COMPUTED_VALUE"""),"Абилова")</f>
        <v>Абилова</v>
      </c>
      <c r="C1210" s="5" t="str">
        <f ca="1">IFERROR(__xludf.DUMMYFUNCTION("""COMPUTED_VALUE"""),"Кристина")</f>
        <v>Кристина</v>
      </c>
      <c r="D1210" s="5" t="str">
        <f ca="1">IFERROR(__xludf.DUMMYFUNCTION("""COMPUTED_VALUE"""),"Владиславовна")</f>
        <v>Владиславовна</v>
      </c>
      <c r="E1210" s="5"/>
      <c r="F1210" s="6"/>
      <c r="G1210" s="7" t="str">
        <f ca="1">IFERROR(__xludf.DUMMYFUNCTION("""COMPUTED_VALUE"""),"#N/A")</f>
        <v>#N/A</v>
      </c>
    </row>
    <row r="1211" spans="1:7" ht="13.2" x14ac:dyDescent="0.25">
      <c r="A1211" s="5">
        <f ca="1">IFERROR(__xludf.DUMMYFUNCTION("""COMPUTED_VALUE"""),15)</f>
        <v>15</v>
      </c>
      <c r="B1211" s="5" t="str">
        <f ca="1">IFERROR(__xludf.DUMMYFUNCTION("""COMPUTED_VALUE"""),"Абрахманова")</f>
        <v>Абрахманова</v>
      </c>
      <c r="C1211" s="5" t="str">
        <f ca="1">IFERROR(__xludf.DUMMYFUNCTION("""COMPUTED_VALUE"""),"Кристина")</f>
        <v>Кристина</v>
      </c>
      <c r="D1211" s="5" t="str">
        <f ca="1">IFERROR(__xludf.DUMMYFUNCTION("""COMPUTED_VALUE"""),"Олеговна")</f>
        <v>Олеговна</v>
      </c>
      <c r="E1211" s="5"/>
      <c r="F1211" s="6"/>
      <c r="G1211" s="7" t="str">
        <f ca="1">IFERROR(__xludf.DUMMYFUNCTION("""COMPUTED_VALUE"""),"#N/A")</f>
        <v>#N/A</v>
      </c>
    </row>
    <row r="1212" spans="1:7" ht="13.2" x14ac:dyDescent="0.25">
      <c r="A1212" s="5">
        <f ca="1">IFERROR(__xludf.DUMMYFUNCTION("""COMPUTED_VALUE"""),16)</f>
        <v>16</v>
      </c>
      <c r="B1212" s="5" t="str">
        <f ca="1">IFERROR(__xludf.DUMMYFUNCTION("""COMPUTED_VALUE"""),"Абушенко")</f>
        <v>Абушенко</v>
      </c>
      <c r="C1212" s="5" t="str">
        <f ca="1">IFERROR(__xludf.DUMMYFUNCTION("""COMPUTED_VALUE"""),"Дарья")</f>
        <v>Дарья</v>
      </c>
      <c r="D1212" s="5" t="str">
        <f ca="1">IFERROR(__xludf.DUMMYFUNCTION("""COMPUTED_VALUE"""),"Дмитриевна")</f>
        <v>Дмитриевна</v>
      </c>
      <c r="E1212" s="5"/>
      <c r="F1212" s="6"/>
      <c r="G1212" s="7" t="str">
        <f ca="1">IFERROR(__xludf.DUMMYFUNCTION("""COMPUTED_VALUE"""),"#N/A")</f>
        <v>#N/A</v>
      </c>
    </row>
    <row r="1213" spans="1:7" ht="13.2" x14ac:dyDescent="0.25">
      <c r="A1213" s="5">
        <f ca="1">IFERROR(__xludf.DUMMYFUNCTION("""COMPUTED_VALUE"""),18)</f>
        <v>18</v>
      </c>
      <c r="B1213" s="5" t="str">
        <f ca="1">IFERROR(__xludf.DUMMYFUNCTION("""COMPUTED_VALUE"""),"Агапитов")</f>
        <v>Агапитов</v>
      </c>
      <c r="C1213" s="5" t="str">
        <f ca="1">IFERROR(__xludf.DUMMYFUNCTION("""COMPUTED_VALUE"""),"Иван")</f>
        <v>Иван</v>
      </c>
      <c r="D1213" s="5" t="str">
        <f ca="1">IFERROR(__xludf.DUMMYFUNCTION("""COMPUTED_VALUE"""),"Николаевич")</f>
        <v>Николаевич</v>
      </c>
      <c r="E1213" s="5"/>
      <c r="F1213" s="6"/>
      <c r="G1213" s="7" t="str">
        <f ca="1">IFERROR(__xludf.DUMMYFUNCTION("""COMPUTED_VALUE"""),"#N/A")</f>
        <v>#N/A</v>
      </c>
    </row>
    <row r="1214" spans="1:7" ht="13.2" x14ac:dyDescent="0.25">
      <c r="A1214" s="5">
        <f ca="1">IFERROR(__xludf.DUMMYFUNCTION("""COMPUTED_VALUE"""),22)</f>
        <v>22</v>
      </c>
      <c r="B1214" s="5" t="str">
        <f ca="1">IFERROR(__xludf.DUMMYFUNCTION("""COMPUTED_VALUE"""),"Азарко")</f>
        <v>Азарко</v>
      </c>
      <c r="C1214" s="5" t="str">
        <f ca="1">IFERROR(__xludf.DUMMYFUNCTION("""COMPUTED_VALUE"""),"Артём")</f>
        <v>Артём</v>
      </c>
      <c r="D1214" s="5" t="str">
        <f ca="1">IFERROR(__xludf.DUMMYFUNCTION("""COMPUTED_VALUE"""),"Вячеславович")</f>
        <v>Вячеславович</v>
      </c>
      <c r="E1214" s="5"/>
      <c r="F1214" s="6"/>
      <c r="G1214" s="7" t="str">
        <f ca="1">IFERROR(__xludf.DUMMYFUNCTION("""COMPUTED_VALUE"""),"#N/A")</f>
        <v>#N/A</v>
      </c>
    </row>
    <row r="1215" spans="1:7" ht="13.2" x14ac:dyDescent="0.25">
      <c r="A1215" s="5">
        <f ca="1">IFERROR(__xludf.DUMMYFUNCTION("""COMPUTED_VALUE"""),35)</f>
        <v>35</v>
      </c>
      <c r="B1215" s="5" t="str">
        <f ca="1">IFERROR(__xludf.DUMMYFUNCTION("""COMPUTED_VALUE"""),"Андреев")</f>
        <v>Андреев</v>
      </c>
      <c r="C1215" s="5" t="str">
        <f ca="1">IFERROR(__xludf.DUMMYFUNCTION("""COMPUTED_VALUE"""),"Владислав")</f>
        <v>Владислав</v>
      </c>
      <c r="D1215" s="5" t="str">
        <f ca="1">IFERROR(__xludf.DUMMYFUNCTION("""COMPUTED_VALUE"""),"Вадимович")</f>
        <v>Вадимович</v>
      </c>
      <c r="E1215" s="5"/>
      <c r="F1215" s="6"/>
      <c r="G1215" s="7" t="str">
        <f ca="1">IFERROR(__xludf.DUMMYFUNCTION("""COMPUTED_VALUE"""),"#N/A")</f>
        <v>#N/A</v>
      </c>
    </row>
    <row r="1216" spans="1:7" ht="13.2" x14ac:dyDescent="0.25">
      <c r="A1216" s="5">
        <f ca="1">IFERROR(__xludf.DUMMYFUNCTION("""COMPUTED_VALUE"""),39)</f>
        <v>39</v>
      </c>
      <c r="B1216" s="5" t="str">
        <f ca="1">IFERROR(__xludf.DUMMYFUNCTION("""COMPUTED_VALUE"""),"Андронов")</f>
        <v>Андронов</v>
      </c>
      <c r="C1216" s="5" t="str">
        <f ca="1">IFERROR(__xludf.DUMMYFUNCTION("""COMPUTED_VALUE"""),"Леонид")</f>
        <v>Леонид</v>
      </c>
      <c r="D1216" s="5" t="str">
        <f ca="1">IFERROR(__xludf.DUMMYFUNCTION("""COMPUTED_VALUE"""),"Игоревич")</f>
        <v>Игоревич</v>
      </c>
      <c r="E1216" s="5"/>
      <c r="F1216" s="6"/>
      <c r="G1216" s="7" t="str">
        <f ca="1">IFERROR(__xludf.DUMMYFUNCTION("""COMPUTED_VALUE"""),"#N/A")</f>
        <v>#N/A</v>
      </c>
    </row>
    <row r="1217" spans="1:7" ht="13.2" x14ac:dyDescent="0.25">
      <c r="A1217" s="5">
        <f ca="1">IFERROR(__xludf.DUMMYFUNCTION("""COMPUTED_VALUE"""),44)</f>
        <v>44</v>
      </c>
      <c r="B1217" s="5" t="str">
        <f ca="1">IFERROR(__xludf.DUMMYFUNCTION("""COMPUTED_VALUE"""),"Антор")</f>
        <v>Антор</v>
      </c>
      <c r="C1217" s="5" t="str">
        <f ca="1">IFERROR(__xludf.DUMMYFUNCTION("""COMPUTED_VALUE"""),"Махмудул")</f>
        <v>Махмудул</v>
      </c>
      <c r="D1217" s="5" t="str">
        <f ca="1">IFERROR(__xludf.DUMMYFUNCTION("""COMPUTED_VALUE"""),"Хасан")</f>
        <v>Хасан</v>
      </c>
      <c r="E1217" s="5"/>
      <c r="F1217" s="6"/>
      <c r="G1217" s="7" t="str">
        <f ca="1">IFERROR(__xludf.DUMMYFUNCTION("""COMPUTED_VALUE"""),"#N/A")</f>
        <v>#N/A</v>
      </c>
    </row>
    <row r="1218" spans="1:7" ht="13.2" x14ac:dyDescent="0.25">
      <c r="A1218" s="5">
        <f ca="1">IFERROR(__xludf.DUMMYFUNCTION("""COMPUTED_VALUE"""),45)</f>
        <v>45</v>
      </c>
      <c r="B1218" s="5" t="str">
        <f ca="1">IFERROR(__xludf.DUMMYFUNCTION("""COMPUTED_VALUE"""),"Антропов")</f>
        <v>Антропов</v>
      </c>
      <c r="C1218" s="5" t="str">
        <f ca="1">IFERROR(__xludf.DUMMYFUNCTION("""COMPUTED_VALUE"""),"Сергей")</f>
        <v>Сергей</v>
      </c>
      <c r="D1218" s="5" t="str">
        <f ca="1">IFERROR(__xludf.DUMMYFUNCTION("""COMPUTED_VALUE"""),"Михайлович")</f>
        <v>Михайлович</v>
      </c>
      <c r="E1218" s="5"/>
      <c r="F1218" s="6"/>
      <c r="G1218" s="7" t="str">
        <f ca="1">IFERROR(__xludf.DUMMYFUNCTION("""COMPUTED_VALUE"""),"#N/A")</f>
        <v>#N/A</v>
      </c>
    </row>
    <row r="1219" spans="1:7" ht="13.2" x14ac:dyDescent="0.25">
      <c r="A1219" s="5">
        <f ca="1">IFERROR(__xludf.DUMMYFUNCTION("""COMPUTED_VALUE"""),57)</f>
        <v>57</v>
      </c>
      <c r="B1219" s="5" t="str">
        <f ca="1">IFERROR(__xludf.DUMMYFUNCTION("""COMPUTED_VALUE"""),"Аристов")</f>
        <v>Аристов</v>
      </c>
      <c r="C1219" s="5" t="str">
        <f ca="1">IFERROR(__xludf.DUMMYFUNCTION("""COMPUTED_VALUE"""),"Михаил")</f>
        <v>Михаил</v>
      </c>
      <c r="D1219" s="5" t="str">
        <f ca="1">IFERROR(__xludf.DUMMYFUNCTION("""COMPUTED_VALUE"""),"Николаевич")</f>
        <v>Николаевич</v>
      </c>
      <c r="E1219" s="5"/>
      <c r="F1219" s="6"/>
      <c r="G1219" s="7" t="str">
        <f ca="1">IFERROR(__xludf.DUMMYFUNCTION("""COMPUTED_VALUE"""),"#N/A")</f>
        <v>#N/A</v>
      </c>
    </row>
    <row r="1220" spans="1:7" ht="13.2" x14ac:dyDescent="0.25">
      <c r="A1220" s="5">
        <f ca="1">IFERROR(__xludf.DUMMYFUNCTION("""COMPUTED_VALUE"""),62)</f>
        <v>62</v>
      </c>
      <c r="B1220" s="5" t="str">
        <f ca="1">IFERROR(__xludf.DUMMYFUNCTION("""COMPUTED_VALUE"""),"Арустамян")</f>
        <v>Арустамян</v>
      </c>
      <c r="C1220" s="5" t="str">
        <f ca="1">IFERROR(__xludf.DUMMYFUNCTION("""COMPUTED_VALUE"""),"Арнольд")</f>
        <v>Арнольд</v>
      </c>
      <c r="D1220" s="5" t="str">
        <f ca="1">IFERROR(__xludf.DUMMYFUNCTION("""COMPUTED_VALUE"""),"Арменович")</f>
        <v>Арменович</v>
      </c>
      <c r="E1220" s="5"/>
      <c r="F1220" s="6"/>
      <c r="G1220" s="7" t="str">
        <f ca="1">IFERROR(__xludf.DUMMYFUNCTION("""COMPUTED_VALUE"""),"#N/A")</f>
        <v>#N/A</v>
      </c>
    </row>
    <row r="1221" spans="1:7" ht="13.2" x14ac:dyDescent="0.25">
      <c r="A1221" s="5">
        <f ca="1">IFERROR(__xludf.DUMMYFUNCTION("""COMPUTED_VALUE"""),64)</f>
        <v>64</v>
      </c>
      <c r="B1221" s="5" t="str">
        <f ca="1">IFERROR(__xludf.DUMMYFUNCTION("""COMPUTED_VALUE"""),"Аттиа")</f>
        <v>Аттиа</v>
      </c>
      <c r="C1221" s="5" t="str">
        <f ca="1">IFERROR(__xludf.DUMMYFUNCTION("""COMPUTED_VALUE"""),"Мохамед")</f>
        <v>Мохамед</v>
      </c>
      <c r="D1221" s="5" t="str">
        <f ca="1">IFERROR(__xludf.DUMMYFUNCTION("""COMPUTED_VALUE"""),"Магди")</f>
        <v>Магди</v>
      </c>
      <c r="E1221" s="5"/>
      <c r="F1221" s="6"/>
      <c r="G1221" s="7" t="str">
        <f ca="1">IFERROR(__xludf.DUMMYFUNCTION("""COMPUTED_VALUE"""),"#N/A")</f>
        <v>#N/A</v>
      </c>
    </row>
    <row r="1222" spans="1:7" ht="13.2" x14ac:dyDescent="0.25">
      <c r="A1222" s="5">
        <f ca="1">IFERROR(__xludf.DUMMYFUNCTION("""COMPUTED_VALUE"""),68)</f>
        <v>68</v>
      </c>
      <c r="B1222" s="5" t="str">
        <f ca="1">IFERROR(__xludf.DUMMYFUNCTION("""COMPUTED_VALUE"""),"Ахидова")</f>
        <v>Ахидова</v>
      </c>
      <c r="C1222" s="5" t="str">
        <f ca="1">IFERROR(__xludf.DUMMYFUNCTION("""COMPUTED_VALUE"""),"Елизавета")</f>
        <v>Елизавета</v>
      </c>
      <c r="D1222" s="5" t="str">
        <f ca="1">IFERROR(__xludf.DUMMYFUNCTION("""COMPUTED_VALUE"""),"Анатольевна")</f>
        <v>Анатольевна</v>
      </c>
      <c r="E1222" s="5"/>
      <c r="F1222" s="6"/>
      <c r="G1222" s="7" t="str">
        <f ca="1">IFERROR(__xludf.DUMMYFUNCTION("""COMPUTED_VALUE"""),"#N/A")</f>
        <v>#N/A</v>
      </c>
    </row>
    <row r="1223" spans="1:7" ht="13.2" x14ac:dyDescent="0.25">
      <c r="A1223" s="5">
        <f ca="1">IFERROR(__xludf.DUMMYFUNCTION("""COMPUTED_VALUE"""),71)</f>
        <v>71</v>
      </c>
      <c r="B1223" s="5" t="str">
        <f ca="1">IFERROR(__xludf.DUMMYFUNCTION("""COMPUTED_VALUE"""),"Ахременко")</f>
        <v>Ахременко</v>
      </c>
      <c r="C1223" s="5" t="str">
        <f ca="1">IFERROR(__xludf.DUMMYFUNCTION("""COMPUTED_VALUE"""),"Игорь")</f>
        <v>Игорь</v>
      </c>
      <c r="D1223" s="5" t="str">
        <f ca="1">IFERROR(__xludf.DUMMYFUNCTION("""COMPUTED_VALUE"""),"Игоревич")</f>
        <v>Игоревич</v>
      </c>
      <c r="E1223" s="5"/>
      <c r="F1223" s="6"/>
      <c r="G1223" s="7" t="str">
        <f ca="1">IFERROR(__xludf.DUMMYFUNCTION("""COMPUTED_VALUE"""),"#N/A")</f>
        <v>#N/A</v>
      </c>
    </row>
    <row r="1224" spans="1:7" ht="13.2" x14ac:dyDescent="0.25">
      <c r="A1224" s="5">
        <f ca="1">IFERROR(__xludf.DUMMYFUNCTION("""COMPUTED_VALUE"""),78)</f>
        <v>78</v>
      </c>
      <c r="B1224" s="5" t="str">
        <f ca="1">IFERROR(__xludf.DUMMYFUNCTION("""COMPUTED_VALUE"""),"Бадалбейли")</f>
        <v>Бадалбейли</v>
      </c>
      <c r="C1224" s="5" t="str">
        <f ca="1">IFERROR(__xludf.DUMMYFUNCTION("""COMPUTED_VALUE"""),"Эльдар")</f>
        <v>Эльдар</v>
      </c>
      <c r="D1224" s="5" t="str">
        <f ca="1">IFERROR(__xludf.DUMMYFUNCTION("""COMPUTED_VALUE"""),"Эльханович")</f>
        <v>Эльханович</v>
      </c>
      <c r="E1224" s="5"/>
      <c r="F1224" s="6"/>
      <c r="G1224" s="7" t="str">
        <f ca="1">IFERROR(__xludf.DUMMYFUNCTION("""COMPUTED_VALUE"""),"#N/A")</f>
        <v>#N/A</v>
      </c>
    </row>
    <row r="1225" spans="1:7" ht="13.2" x14ac:dyDescent="0.25">
      <c r="A1225" s="5">
        <f ca="1">IFERROR(__xludf.DUMMYFUNCTION("""COMPUTED_VALUE"""),79)</f>
        <v>79</v>
      </c>
      <c r="B1225" s="5" t="str">
        <f ca="1">IFERROR(__xludf.DUMMYFUNCTION("""COMPUTED_VALUE"""),"Баданова")</f>
        <v>Баданова</v>
      </c>
      <c r="C1225" s="5" t="str">
        <f ca="1">IFERROR(__xludf.DUMMYFUNCTION("""COMPUTED_VALUE"""),"Юлия")</f>
        <v>Юлия</v>
      </c>
      <c r="D1225" s="5" t="str">
        <f ca="1">IFERROR(__xludf.DUMMYFUNCTION("""COMPUTED_VALUE"""),"Сергеевна")</f>
        <v>Сергеевна</v>
      </c>
      <c r="E1225" s="5"/>
      <c r="F1225" s="6"/>
      <c r="G1225" s="7" t="str">
        <f ca="1">IFERROR(__xludf.DUMMYFUNCTION("""COMPUTED_VALUE"""),"#N/A")</f>
        <v>#N/A</v>
      </c>
    </row>
    <row r="1226" spans="1:7" ht="13.2" x14ac:dyDescent="0.25">
      <c r="A1226" s="5">
        <f ca="1">IFERROR(__xludf.DUMMYFUNCTION("""COMPUTED_VALUE"""),89)</f>
        <v>89</v>
      </c>
      <c r="B1226" s="5" t="str">
        <f ca="1">IFERROR(__xludf.DUMMYFUNCTION("""COMPUTED_VALUE"""),"Банаева")</f>
        <v>Банаева</v>
      </c>
      <c r="C1226" s="5" t="str">
        <f ca="1">IFERROR(__xludf.DUMMYFUNCTION("""COMPUTED_VALUE"""),"Юлия")</f>
        <v>Юлия</v>
      </c>
      <c r="D1226" s="5" t="str">
        <f ca="1">IFERROR(__xludf.DUMMYFUNCTION("""COMPUTED_VALUE"""),"Сергеевна")</f>
        <v>Сергеевна</v>
      </c>
      <c r="E1226" s="5"/>
      <c r="F1226" s="6"/>
      <c r="G1226" s="7" t="str">
        <f ca="1">IFERROR(__xludf.DUMMYFUNCTION("""COMPUTED_VALUE"""),"#N/A")</f>
        <v>#N/A</v>
      </c>
    </row>
    <row r="1227" spans="1:7" ht="13.2" x14ac:dyDescent="0.25">
      <c r="A1227" s="5">
        <f ca="1">IFERROR(__xludf.DUMMYFUNCTION("""COMPUTED_VALUE"""),90)</f>
        <v>90</v>
      </c>
      <c r="B1227" s="5" t="str">
        <f ca="1">IFERROR(__xludf.DUMMYFUNCTION("""COMPUTED_VALUE"""),"Бараков")</f>
        <v>Бараков</v>
      </c>
      <c r="C1227" s="5" t="str">
        <f ca="1">IFERROR(__xludf.DUMMYFUNCTION("""COMPUTED_VALUE"""),"Тимур")</f>
        <v>Тимур</v>
      </c>
      <c r="D1227" s="5" t="str">
        <f ca="1">IFERROR(__xludf.DUMMYFUNCTION("""COMPUTED_VALUE"""),"Рафисович")</f>
        <v>Рафисович</v>
      </c>
      <c r="E1227" s="5"/>
      <c r="F1227" s="6"/>
      <c r="G1227" s="7" t="str">
        <f ca="1">IFERROR(__xludf.DUMMYFUNCTION("""COMPUTED_VALUE"""),"#N/A")</f>
        <v>#N/A</v>
      </c>
    </row>
    <row r="1228" spans="1:7" ht="13.2" x14ac:dyDescent="0.25">
      <c r="A1228" s="5">
        <f ca="1">IFERROR(__xludf.DUMMYFUNCTION("""COMPUTED_VALUE"""),94)</f>
        <v>94</v>
      </c>
      <c r="B1228" s="5" t="str">
        <f ca="1">IFERROR(__xludf.DUMMYFUNCTION("""COMPUTED_VALUE"""),"Батмэнд")</f>
        <v>Батмэнд</v>
      </c>
      <c r="C1228" s="5" t="str">
        <f ca="1">IFERROR(__xludf.DUMMYFUNCTION("""COMPUTED_VALUE"""),"Хишигцогзол")</f>
        <v>Хишигцогзол</v>
      </c>
      <c r="D1228" s="5"/>
      <c r="E1228" s="5"/>
      <c r="F1228" s="6"/>
      <c r="G1228" s="7" t="str">
        <f ca="1">IFERROR(__xludf.DUMMYFUNCTION("""COMPUTED_VALUE"""),"#N/A")</f>
        <v>#N/A</v>
      </c>
    </row>
    <row r="1229" spans="1:7" ht="13.2" x14ac:dyDescent="0.25">
      <c r="A1229" s="5">
        <f ca="1">IFERROR(__xludf.DUMMYFUNCTION("""COMPUTED_VALUE"""),106)</f>
        <v>106</v>
      </c>
      <c r="B1229" s="5" t="str">
        <f ca="1">IFERROR(__xludf.DUMMYFUNCTION("""COMPUTED_VALUE"""),"Бездежский")</f>
        <v>Бездежский</v>
      </c>
      <c r="C1229" s="5" t="str">
        <f ca="1">IFERROR(__xludf.DUMMYFUNCTION("""COMPUTED_VALUE"""),"Георгий")</f>
        <v>Георгий</v>
      </c>
      <c r="D1229" s="5" t="str">
        <f ca="1">IFERROR(__xludf.DUMMYFUNCTION("""COMPUTED_VALUE"""),"Станиславович")</f>
        <v>Станиславович</v>
      </c>
      <c r="E1229" s="5"/>
      <c r="F1229" s="6"/>
      <c r="G1229" s="7" t="str">
        <f ca="1">IFERROR(__xludf.DUMMYFUNCTION("""COMPUTED_VALUE"""),"#N/A")</f>
        <v>#N/A</v>
      </c>
    </row>
    <row r="1230" spans="1:7" ht="13.2" x14ac:dyDescent="0.25">
      <c r="A1230" s="5">
        <f ca="1">IFERROR(__xludf.DUMMYFUNCTION("""COMPUTED_VALUE"""),108)</f>
        <v>108</v>
      </c>
      <c r="B1230" s="5" t="str">
        <f ca="1">IFERROR(__xludf.DUMMYFUNCTION("""COMPUTED_VALUE"""),"Бейлис")</f>
        <v>Бейлис</v>
      </c>
      <c r="C1230" s="5" t="str">
        <f ca="1">IFERROR(__xludf.DUMMYFUNCTION("""COMPUTED_VALUE"""),"Алиса")</f>
        <v>Алиса</v>
      </c>
      <c r="D1230" s="5" t="str">
        <f ca="1">IFERROR(__xludf.DUMMYFUNCTION("""COMPUTED_VALUE"""),"Александровна")</f>
        <v>Александровна</v>
      </c>
      <c r="E1230" s="5"/>
      <c r="F1230" s="6"/>
      <c r="G1230" s="7" t="str">
        <f ca="1">IFERROR(__xludf.DUMMYFUNCTION("""COMPUTED_VALUE"""),"#N/A")</f>
        <v>#N/A</v>
      </c>
    </row>
    <row r="1231" spans="1:7" ht="13.2" x14ac:dyDescent="0.25">
      <c r="A1231" s="5">
        <f ca="1">IFERROR(__xludf.DUMMYFUNCTION("""COMPUTED_VALUE"""),112)</f>
        <v>112</v>
      </c>
      <c r="B1231" s="5" t="str">
        <f ca="1">IFERROR(__xludf.DUMMYFUNCTION("""COMPUTED_VALUE"""),"Белобородова")</f>
        <v>Белобородова</v>
      </c>
      <c r="C1231" s="5" t="str">
        <f ca="1">IFERROR(__xludf.DUMMYFUNCTION("""COMPUTED_VALUE"""),"Полина")</f>
        <v>Полина</v>
      </c>
      <c r="D1231" s="5" t="str">
        <f ca="1">IFERROR(__xludf.DUMMYFUNCTION("""COMPUTED_VALUE"""),"Александровна")</f>
        <v>Александровна</v>
      </c>
      <c r="E1231" s="5"/>
      <c r="F1231" s="6"/>
      <c r="G1231" s="7" t="str">
        <f ca="1">IFERROR(__xludf.DUMMYFUNCTION("""COMPUTED_VALUE"""),"#N/A")</f>
        <v>#N/A</v>
      </c>
    </row>
    <row r="1232" spans="1:7" ht="13.2" x14ac:dyDescent="0.25">
      <c r="A1232" s="5">
        <f ca="1">IFERROR(__xludf.DUMMYFUNCTION("""COMPUTED_VALUE"""),124)</f>
        <v>124</v>
      </c>
      <c r="B1232" s="5" t="str">
        <f ca="1">IFERROR(__xludf.DUMMYFUNCTION("""COMPUTED_VALUE"""),"Бикмухаметов")</f>
        <v>Бикмухаметов</v>
      </c>
      <c r="C1232" s="5" t="str">
        <f ca="1">IFERROR(__xludf.DUMMYFUNCTION("""COMPUTED_VALUE"""),"Динар")</f>
        <v>Динар</v>
      </c>
      <c r="D1232" s="5" t="str">
        <f ca="1">IFERROR(__xludf.DUMMYFUNCTION("""COMPUTED_VALUE"""),"Ильдарович")</f>
        <v>Ильдарович</v>
      </c>
      <c r="E1232" s="5"/>
      <c r="F1232" s="6"/>
      <c r="G1232" s="7" t="str">
        <f ca="1">IFERROR(__xludf.DUMMYFUNCTION("""COMPUTED_VALUE"""),"#N/A")</f>
        <v>#N/A</v>
      </c>
    </row>
    <row r="1233" spans="1:7" ht="13.2" x14ac:dyDescent="0.25">
      <c r="A1233" s="5">
        <f ca="1">IFERROR(__xludf.DUMMYFUNCTION("""COMPUTED_VALUE"""),128)</f>
        <v>128</v>
      </c>
      <c r="B1233" s="5" t="str">
        <f ca="1">IFERROR(__xludf.DUMMYFUNCTION("""COMPUTED_VALUE"""),"Благинин")</f>
        <v>Благинин</v>
      </c>
      <c r="C1233" s="5" t="str">
        <f ca="1">IFERROR(__xludf.DUMMYFUNCTION("""COMPUTED_VALUE"""),"Иван")</f>
        <v>Иван</v>
      </c>
      <c r="D1233" s="5" t="str">
        <f ca="1">IFERROR(__xludf.DUMMYFUNCTION("""COMPUTED_VALUE"""),"Феофанович")</f>
        <v>Феофанович</v>
      </c>
      <c r="E1233" s="5"/>
      <c r="F1233" s="6"/>
      <c r="G1233" s="7" t="str">
        <f ca="1">IFERROR(__xludf.DUMMYFUNCTION("""COMPUTED_VALUE"""),"#N/A")</f>
        <v>#N/A</v>
      </c>
    </row>
    <row r="1234" spans="1:7" ht="13.2" x14ac:dyDescent="0.25">
      <c r="A1234" s="5">
        <f ca="1">IFERROR(__xludf.DUMMYFUNCTION("""COMPUTED_VALUE"""),137)</f>
        <v>137</v>
      </c>
      <c r="B1234" s="5" t="str">
        <f ca="1">IFERROR(__xludf.DUMMYFUNCTION("""COMPUTED_VALUE"""),"Боков")</f>
        <v>Боков</v>
      </c>
      <c r="C1234" s="5" t="str">
        <f ca="1">IFERROR(__xludf.DUMMYFUNCTION("""COMPUTED_VALUE"""),"Семён")</f>
        <v>Семён</v>
      </c>
      <c r="D1234" s="5" t="str">
        <f ca="1">IFERROR(__xludf.DUMMYFUNCTION("""COMPUTED_VALUE"""),"Александрович")</f>
        <v>Александрович</v>
      </c>
      <c r="E1234" s="5"/>
      <c r="F1234" s="6"/>
      <c r="G1234" s="7" t="str">
        <f ca="1">IFERROR(__xludf.DUMMYFUNCTION("""COMPUTED_VALUE"""),"#N/A")</f>
        <v>#N/A</v>
      </c>
    </row>
    <row r="1235" spans="1:7" ht="13.2" x14ac:dyDescent="0.25">
      <c r="A1235" s="5">
        <f ca="1">IFERROR(__xludf.DUMMYFUNCTION("""COMPUTED_VALUE"""),138)</f>
        <v>138</v>
      </c>
      <c r="B1235" s="5" t="str">
        <f ca="1">IFERROR(__xludf.DUMMYFUNCTION("""COMPUTED_VALUE"""),"Болкисев")</f>
        <v>Болкисев</v>
      </c>
      <c r="C1235" s="5" t="str">
        <f ca="1">IFERROR(__xludf.DUMMYFUNCTION("""COMPUTED_VALUE"""),"Илья")</f>
        <v>Илья</v>
      </c>
      <c r="D1235" s="5" t="str">
        <f ca="1">IFERROR(__xludf.DUMMYFUNCTION("""COMPUTED_VALUE"""),"Александрович")</f>
        <v>Александрович</v>
      </c>
      <c r="E1235" s="5"/>
      <c r="F1235" s="6"/>
      <c r="G1235" s="7" t="str">
        <f ca="1">IFERROR(__xludf.DUMMYFUNCTION("""COMPUTED_VALUE"""),"#N/A")</f>
        <v>#N/A</v>
      </c>
    </row>
    <row r="1236" spans="1:7" ht="13.2" x14ac:dyDescent="0.25">
      <c r="A1236" s="5">
        <f ca="1">IFERROR(__xludf.DUMMYFUNCTION("""COMPUTED_VALUE"""),139)</f>
        <v>139</v>
      </c>
      <c r="B1236" s="5" t="str">
        <f ca="1">IFERROR(__xludf.DUMMYFUNCTION("""COMPUTED_VALUE"""),"Большаков")</f>
        <v>Большаков</v>
      </c>
      <c r="C1236" s="5" t="str">
        <f ca="1">IFERROR(__xludf.DUMMYFUNCTION("""COMPUTED_VALUE"""),"Николай")</f>
        <v>Николай</v>
      </c>
      <c r="D1236" s="5" t="str">
        <f ca="1">IFERROR(__xludf.DUMMYFUNCTION("""COMPUTED_VALUE"""),"Игоревич")</f>
        <v>Игоревич</v>
      </c>
      <c r="E1236" s="5"/>
      <c r="F1236" s="6"/>
      <c r="G1236" s="7" t="str">
        <f ca="1">IFERROR(__xludf.DUMMYFUNCTION("""COMPUTED_VALUE"""),"#N/A")</f>
        <v>#N/A</v>
      </c>
    </row>
    <row r="1237" spans="1:7" ht="13.2" x14ac:dyDescent="0.25">
      <c r="A1237" s="5">
        <f ca="1">IFERROR(__xludf.DUMMYFUNCTION("""COMPUTED_VALUE"""),150)</f>
        <v>150</v>
      </c>
      <c r="B1237" s="5" t="str">
        <f ca="1">IFERROR(__xludf.DUMMYFUNCTION("""COMPUTED_VALUE"""),"Бредихин")</f>
        <v>Бредихин</v>
      </c>
      <c r="C1237" s="5" t="str">
        <f ca="1">IFERROR(__xludf.DUMMYFUNCTION("""COMPUTED_VALUE"""),"Борис")</f>
        <v>Борис</v>
      </c>
      <c r="D1237" s="5" t="str">
        <f ca="1">IFERROR(__xludf.DUMMYFUNCTION("""COMPUTED_VALUE"""),"Андреевич")</f>
        <v>Андреевич</v>
      </c>
      <c r="E1237" s="5"/>
      <c r="F1237" s="6"/>
      <c r="G1237" s="7" t="str">
        <f ca="1">IFERROR(__xludf.DUMMYFUNCTION("""COMPUTED_VALUE"""),"#N/A")</f>
        <v>#N/A</v>
      </c>
    </row>
    <row r="1238" spans="1:7" ht="13.2" x14ac:dyDescent="0.25">
      <c r="A1238" s="5">
        <f ca="1">IFERROR(__xludf.DUMMYFUNCTION("""COMPUTED_VALUE"""),151)</f>
        <v>151</v>
      </c>
      <c r="B1238" s="5" t="str">
        <f ca="1">IFERROR(__xludf.DUMMYFUNCTION("""COMPUTED_VALUE"""),"Брекоткин")</f>
        <v>Брекоткин</v>
      </c>
      <c r="C1238" s="5" t="str">
        <f ca="1">IFERROR(__xludf.DUMMYFUNCTION("""COMPUTED_VALUE"""),"Игорь")</f>
        <v>Игорь</v>
      </c>
      <c r="D1238" s="5" t="str">
        <f ca="1">IFERROR(__xludf.DUMMYFUNCTION("""COMPUTED_VALUE"""),"Андреевич")</f>
        <v>Андреевич</v>
      </c>
      <c r="E1238" s="5"/>
      <c r="F1238" s="6"/>
      <c r="G1238" s="7" t="str">
        <f ca="1">IFERROR(__xludf.DUMMYFUNCTION("""COMPUTED_VALUE"""),"#N/A")</f>
        <v>#N/A</v>
      </c>
    </row>
    <row r="1239" spans="1:7" ht="13.2" x14ac:dyDescent="0.25">
      <c r="A1239" s="5">
        <f ca="1">IFERROR(__xludf.DUMMYFUNCTION("""COMPUTED_VALUE"""),152)</f>
        <v>152</v>
      </c>
      <c r="B1239" s="5" t="str">
        <f ca="1">IFERROR(__xludf.DUMMYFUNCTION("""COMPUTED_VALUE"""),"Бритова")</f>
        <v>Бритова</v>
      </c>
      <c r="C1239" s="5" t="str">
        <f ca="1">IFERROR(__xludf.DUMMYFUNCTION("""COMPUTED_VALUE"""),"Ксения")</f>
        <v>Ксения</v>
      </c>
      <c r="D1239" s="5" t="str">
        <f ca="1">IFERROR(__xludf.DUMMYFUNCTION("""COMPUTED_VALUE"""),"Витальевна")</f>
        <v>Витальевна</v>
      </c>
      <c r="E1239" s="5"/>
      <c r="F1239" s="6"/>
      <c r="G1239" s="7" t="str">
        <f ca="1">IFERROR(__xludf.DUMMYFUNCTION("""COMPUTED_VALUE"""),"#N/A")</f>
        <v>#N/A</v>
      </c>
    </row>
    <row r="1240" spans="1:7" ht="13.2" x14ac:dyDescent="0.25">
      <c r="A1240" s="5">
        <f ca="1">IFERROR(__xludf.DUMMYFUNCTION("""COMPUTED_VALUE"""),153)</f>
        <v>153</v>
      </c>
      <c r="B1240" s="5" t="str">
        <f ca="1">IFERROR(__xludf.DUMMYFUNCTION("""COMPUTED_VALUE"""),"Бубнов")</f>
        <v>Бубнов</v>
      </c>
      <c r="C1240" s="5" t="str">
        <f ca="1">IFERROR(__xludf.DUMMYFUNCTION("""COMPUTED_VALUE"""),"Андрей")</f>
        <v>Андрей</v>
      </c>
      <c r="D1240" s="5" t="str">
        <f ca="1">IFERROR(__xludf.DUMMYFUNCTION("""COMPUTED_VALUE"""),"Алексеевич")</f>
        <v>Алексеевич</v>
      </c>
      <c r="E1240" s="5"/>
      <c r="F1240" s="6"/>
      <c r="G1240" s="7" t="str">
        <f ca="1">IFERROR(__xludf.DUMMYFUNCTION("""COMPUTED_VALUE"""),"#N/A")</f>
        <v>#N/A</v>
      </c>
    </row>
    <row r="1241" spans="1:7" ht="13.2" x14ac:dyDescent="0.25">
      <c r="A1241" s="5">
        <f ca="1">IFERROR(__xludf.DUMMYFUNCTION("""COMPUTED_VALUE"""),154)</f>
        <v>154</v>
      </c>
      <c r="B1241" s="5" t="str">
        <f ca="1">IFERROR(__xludf.DUMMYFUNCTION("""COMPUTED_VALUE"""),"Бугров")</f>
        <v>Бугров</v>
      </c>
      <c r="C1241" s="5" t="str">
        <f ca="1">IFERROR(__xludf.DUMMYFUNCTION("""COMPUTED_VALUE"""),"Никита")</f>
        <v>Никита</v>
      </c>
      <c r="D1241" s="5" t="str">
        <f ca="1">IFERROR(__xludf.DUMMYFUNCTION("""COMPUTED_VALUE"""),"Вадимович")</f>
        <v>Вадимович</v>
      </c>
      <c r="E1241" s="5"/>
      <c r="F1241" s="6"/>
      <c r="G1241" s="7" t="str">
        <f ca="1">IFERROR(__xludf.DUMMYFUNCTION("""COMPUTED_VALUE"""),"#N/A")</f>
        <v>#N/A</v>
      </c>
    </row>
    <row r="1242" spans="1:7" ht="13.2" x14ac:dyDescent="0.25">
      <c r="A1242" s="5">
        <f ca="1">IFERROR(__xludf.DUMMYFUNCTION("""COMPUTED_VALUE"""),178)</f>
        <v>178</v>
      </c>
      <c r="B1242" s="5" t="str">
        <f ca="1">IFERROR(__xludf.DUMMYFUNCTION("""COMPUTED_VALUE"""),"Василевская")</f>
        <v>Василевская</v>
      </c>
      <c r="C1242" s="5" t="str">
        <f ca="1">IFERROR(__xludf.DUMMYFUNCTION("""COMPUTED_VALUE"""),"Мария")</f>
        <v>Мария</v>
      </c>
      <c r="D1242" s="5" t="str">
        <f ca="1">IFERROR(__xludf.DUMMYFUNCTION("""COMPUTED_VALUE"""),"Антоновна")</f>
        <v>Антоновна</v>
      </c>
      <c r="E1242" s="5"/>
      <c r="F1242" s="6"/>
      <c r="G1242" s="7" t="str">
        <f ca="1">IFERROR(__xludf.DUMMYFUNCTION("""COMPUTED_VALUE"""),"#N/A")</f>
        <v>#N/A</v>
      </c>
    </row>
    <row r="1243" spans="1:7" ht="13.2" x14ac:dyDescent="0.25">
      <c r="A1243" s="5">
        <f ca="1">IFERROR(__xludf.DUMMYFUNCTION("""COMPUTED_VALUE"""),180)</f>
        <v>180</v>
      </c>
      <c r="B1243" s="5" t="str">
        <f ca="1">IFERROR(__xludf.DUMMYFUNCTION("""COMPUTED_VALUE"""),"Васильев")</f>
        <v>Васильев</v>
      </c>
      <c r="C1243" s="5" t="str">
        <f ca="1">IFERROR(__xludf.DUMMYFUNCTION("""COMPUTED_VALUE"""),"Ростислав")</f>
        <v>Ростислав</v>
      </c>
      <c r="D1243" s="5" t="str">
        <f ca="1">IFERROR(__xludf.DUMMYFUNCTION("""COMPUTED_VALUE"""),"Вадимович")</f>
        <v>Вадимович</v>
      </c>
      <c r="E1243" s="5"/>
      <c r="F1243" s="6"/>
      <c r="G1243" s="7" t="str">
        <f ca="1">IFERROR(__xludf.DUMMYFUNCTION("""COMPUTED_VALUE"""),"#N/A")</f>
        <v>#N/A</v>
      </c>
    </row>
    <row r="1244" spans="1:7" ht="13.2" x14ac:dyDescent="0.25">
      <c r="A1244" s="5">
        <f ca="1">IFERROR(__xludf.DUMMYFUNCTION("""COMPUTED_VALUE"""),183)</f>
        <v>183</v>
      </c>
      <c r="B1244" s="5" t="str">
        <f ca="1">IFERROR(__xludf.DUMMYFUNCTION("""COMPUTED_VALUE"""),"Васькин")</f>
        <v>Васькин</v>
      </c>
      <c r="C1244" s="5" t="str">
        <f ca="1">IFERROR(__xludf.DUMMYFUNCTION("""COMPUTED_VALUE"""),"Кирилл")</f>
        <v>Кирилл</v>
      </c>
      <c r="D1244" s="5" t="str">
        <f ca="1">IFERROR(__xludf.DUMMYFUNCTION("""COMPUTED_VALUE"""),"Владимирович")</f>
        <v>Владимирович</v>
      </c>
      <c r="E1244" s="5"/>
      <c r="F1244" s="6"/>
      <c r="G1244" s="7" t="str">
        <f ca="1">IFERROR(__xludf.DUMMYFUNCTION("""COMPUTED_VALUE"""),"#N/A")</f>
        <v>#N/A</v>
      </c>
    </row>
    <row r="1245" spans="1:7" ht="13.2" x14ac:dyDescent="0.25">
      <c r="A1245" s="5">
        <f ca="1">IFERROR(__xludf.DUMMYFUNCTION("""COMPUTED_VALUE"""),194)</f>
        <v>194</v>
      </c>
      <c r="B1245" s="5" t="str">
        <f ca="1">IFERROR(__xludf.DUMMYFUNCTION("""COMPUTED_VALUE"""),"Вертикова")</f>
        <v>Вертикова</v>
      </c>
      <c r="C1245" s="5" t="str">
        <f ca="1">IFERROR(__xludf.DUMMYFUNCTION("""COMPUTED_VALUE"""),"Полина")</f>
        <v>Полина</v>
      </c>
      <c r="D1245" s="5" t="str">
        <f ca="1">IFERROR(__xludf.DUMMYFUNCTION("""COMPUTED_VALUE"""),"Андреевна")</f>
        <v>Андреевна</v>
      </c>
      <c r="E1245" s="5"/>
      <c r="F1245" s="6"/>
      <c r="G1245" s="7" t="str">
        <f ca="1">IFERROR(__xludf.DUMMYFUNCTION("""COMPUTED_VALUE"""),"#N/A")</f>
        <v>#N/A</v>
      </c>
    </row>
    <row r="1246" spans="1:7" ht="13.2" x14ac:dyDescent="0.25">
      <c r="A1246" s="5">
        <f ca="1">IFERROR(__xludf.DUMMYFUNCTION("""COMPUTED_VALUE"""),195)</f>
        <v>195</v>
      </c>
      <c r="B1246" s="5" t="str">
        <f ca="1">IFERROR(__xludf.DUMMYFUNCTION("""COMPUTED_VALUE"""),"Веснин")</f>
        <v>Веснин</v>
      </c>
      <c r="C1246" s="5" t="str">
        <f ca="1">IFERROR(__xludf.DUMMYFUNCTION("""COMPUTED_VALUE"""),"Илья")</f>
        <v>Илья</v>
      </c>
      <c r="D1246" s="5" t="str">
        <f ca="1">IFERROR(__xludf.DUMMYFUNCTION("""COMPUTED_VALUE"""),"Сергеевич")</f>
        <v>Сергеевич</v>
      </c>
      <c r="E1246" s="5"/>
      <c r="F1246" s="6"/>
      <c r="G1246" s="7" t="str">
        <f ca="1">IFERROR(__xludf.DUMMYFUNCTION("""COMPUTED_VALUE"""),"#N/A")</f>
        <v>#N/A</v>
      </c>
    </row>
    <row r="1247" spans="1:7" ht="13.2" x14ac:dyDescent="0.25">
      <c r="A1247" s="5">
        <f ca="1">IFERROR(__xludf.DUMMYFUNCTION("""COMPUTED_VALUE"""),196)</f>
        <v>196</v>
      </c>
      <c r="B1247" s="5" t="str">
        <f ca="1">IFERROR(__xludf.DUMMYFUNCTION("""COMPUTED_VALUE"""),"Ветренко")</f>
        <v>Ветренко</v>
      </c>
      <c r="C1247" s="5" t="str">
        <f ca="1">IFERROR(__xludf.DUMMYFUNCTION("""COMPUTED_VALUE"""),"Александр")</f>
        <v>Александр</v>
      </c>
      <c r="D1247" s="5" t="str">
        <f ca="1">IFERROR(__xludf.DUMMYFUNCTION("""COMPUTED_VALUE"""),"Олегович")</f>
        <v>Олегович</v>
      </c>
      <c r="E1247" s="5"/>
      <c r="F1247" s="6"/>
      <c r="G1247" s="7" t="str">
        <f ca="1">IFERROR(__xludf.DUMMYFUNCTION("""COMPUTED_VALUE"""),"#N/A")</f>
        <v>#N/A</v>
      </c>
    </row>
    <row r="1248" spans="1:7" ht="13.2" x14ac:dyDescent="0.25">
      <c r="A1248" s="5">
        <f ca="1">IFERROR(__xludf.DUMMYFUNCTION("""COMPUTED_VALUE"""),197)</f>
        <v>197</v>
      </c>
      <c r="B1248" s="5" t="str">
        <f ca="1">IFERROR(__xludf.DUMMYFUNCTION("""COMPUTED_VALUE"""),"Визелко")</f>
        <v>Визелко</v>
      </c>
      <c r="C1248" s="5" t="str">
        <f ca="1">IFERROR(__xludf.DUMMYFUNCTION("""COMPUTED_VALUE"""),"Александр")</f>
        <v>Александр</v>
      </c>
      <c r="D1248" s="5" t="str">
        <f ca="1">IFERROR(__xludf.DUMMYFUNCTION("""COMPUTED_VALUE"""),"Сергеевич")</f>
        <v>Сергеевич</v>
      </c>
      <c r="E1248" s="5"/>
      <c r="F1248" s="6"/>
      <c r="G1248" s="7" t="str">
        <f ca="1">IFERROR(__xludf.DUMMYFUNCTION("""COMPUTED_VALUE"""),"#N/A")</f>
        <v>#N/A</v>
      </c>
    </row>
    <row r="1249" spans="1:7" ht="13.2" x14ac:dyDescent="0.25">
      <c r="A1249" s="5">
        <f ca="1">IFERROR(__xludf.DUMMYFUNCTION("""COMPUTED_VALUE"""),219)</f>
        <v>219</v>
      </c>
      <c r="B1249" s="5" t="str">
        <f ca="1">IFERROR(__xludf.DUMMYFUNCTION("""COMPUTED_VALUE"""),"Ворожцов")</f>
        <v>Ворожцов</v>
      </c>
      <c r="C1249" s="5" t="str">
        <f ca="1">IFERROR(__xludf.DUMMYFUNCTION("""COMPUTED_VALUE"""),"Артем")</f>
        <v>Артем</v>
      </c>
      <c r="D1249" s="5" t="str">
        <f ca="1">IFERROR(__xludf.DUMMYFUNCTION("""COMPUTED_VALUE"""),"Александрович")</f>
        <v>Александрович</v>
      </c>
      <c r="E1249" s="5"/>
      <c r="F1249" s="6"/>
      <c r="G1249" s="7" t="str">
        <f ca="1">IFERROR(__xludf.DUMMYFUNCTION("""COMPUTED_VALUE"""),"#N/A")</f>
        <v>#N/A</v>
      </c>
    </row>
    <row r="1250" spans="1:7" ht="13.2" x14ac:dyDescent="0.25">
      <c r="A1250" s="5">
        <f ca="1">IFERROR(__xludf.DUMMYFUNCTION("""COMPUTED_VALUE"""),255)</f>
        <v>255</v>
      </c>
      <c r="B1250" s="5" t="str">
        <f ca="1">IFERROR(__xludf.DUMMYFUNCTION("""COMPUTED_VALUE"""),"Глухов")</f>
        <v>Глухов</v>
      </c>
      <c r="C1250" s="5" t="str">
        <f ca="1">IFERROR(__xludf.DUMMYFUNCTION("""COMPUTED_VALUE"""),"Антон")</f>
        <v>Антон</v>
      </c>
      <c r="D1250" s="5" t="str">
        <f ca="1">IFERROR(__xludf.DUMMYFUNCTION("""COMPUTED_VALUE"""),"Сергеевич")</f>
        <v>Сергеевич</v>
      </c>
      <c r="E1250" s="5"/>
      <c r="F1250" s="6"/>
      <c r="G1250" s="7" t="str">
        <f ca="1">IFERROR(__xludf.DUMMYFUNCTION("""COMPUTED_VALUE"""),"#N/A")</f>
        <v>#N/A</v>
      </c>
    </row>
    <row r="1251" spans="1:7" ht="13.2" x14ac:dyDescent="0.25">
      <c r="A1251" s="5">
        <f ca="1">IFERROR(__xludf.DUMMYFUNCTION("""COMPUTED_VALUE"""),274)</f>
        <v>274</v>
      </c>
      <c r="B1251" s="5" t="str">
        <f ca="1">IFERROR(__xludf.DUMMYFUNCTION("""COMPUTED_VALUE"""),"Горохов")</f>
        <v>Горохов</v>
      </c>
      <c r="C1251" s="5" t="str">
        <f ca="1">IFERROR(__xludf.DUMMYFUNCTION("""COMPUTED_VALUE"""),"Данил")</f>
        <v>Данил</v>
      </c>
      <c r="D1251" s="5" t="str">
        <f ca="1">IFERROR(__xludf.DUMMYFUNCTION("""COMPUTED_VALUE"""),"Владимирович")</f>
        <v>Владимирович</v>
      </c>
      <c r="E1251" s="5"/>
      <c r="F1251" s="6"/>
      <c r="G1251" s="7" t="str">
        <f ca="1">IFERROR(__xludf.DUMMYFUNCTION("""COMPUTED_VALUE"""),"#N/A")</f>
        <v>#N/A</v>
      </c>
    </row>
    <row r="1252" spans="1:7" ht="13.2" x14ac:dyDescent="0.25">
      <c r="A1252" s="5">
        <f ca="1">IFERROR(__xludf.DUMMYFUNCTION("""COMPUTED_VALUE"""),284)</f>
        <v>284</v>
      </c>
      <c r="B1252" s="5" t="str">
        <f ca="1">IFERROR(__xludf.DUMMYFUNCTION("""COMPUTED_VALUE"""),"Гришин")</f>
        <v>Гришин</v>
      </c>
      <c r="C1252" s="5" t="str">
        <f ca="1">IFERROR(__xludf.DUMMYFUNCTION("""COMPUTED_VALUE"""),"Симеон")</f>
        <v>Симеон</v>
      </c>
      <c r="D1252" s="5" t="str">
        <f ca="1">IFERROR(__xludf.DUMMYFUNCTION("""COMPUTED_VALUE"""),"Александрович")</f>
        <v>Александрович</v>
      </c>
      <c r="E1252" s="5"/>
      <c r="F1252" s="6"/>
      <c r="G1252" s="7" t="str">
        <f ca="1">IFERROR(__xludf.DUMMYFUNCTION("""COMPUTED_VALUE"""),"#N/A")</f>
        <v>#N/A</v>
      </c>
    </row>
    <row r="1253" spans="1:7" ht="13.2" x14ac:dyDescent="0.25">
      <c r="A1253" s="5">
        <f ca="1">IFERROR(__xludf.DUMMYFUNCTION("""COMPUTED_VALUE"""),291)</f>
        <v>291</v>
      </c>
      <c r="B1253" s="5" t="str">
        <f ca="1">IFERROR(__xludf.DUMMYFUNCTION("""COMPUTED_VALUE"""),"Грязнов")</f>
        <v>Грязнов</v>
      </c>
      <c r="C1253" s="5" t="str">
        <f ca="1">IFERROR(__xludf.DUMMYFUNCTION("""COMPUTED_VALUE"""),"Игорь")</f>
        <v>Игорь</v>
      </c>
      <c r="D1253" s="5" t="str">
        <f ca="1">IFERROR(__xludf.DUMMYFUNCTION("""COMPUTED_VALUE"""),"Сергеевич")</f>
        <v>Сергеевич</v>
      </c>
      <c r="E1253" s="5"/>
      <c r="F1253" s="6"/>
      <c r="G1253" s="7" t="str">
        <f ca="1">IFERROR(__xludf.DUMMYFUNCTION("""COMPUTED_VALUE"""),"#N/A")</f>
        <v>#N/A</v>
      </c>
    </row>
    <row r="1254" spans="1:7" ht="13.2" x14ac:dyDescent="0.25">
      <c r="A1254" s="5">
        <f ca="1">IFERROR(__xludf.DUMMYFUNCTION("""COMPUTED_VALUE"""),292)</f>
        <v>292</v>
      </c>
      <c r="B1254" s="5" t="str">
        <f ca="1">IFERROR(__xludf.DUMMYFUNCTION("""COMPUTED_VALUE"""),"Гуков")</f>
        <v>Гуков</v>
      </c>
      <c r="C1254" s="5" t="str">
        <f ca="1">IFERROR(__xludf.DUMMYFUNCTION("""COMPUTED_VALUE"""),"Егор")</f>
        <v>Егор</v>
      </c>
      <c r="D1254" s="5" t="str">
        <f ca="1">IFERROR(__xludf.DUMMYFUNCTION("""COMPUTED_VALUE"""),"Юрьевич")</f>
        <v>Юрьевич</v>
      </c>
      <c r="E1254" s="5"/>
      <c r="F1254" s="6"/>
      <c r="G1254" s="7" t="str">
        <f ca="1">IFERROR(__xludf.DUMMYFUNCTION("""COMPUTED_VALUE"""),"#N/A")</f>
        <v>#N/A</v>
      </c>
    </row>
    <row r="1255" spans="1:7" ht="13.2" x14ac:dyDescent="0.25">
      <c r="A1255" s="5">
        <f ca="1">IFERROR(__xludf.DUMMYFUNCTION("""COMPUTED_VALUE"""),294)</f>
        <v>294</v>
      </c>
      <c r="B1255" s="5" t="str">
        <f ca="1">IFERROR(__xludf.DUMMYFUNCTION("""COMPUTED_VALUE"""),"Гурова")</f>
        <v>Гурова</v>
      </c>
      <c r="C1255" s="5" t="str">
        <f ca="1">IFERROR(__xludf.DUMMYFUNCTION("""COMPUTED_VALUE"""),"Анастасия")</f>
        <v>Анастасия</v>
      </c>
      <c r="D1255" s="5" t="str">
        <f ca="1">IFERROR(__xludf.DUMMYFUNCTION("""COMPUTED_VALUE"""),"Андреевна")</f>
        <v>Андреевна</v>
      </c>
      <c r="E1255" s="5"/>
      <c r="F1255" s="6"/>
      <c r="G1255" s="7" t="str">
        <f ca="1">IFERROR(__xludf.DUMMYFUNCTION("""COMPUTED_VALUE"""),"#N/A")</f>
        <v>#N/A</v>
      </c>
    </row>
    <row r="1256" spans="1:7" ht="13.2" x14ac:dyDescent="0.25">
      <c r="A1256" s="5">
        <f ca="1">IFERROR(__xludf.DUMMYFUNCTION("""COMPUTED_VALUE"""),306)</f>
        <v>306</v>
      </c>
      <c r="B1256" s="5" t="str">
        <f ca="1">IFERROR(__xludf.DUMMYFUNCTION("""COMPUTED_VALUE"""),"Дедюкин")</f>
        <v>Дедюкин</v>
      </c>
      <c r="C1256" s="5" t="str">
        <f ca="1">IFERROR(__xludf.DUMMYFUNCTION("""COMPUTED_VALUE"""),"Максим")</f>
        <v>Максим</v>
      </c>
      <c r="D1256" s="5" t="str">
        <f ca="1">IFERROR(__xludf.DUMMYFUNCTION("""COMPUTED_VALUE"""),"Евгеньевич")</f>
        <v>Евгеньевич</v>
      </c>
      <c r="E1256" s="5"/>
      <c r="F1256" s="6"/>
      <c r="G1256" s="7" t="str">
        <f ca="1">IFERROR(__xludf.DUMMYFUNCTION("""COMPUTED_VALUE"""),"#N/A")</f>
        <v>#N/A</v>
      </c>
    </row>
    <row r="1257" spans="1:7" ht="13.2" x14ac:dyDescent="0.25">
      <c r="A1257" s="5">
        <f ca="1">IFERROR(__xludf.DUMMYFUNCTION("""COMPUTED_VALUE"""),311)</f>
        <v>311</v>
      </c>
      <c r="B1257" s="5" t="str">
        <f ca="1">IFERROR(__xludf.DUMMYFUNCTION("""COMPUTED_VALUE"""),"Демин")</f>
        <v>Демин</v>
      </c>
      <c r="C1257" s="5" t="str">
        <f ca="1">IFERROR(__xludf.DUMMYFUNCTION("""COMPUTED_VALUE"""),"Дмитрий")</f>
        <v>Дмитрий</v>
      </c>
      <c r="D1257" s="5" t="str">
        <f ca="1">IFERROR(__xludf.DUMMYFUNCTION("""COMPUTED_VALUE"""),"Дмитриевич")</f>
        <v>Дмитриевич</v>
      </c>
      <c r="E1257" s="5"/>
      <c r="F1257" s="6"/>
      <c r="G1257" s="7" t="str">
        <f ca="1">IFERROR(__xludf.DUMMYFUNCTION("""COMPUTED_VALUE"""),"#N/A")</f>
        <v>#N/A</v>
      </c>
    </row>
    <row r="1258" spans="1:7" ht="13.2" x14ac:dyDescent="0.25">
      <c r="A1258" s="5">
        <f ca="1">IFERROR(__xludf.DUMMYFUNCTION("""COMPUTED_VALUE"""),317)</f>
        <v>317</v>
      </c>
      <c r="B1258" s="5" t="str">
        <f ca="1">IFERROR(__xludf.DUMMYFUNCTION("""COMPUTED_VALUE"""),"Дик")</f>
        <v>Дик</v>
      </c>
      <c r="C1258" s="5" t="str">
        <f ca="1">IFERROR(__xludf.DUMMYFUNCTION("""COMPUTED_VALUE"""),"Валерия")</f>
        <v>Валерия</v>
      </c>
      <c r="D1258" s="5" t="str">
        <f ca="1">IFERROR(__xludf.DUMMYFUNCTION("""COMPUTED_VALUE"""),"Викторовна")</f>
        <v>Викторовна</v>
      </c>
      <c r="E1258" s="5"/>
      <c r="F1258" s="6"/>
      <c r="G1258" s="7" t="str">
        <f ca="1">IFERROR(__xludf.DUMMYFUNCTION("""COMPUTED_VALUE"""),"#N/A")</f>
        <v>#N/A</v>
      </c>
    </row>
    <row r="1259" spans="1:7" ht="13.2" x14ac:dyDescent="0.25">
      <c r="A1259" s="5">
        <f ca="1">IFERROR(__xludf.DUMMYFUNCTION("""COMPUTED_VALUE"""),325)</f>
        <v>325</v>
      </c>
      <c r="B1259" s="5" t="str">
        <f ca="1">IFERROR(__xludf.DUMMYFUNCTION("""COMPUTED_VALUE"""),"Довгань")</f>
        <v>Довгань</v>
      </c>
      <c r="C1259" s="5" t="str">
        <f ca="1">IFERROR(__xludf.DUMMYFUNCTION("""COMPUTED_VALUE"""),"Егор")</f>
        <v>Егор</v>
      </c>
      <c r="D1259" s="5" t="str">
        <f ca="1">IFERROR(__xludf.DUMMYFUNCTION("""COMPUTED_VALUE"""),"Александрович")</f>
        <v>Александрович</v>
      </c>
      <c r="E1259" s="5"/>
      <c r="F1259" s="6"/>
      <c r="G1259" s="7" t="str">
        <f ca="1">IFERROR(__xludf.DUMMYFUNCTION("""COMPUTED_VALUE"""),"#N/A")</f>
        <v>#N/A</v>
      </c>
    </row>
    <row r="1260" spans="1:7" ht="13.2" x14ac:dyDescent="0.25">
      <c r="A1260" s="5">
        <f ca="1">IFERROR(__xludf.DUMMYFUNCTION("""COMPUTED_VALUE"""),339)</f>
        <v>339</v>
      </c>
      <c r="B1260" s="5" t="str">
        <f ca="1">IFERROR(__xludf.DUMMYFUNCTION("""COMPUTED_VALUE"""),"Драгомиров")</f>
        <v>Драгомиров</v>
      </c>
      <c r="C1260" s="5" t="str">
        <f ca="1">IFERROR(__xludf.DUMMYFUNCTION("""COMPUTED_VALUE"""),"Никита")</f>
        <v>Никита</v>
      </c>
      <c r="D1260" s="5" t="str">
        <f ca="1">IFERROR(__xludf.DUMMYFUNCTION("""COMPUTED_VALUE"""),"Андреевич")</f>
        <v>Андреевич</v>
      </c>
      <c r="E1260" s="5"/>
      <c r="F1260" s="6"/>
      <c r="G1260" s="7" t="str">
        <f ca="1">IFERROR(__xludf.DUMMYFUNCTION("""COMPUTED_VALUE"""),"#N/A")</f>
        <v>#N/A</v>
      </c>
    </row>
    <row r="1261" spans="1:7" ht="13.2" x14ac:dyDescent="0.25">
      <c r="A1261" s="5">
        <f ca="1">IFERROR(__xludf.DUMMYFUNCTION("""COMPUTED_VALUE"""),359)</f>
        <v>359</v>
      </c>
      <c r="B1261" s="5" t="str">
        <f ca="1">IFERROR(__xludf.DUMMYFUNCTION("""COMPUTED_VALUE"""),"Елшериф")</f>
        <v>Елшериф</v>
      </c>
      <c r="C1261" s="5" t="str">
        <f ca="1">IFERROR(__xludf.DUMMYFUNCTION("""COMPUTED_VALUE"""),"Али")</f>
        <v>Али</v>
      </c>
      <c r="D1261" s="5" t="str">
        <f ca="1">IFERROR(__xludf.DUMMYFUNCTION("""COMPUTED_VALUE"""),"Саад")</f>
        <v>Саад</v>
      </c>
      <c r="E1261" s="5"/>
      <c r="F1261" s="6"/>
      <c r="G1261" s="7" t="str">
        <f ca="1">IFERROR(__xludf.DUMMYFUNCTION("""COMPUTED_VALUE"""),"#N/A")</f>
        <v>#N/A</v>
      </c>
    </row>
    <row r="1262" spans="1:7" ht="13.2" x14ac:dyDescent="0.25">
      <c r="A1262" s="5">
        <f ca="1">IFERROR(__xludf.DUMMYFUNCTION("""COMPUTED_VALUE"""),361)</f>
        <v>361</v>
      </c>
      <c r="B1262" s="5" t="str">
        <f ca="1">IFERROR(__xludf.DUMMYFUNCTION("""COMPUTED_VALUE"""),"Ельников")</f>
        <v>Ельников</v>
      </c>
      <c r="C1262" s="5" t="str">
        <f ca="1">IFERROR(__xludf.DUMMYFUNCTION("""COMPUTED_VALUE"""),"Михаил")</f>
        <v>Михаил</v>
      </c>
      <c r="D1262" s="5" t="str">
        <f ca="1">IFERROR(__xludf.DUMMYFUNCTION("""COMPUTED_VALUE"""),"Юрьевич")</f>
        <v>Юрьевич</v>
      </c>
      <c r="E1262" s="5"/>
      <c r="F1262" s="6"/>
      <c r="G1262" s="7" t="str">
        <f ca="1">IFERROR(__xludf.DUMMYFUNCTION("""COMPUTED_VALUE"""),"#N/A")</f>
        <v>#N/A</v>
      </c>
    </row>
    <row r="1263" spans="1:7" ht="13.2" x14ac:dyDescent="0.25">
      <c r="A1263" s="5">
        <f ca="1">IFERROR(__xludf.DUMMYFUNCTION("""COMPUTED_VALUE"""),370)</f>
        <v>370</v>
      </c>
      <c r="B1263" s="5" t="str">
        <f ca="1">IFERROR(__xludf.DUMMYFUNCTION("""COMPUTED_VALUE"""),"Еремина")</f>
        <v>Еремина</v>
      </c>
      <c r="C1263" s="5" t="str">
        <f ca="1">IFERROR(__xludf.DUMMYFUNCTION("""COMPUTED_VALUE"""),"Ксения")</f>
        <v>Ксения</v>
      </c>
      <c r="D1263" s="5" t="str">
        <f ca="1">IFERROR(__xludf.DUMMYFUNCTION("""COMPUTED_VALUE"""),"Сергеевна")</f>
        <v>Сергеевна</v>
      </c>
      <c r="E1263" s="5"/>
      <c r="F1263" s="6"/>
      <c r="G1263" s="7" t="str">
        <f ca="1">IFERROR(__xludf.DUMMYFUNCTION("""COMPUTED_VALUE"""),"#N/A")</f>
        <v>#N/A</v>
      </c>
    </row>
    <row r="1264" spans="1:7" ht="13.2" x14ac:dyDescent="0.25">
      <c r="A1264" s="5">
        <f ca="1">IFERROR(__xludf.DUMMYFUNCTION("""COMPUTED_VALUE"""),371)</f>
        <v>371</v>
      </c>
      <c r="B1264" s="5" t="str">
        <f ca="1">IFERROR(__xludf.DUMMYFUNCTION("""COMPUTED_VALUE"""),"Еремина")</f>
        <v>Еремина</v>
      </c>
      <c r="C1264" s="5" t="str">
        <f ca="1">IFERROR(__xludf.DUMMYFUNCTION("""COMPUTED_VALUE"""),"Ирина")</f>
        <v>Ирина</v>
      </c>
      <c r="D1264" s="5" t="str">
        <f ca="1">IFERROR(__xludf.DUMMYFUNCTION("""COMPUTED_VALUE"""),"Вячеславовна")</f>
        <v>Вячеславовна</v>
      </c>
      <c r="E1264" s="5"/>
      <c r="F1264" s="6"/>
      <c r="G1264" s="7" t="str">
        <f ca="1">IFERROR(__xludf.DUMMYFUNCTION("""COMPUTED_VALUE"""),"#N/A")</f>
        <v>#N/A</v>
      </c>
    </row>
    <row r="1265" spans="1:7" ht="13.2" x14ac:dyDescent="0.25">
      <c r="A1265" s="5">
        <f ca="1">IFERROR(__xludf.DUMMYFUNCTION("""COMPUTED_VALUE"""),372)</f>
        <v>372</v>
      </c>
      <c r="B1265" s="5" t="str">
        <f ca="1">IFERROR(__xludf.DUMMYFUNCTION("""COMPUTED_VALUE"""),"Ермаков")</f>
        <v>Ермаков</v>
      </c>
      <c r="C1265" s="5" t="str">
        <f ca="1">IFERROR(__xludf.DUMMYFUNCTION("""COMPUTED_VALUE"""),"Никита")</f>
        <v>Никита</v>
      </c>
      <c r="D1265" s="5" t="str">
        <f ca="1">IFERROR(__xludf.DUMMYFUNCTION("""COMPUTED_VALUE"""),"Евгеньевич")</f>
        <v>Евгеньевич</v>
      </c>
      <c r="E1265" s="5"/>
      <c r="F1265" s="6"/>
      <c r="G1265" s="7" t="str">
        <f ca="1">IFERROR(__xludf.DUMMYFUNCTION("""COMPUTED_VALUE"""),"#N/A")</f>
        <v>#N/A</v>
      </c>
    </row>
    <row r="1266" spans="1:7" ht="13.2" x14ac:dyDescent="0.25">
      <c r="A1266" s="5">
        <f ca="1">IFERROR(__xludf.DUMMYFUNCTION("""COMPUTED_VALUE"""),386)</f>
        <v>386</v>
      </c>
      <c r="B1266" s="5" t="str">
        <f ca="1">IFERROR(__xludf.DUMMYFUNCTION("""COMPUTED_VALUE"""),"Жакеев")</f>
        <v>Жакеев</v>
      </c>
      <c r="C1266" s="5" t="str">
        <f ca="1">IFERROR(__xludf.DUMMYFUNCTION("""COMPUTED_VALUE"""),"Тимур")</f>
        <v>Тимур</v>
      </c>
      <c r="D1266" s="5" t="str">
        <f ca="1">IFERROR(__xludf.DUMMYFUNCTION("""COMPUTED_VALUE"""),"Жанбекович")</f>
        <v>Жанбекович</v>
      </c>
      <c r="E1266" s="5"/>
      <c r="F1266" s="6"/>
      <c r="G1266" s="7" t="str">
        <f ca="1">IFERROR(__xludf.DUMMYFUNCTION("""COMPUTED_VALUE"""),"#N/A")</f>
        <v>#N/A</v>
      </c>
    </row>
    <row r="1267" spans="1:7" ht="13.2" x14ac:dyDescent="0.25">
      <c r="A1267" s="5">
        <f ca="1">IFERROR(__xludf.DUMMYFUNCTION("""COMPUTED_VALUE"""),392)</f>
        <v>392</v>
      </c>
      <c r="B1267" s="5" t="str">
        <f ca="1">IFERROR(__xludf.DUMMYFUNCTION("""COMPUTED_VALUE"""),"Жизневский")</f>
        <v>Жизневский</v>
      </c>
      <c r="C1267" s="5" t="str">
        <f ca="1">IFERROR(__xludf.DUMMYFUNCTION("""COMPUTED_VALUE"""),"Андрей")</f>
        <v>Андрей</v>
      </c>
      <c r="D1267" s="5" t="str">
        <f ca="1">IFERROR(__xludf.DUMMYFUNCTION("""COMPUTED_VALUE"""),"Евгеньевич")</f>
        <v>Евгеньевич</v>
      </c>
      <c r="E1267" s="5"/>
      <c r="F1267" s="6"/>
      <c r="G1267" s="7" t="str">
        <f ca="1">IFERROR(__xludf.DUMMYFUNCTION("""COMPUTED_VALUE"""),"#N/A")</f>
        <v>#N/A</v>
      </c>
    </row>
    <row r="1268" spans="1:7" ht="13.2" x14ac:dyDescent="0.25">
      <c r="A1268" s="5">
        <f ca="1">IFERROR(__xludf.DUMMYFUNCTION("""COMPUTED_VALUE"""),398)</f>
        <v>398</v>
      </c>
      <c r="B1268" s="5" t="str">
        <f ca="1">IFERROR(__xludf.DUMMYFUNCTION("""COMPUTED_VALUE"""),"Заболотский")</f>
        <v>Заболотский</v>
      </c>
      <c r="C1268" s="5" t="str">
        <f ca="1">IFERROR(__xludf.DUMMYFUNCTION("""COMPUTED_VALUE"""),"Артём")</f>
        <v>Артём</v>
      </c>
      <c r="D1268" s="5" t="str">
        <f ca="1">IFERROR(__xludf.DUMMYFUNCTION("""COMPUTED_VALUE"""),"Эдуардович")</f>
        <v>Эдуардович</v>
      </c>
      <c r="E1268" s="5"/>
      <c r="F1268" s="6"/>
      <c r="G1268" s="7" t="str">
        <f ca="1">IFERROR(__xludf.DUMMYFUNCTION("""COMPUTED_VALUE"""),"#N/A")</f>
        <v>#N/A</v>
      </c>
    </row>
    <row r="1269" spans="1:7" ht="13.2" x14ac:dyDescent="0.25">
      <c r="A1269" s="5">
        <f ca="1">IFERROR(__xludf.DUMMYFUNCTION("""COMPUTED_VALUE"""),415)</f>
        <v>415</v>
      </c>
      <c r="B1269" s="5" t="str">
        <f ca="1">IFERROR(__xludf.DUMMYFUNCTION("""COMPUTED_VALUE"""),"Замараев")</f>
        <v>Замараев</v>
      </c>
      <c r="C1269" s="5" t="str">
        <f ca="1">IFERROR(__xludf.DUMMYFUNCTION("""COMPUTED_VALUE"""),"Максим")</f>
        <v>Максим</v>
      </c>
      <c r="D1269" s="5" t="str">
        <f ca="1">IFERROR(__xludf.DUMMYFUNCTION("""COMPUTED_VALUE"""),"Леонидович")</f>
        <v>Леонидович</v>
      </c>
      <c r="E1269" s="5"/>
      <c r="F1269" s="6"/>
      <c r="G1269" s="7" t="str">
        <f ca="1">IFERROR(__xludf.DUMMYFUNCTION("""COMPUTED_VALUE"""),"#N/A")</f>
        <v>#N/A</v>
      </c>
    </row>
    <row r="1270" spans="1:7" ht="13.2" x14ac:dyDescent="0.25">
      <c r="A1270" s="5">
        <f ca="1">IFERROR(__xludf.DUMMYFUNCTION("""COMPUTED_VALUE"""),425)</f>
        <v>425</v>
      </c>
      <c r="B1270" s="5" t="str">
        <f ca="1">IFERROR(__xludf.DUMMYFUNCTION("""COMPUTED_VALUE"""),"Зверев")</f>
        <v>Зверев</v>
      </c>
      <c r="C1270" s="5" t="str">
        <f ca="1">IFERROR(__xludf.DUMMYFUNCTION("""COMPUTED_VALUE"""),"Александр")</f>
        <v>Александр</v>
      </c>
      <c r="D1270" s="5" t="str">
        <f ca="1">IFERROR(__xludf.DUMMYFUNCTION("""COMPUTED_VALUE"""),"Андреевич")</f>
        <v>Андреевич</v>
      </c>
      <c r="E1270" s="5"/>
      <c r="F1270" s="6"/>
      <c r="G1270" s="7" t="str">
        <f ca="1">IFERROR(__xludf.DUMMYFUNCTION("""COMPUTED_VALUE"""),"#N/A")</f>
        <v>#N/A</v>
      </c>
    </row>
    <row r="1271" spans="1:7" ht="13.2" x14ac:dyDescent="0.25">
      <c r="A1271" s="5">
        <f ca="1">IFERROR(__xludf.DUMMYFUNCTION("""COMPUTED_VALUE"""),433)</f>
        <v>433</v>
      </c>
      <c r="B1271" s="5" t="str">
        <f ca="1">IFERROR(__xludf.DUMMYFUNCTION("""COMPUTED_VALUE"""),"Зернюков")</f>
        <v>Зернюков</v>
      </c>
      <c r="C1271" s="5" t="str">
        <f ca="1">IFERROR(__xludf.DUMMYFUNCTION("""COMPUTED_VALUE"""),"Никита")</f>
        <v>Никита</v>
      </c>
      <c r="D1271" s="5" t="str">
        <f ca="1">IFERROR(__xludf.DUMMYFUNCTION("""COMPUTED_VALUE"""),"Андреевич")</f>
        <v>Андреевич</v>
      </c>
      <c r="E1271" s="5"/>
      <c r="F1271" s="6"/>
      <c r="G1271" s="7" t="str">
        <f ca="1">IFERROR(__xludf.DUMMYFUNCTION("""COMPUTED_VALUE"""),"#N/A")</f>
        <v>#N/A</v>
      </c>
    </row>
    <row r="1272" spans="1:7" ht="13.2" x14ac:dyDescent="0.25">
      <c r="A1272" s="5">
        <f ca="1">IFERROR(__xludf.DUMMYFUNCTION("""COMPUTED_VALUE"""),438)</f>
        <v>438</v>
      </c>
      <c r="B1272" s="5" t="str">
        <f ca="1">IFERROR(__xludf.DUMMYFUNCTION("""COMPUTED_VALUE"""),"Зотов")</f>
        <v>Зотов</v>
      </c>
      <c r="C1272" s="5" t="str">
        <f ca="1">IFERROR(__xludf.DUMMYFUNCTION("""COMPUTED_VALUE"""),"Данила")</f>
        <v>Данила</v>
      </c>
      <c r="D1272" s="5" t="str">
        <f ca="1">IFERROR(__xludf.DUMMYFUNCTION("""COMPUTED_VALUE"""),"Ильич")</f>
        <v>Ильич</v>
      </c>
      <c r="E1272" s="5"/>
      <c r="F1272" s="6"/>
      <c r="G1272" s="7" t="str">
        <f ca="1">IFERROR(__xludf.DUMMYFUNCTION("""COMPUTED_VALUE"""),"#N/A")</f>
        <v>#N/A</v>
      </c>
    </row>
    <row r="1273" spans="1:7" ht="13.2" x14ac:dyDescent="0.25">
      <c r="A1273" s="5">
        <f ca="1">IFERROR(__xludf.DUMMYFUNCTION("""COMPUTED_VALUE"""),447)</f>
        <v>447</v>
      </c>
      <c r="B1273" s="5" t="str">
        <f ca="1">IFERROR(__xludf.DUMMYFUNCTION("""COMPUTED_VALUE"""),"Ибрахим")</f>
        <v>Ибрахим</v>
      </c>
      <c r="C1273" s="5" t="str">
        <f ca="1">IFERROR(__xludf.DUMMYFUNCTION("""COMPUTED_VALUE"""),"Сеифелдин")</f>
        <v>Сеифелдин</v>
      </c>
      <c r="D1273" s="5" t="str">
        <f ca="1">IFERROR(__xludf.DUMMYFUNCTION("""COMPUTED_VALUE"""),"Шериф")</f>
        <v>Шериф</v>
      </c>
      <c r="E1273" s="5"/>
      <c r="F1273" s="6"/>
      <c r="G1273" s="7" t="str">
        <f ca="1">IFERROR(__xludf.DUMMYFUNCTION("""COMPUTED_VALUE"""),"#N/A")</f>
        <v>#N/A</v>
      </c>
    </row>
    <row r="1274" spans="1:7" ht="13.2" x14ac:dyDescent="0.25">
      <c r="A1274" s="5">
        <f ca="1">IFERROR(__xludf.DUMMYFUNCTION("""COMPUTED_VALUE"""),448)</f>
        <v>448</v>
      </c>
      <c r="B1274" s="5" t="str">
        <f ca="1">IFERROR(__xludf.DUMMYFUNCTION("""COMPUTED_VALUE"""),"Ибрахим")</f>
        <v>Ибрахим</v>
      </c>
      <c r="C1274" s="5" t="str">
        <f ca="1">IFERROR(__xludf.DUMMYFUNCTION("""COMPUTED_VALUE"""),"Ахмед")</f>
        <v>Ахмед</v>
      </c>
      <c r="D1274" s="5" t="str">
        <f ca="1">IFERROR(__xludf.DUMMYFUNCTION("""COMPUTED_VALUE"""),"Сами")</f>
        <v>Сами</v>
      </c>
      <c r="E1274" s="5"/>
      <c r="F1274" s="6"/>
      <c r="G1274" s="7" t="str">
        <f ca="1">IFERROR(__xludf.DUMMYFUNCTION("""COMPUTED_VALUE"""),"#N/A")</f>
        <v>#N/A</v>
      </c>
    </row>
    <row r="1275" spans="1:7" ht="13.2" x14ac:dyDescent="0.25">
      <c r="A1275" s="5">
        <f ca="1">IFERROR(__xludf.DUMMYFUNCTION("""COMPUTED_VALUE"""),450)</f>
        <v>450</v>
      </c>
      <c r="B1275" s="5" t="str">
        <f ca="1">IFERROR(__xludf.DUMMYFUNCTION("""COMPUTED_VALUE"""),"Иванов")</f>
        <v>Иванов</v>
      </c>
      <c r="C1275" s="5" t="str">
        <f ca="1">IFERROR(__xludf.DUMMYFUNCTION("""COMPUTED_VALUE"""),"Пётр")</f>
        <v>Пётр</v>
      </c>
      <c r="D1275" s="5" t="str">
        <f ca="1">IFERROR(__xludf.DUMMYFUNCTION("""COMPUTED_VALUE"""),"Алексеевич")</f>
        <v>Алексеевич</v>
      </c>
      <c r="E1275" s="5"/>
      <c r="F1275" s="6"/>
      <c r="G1275" s="7" t="str">
        <f ca="1">IFERROR(__xludf.DUMMYFUNCTION("""COMPUTED_VALUE"""),"#N/A")</f>
        <v>#N/A</v>
      </c>
    </row>
    <row r="1276" spans="1:7" ht="13.2" x14ac:dyDescent="0.25">
      <c r="A1276" s="5">
        <f ca="1">IFERROR(__xludf.DUMMYFUNCTION("""COMPUTED_VALUE"""),468)</f>
        <v>468</v>
      </c>
      <c r="B1276" s="5" t="str">
        <f ca="1">IFERROR(__xludf.DUMMYFUNCTION("""COMPUTED_VALUE"""),"Йолчуев")</f>
        <v>Йолчуев</v>
      </c>
      <c r="C1276" s="5" t="str">
        <f ca="1">IFERROR(__xludf.DUMMYFUNCTION("""COMPUTED_VALUE"""),"Анар")</f>
        <v>Анар</v>
      </c>
      <c r="D1276" s="5" t="str">
        <f ca="1">IFERROR(__xludf.DUMMYFUNCTION("""COMPUTED_VALUE"""),"Рустам-оглы")</f>
        <v>Рустам-оглы</v>
      </c>
      <c r="E1276" s="5"/>
      <c r="F1276" s="6"/>
      <c r="G1276" s="7" t="str">
        <f ca="1">IFERROR(__xludf.DUMMYFUNCTION("""COMPUTED_VALUE"""),"#N/A")</f>
        <v>#N/A</v>
      </c>
    </row>
    <row r="1277" spans="1:7" ht="13.2" x14ac:dyDescent="0.25">
      <c r="A1277" s="5">
        <f ca="1">IFERROR(__xludf.DUMMYFUNCTION("""COMPUTED_VALUE"""),471)</f>
        <v>471</v>
      </c>
      <c r="B1277" s="5" t="str">
        <f ca="1">IFERROR(__xludf.DUMMYFUNCTION("""COMPUTED_VALUE"""),"Исаков")</f>
        <v>Исаков</v>
      </c>
      <c r="C1277" s="5" t="str">
        <f ca="1">IFERROR(__xludf.DUMMYFUNCTION("""COMPUTED_VALUE"""),"Александр")</f>
        <v>Александр</v>
      </c>
      <c r="D1277" s="5" t="str">
        <f ca="1">IFERROR(__xludf.DUMMYFUNCTION("""COMPUTED_VALUE"""),"Андреевич")</f>
        <v>Андреевич</v>
      </c>
      <c r="E1277" s="5"/>
      <c r="F1277" s="6"/>
      <c r="G1277" s="7" t="str">
        <f ca="1">IFERROR(__xludf.DUMMYFUNCTION("""COMPUTED_VALUE"""),"#N/A")</f>
        <v>#N/A</v>
      </c>
    </row>
    <row r="1278" spans="1:7" ht="13.2" x14ac:dyDescent="0.25">
      <c r="A1278" s="5">
        <f ca="1">IFERROR(__xludf.DUMMYFUNCTION("""COMPUTED_VALUE"""),475)</f>
        <v>475</v>
      </c>
      <c r="B1278" s="5" t="str">
        <f ca="1">IFERROR(__xludf.DUMMYFUNCTION("""COMPUTED_VALUE"""),"Исмухамедова")</f>
        <v>Исмухамедова</v>
      </c>
      <c r="C1278" s="5" t="str">
        <f ca="1">IFERROR(__xludf.DUMMYFUNCTION("""COMPUTED_VALUE"""),"Дана")</f>
        <v>Дана</v>
      </c>
      <c r="D1278" s="5" t="str">
        <f ca="1">IFERROR(__xludf.DUMMYFUNCTION("""COMPUTED_VALUE"""),"Ерулановна")</f>
        <v>Ерулановна</v>
      </c>
      <c r="E1278" s="5"/>
      <c r="F1278" s="6"/>
      <c r="G1278" s="7" t="str">
        <f ca="1">IFERROR(__xludf.DUMMYFUNCTION("""COMPUTED_VALUE"""),"#N/A")</f>
        <v>#N/A</v>
      </c>
    </row>
    <row r="1279" spans="1:7" ht="13.2" x14ac:dyDescent="0.25">
      <c r="A1279" s="5">
        <f ca="1">IFERROR(__xludf.DUMMYFUNCTION("""COMPUTED_VALUE"""),478)</f>
        <v>478</v>
      </c>
      <c r="B1279" s="5" t="str">
        <f ca="1">IFERROR(__xludf.DUMMYFUNCTION("""COMPUTED_VALUE"""),"Каан")</f>
        <v>Каан</v>
      </c>
      <c r="C1279" s="5" t="str">
        <f ca="1">IFERROR(__xludf.DUMMYFUNCTION("""COMPUTED_VALUE"""),"Догухан")</f>
        <v>Догухан</v>
      </c>
      <c r="D1279" s="5"/>
      <c r="E1279" s="5"/>
      <c r="F1279" s="6"/>
      <c r="G1279" s="7" t="str">
        <f ca="1">IFERROR(__xludf.DUMMYFUNCTION("""COMPUTED_VALUE"""),"#N/A")</f>
        <v>#N/A</v>
      </c>
    </row>
    <row r="1280" spans="1:7" ht="13.2" x14ac:dyDescent="0.25">
      <c r="A1280" s="5">
        <f ca="1">IFERROR(__xludf.DUMMYFUNCTION("""COMPUTED_VALUE"""),491)</f>
        <v>491</v>
      </c>
      <c r="B1280" s="5" t="str">
        <f ca="1">IFERROR(__xludf.DUMMYFUNCTION("""COMPUTED_VALUE"""),"Карабин")</f>
        <v>Карабин</v>
      </c>
      <c r="C1280" s="5" t="str">
        <f ca="1">IFERROR(__xludf.DUMMYFUNCTION("""COMPUTED_VALUE"""),"Андрей")</f>
        <v>Андрей</v>
      </c>
      <c r="D1280" s="5" t="str">
        <f ca="1">IFERROR(__xludf.DUMMYFUNCTION("""COMPUTED_VALUE"""),"Аркадьевич")</f>
        <v>Аркадьевич</v>
      </c>
      <c r="E1280" s="5"/>
      <c r="F1280" s="6"/>
      <c r="G1280" s="7" t="str">
        <f ca="1">IFERROR(__xludf.DUMMYFUNCTION("""COMPUTED_VALUE"""),"#N/A")</f>
        <v>#N/A</v>
      </c>
    </row>
    <row r="1281" spans="1:7" ht="13.2" x14ac:dyDescent="0.25">
      <c r="A1281" s="5">
        <f ca="1">IFERROR(__xludf.DUMMYFUNCTION("""COMPUTED_VALUE"""),492)</f>
        <v>492</v>
      </c>
      <c r="B1281" s="5" t="str">
        <f ca="1">IFERROR(__xludf.DUMMYFUNCTION("""COMPUTED_VALUE"""),"Караваев")</f>
        <v>Караваев</v>
      </c>
      <c r="C1281" s="5" t="str">
        <f ca="1">IFERROR(__xludf.DUMMYFUNCTION("""COMPUTED_VALUE"""),"Олег")</f>
        <v>Олег</v>
      </c>
      <c r="D1281" s="5" t="str">
        <f ca="1">IFERROR(__xludf.DUMMYFUNCTION("""COMPUTED_VALUE"""),"Владимирович")</f>
        <v>Владимирович</v>
      </c>
      <c r="E1281" s="5"/>
      <c r="F1281" s="6"/>
      <c r="G1281" s="7" t="str">
        <f ca="1">IFERROR(__xludf.DUMMYFUNCTION("""COMPUTED_VALUE"""),"#N/A")</f>
        <v>#N/A</v>
      </c>
    </row>
    <row r="1282" spans="1:7" ht="13.2" x14ac:dyDescent="0.25">
      <c r="A1282" s="5">
        <f ca="1">IFERROR(__xludf.DUMMYFUNCTION("""COMPUTED_VALUE"""),501)</f>
        <v>501</v>
      </c>
      <c r="B1282" s="5" t="str">
        <f ca="1">IFERROR(__xludf.DUMMYFUNCTION("""COMPUTED_VALUE"""),"Катеренчук")</f>
        <v>Катеренчук</v>
      </c>
      <c r="C1282" s="5" t="str">
        <f ca="1">IFERROR(__xludf.DUMMYFUNCTION("""COMPUTED_VALUE"""),"Ярослав")</f>
        <v>Ярослав</v>
      </c>
      <c r="D1282" s="5" t="str">
        <f ca="1">IFERROR(__xludf.DUMMYFUNCTION("""COMPUTED_VALUE"""),"Сергеевич")</f>
        <v>Сергеевич</v>
      </c>
      <c r="E1282" s="5"/>
      <c r="F1282" s="6"/>
      <c r="G1282" s="7" t="str">
        <f ca="1">IFERROR(__xludf.DUMMYFUNCTION("""COMPUTED_VALUE"""),"#N/A")</f>
        <v>#N/A</v>
      </c>
    </row>
    <row r="1283" spans="1:7" ht="13.2" x14ac:dyDescent="0.25">
      <c r="A1283" s="5">
        <f ca="1">IFERROR(__xludf.DUMMYFUNCTION("""COMPUTED_VALUE"""),509)</f>
        <v>509</v>
      </c>
      <c r="B1283" s="5" t="str">
        <f ca="1">IFERROR(__xludf.DUMMYFUNCTION("""COMPUTED_VALUE"""),"Ким")</f>
        <v>Ким</v>
      </c>
      <c r="C1283" s="5" t="str">
        <f ca="1">IFERROR(__xludf.DUMMYFUNCTION("""COMPUTED_VALUE"""),"Юлия")</f>
        <v>Юлия</v>
      </c>
      <c r="D1283" s="5" t="str">
        <f ca="1">IFERROR(__xludf.DUMMYFUNCTION("""COMPUTED_VALUE"""),"Евгеньевна")</f>
        <v>Евгеньевна</v>
      </c>
      <c r="E1283" s="5"/>
      <c r="F1283" s="6"/>
      <c r="G1283" s="7" t="str">
        <f ca="1">IFERROR(__xludf.DUMMYFUNCTION("""COMPUTED_VALUE"""),"#N/A")</f>
        <v>#N/A</v>
      </c>
    </row>
    <row r="1284" spans="1:7" ht="13.2" x14ac:dyDescent="0.25">
      <c r="A1284" s="5">
        <f ca="1">IFERROR(__xludf.DUMMYFUNCTION("""COMPUTED_VALUE"""),513)</f>
        <v>513</v>
      </c>
      <c r="B1284" s="5" t="str">
        <f ca="1">IFERROR(__xludf.DUMMYFUNCTION("""COMPUTED_VALUE"""),"Кириллов")</f>
        <v>Кириллов</v>
      </c>
      <c r="C1284" s="5" t="str">
        <f ca="1">IFERROR(__xludf.DUMMYFUNCTION("""COMPUTED_VALUE"""),"Владислав")</f>
        <v>Владислав</v>
      </c>
      <c r="D1284" s="5" t="str">
        <f ca="1">IFERROR(__xludf.DUMMYFUNCTION("""COMPUTED_VALUE"""),"Александрович")</f>
        <v>Александрович</v>
      </c>
      <c r="E1284" s="5"/>
      <c r="F1284" s="6"/>
      <c r="G1284" s="7" t="str">
        <f ca="1">IFERROR(__xludf.DUMMYFUNCTION("""COMPUTED_VALUE"""),"#N/A")</f>
        <v>#N/A</v>
      </c>
    </row>
    <row r="1285" spans="1:7" ht="13.2" x14ac:dyDescent="0.25">
      <c r="A1285" s="5">
        <f ca="1">IFERROR(__xludf.DUMMYFUNCTION("""COMPUTED_VALUE"""),521)</f>
        <v>521</v>
      </c>
      <c r="B1285" s="5" t="str">
        <f ca="1">IFERROR(__xludf.DUMMYFUNCTION("""COMPUTED_VALUE"""),"Климов")</f>
        <v>Климов</v>
      </c>
      <c r="C1285" s="5" t="str">
        <f ca="1">IFERROR(__xludf.DUMMYFUNCTION("""COMPUTED_VALUE"""),"Артем")</f>
        <v>Артем</v>
      </c>
      <c r="D1285" s="5" t="str">
        <f ca="1">IFERROR(__xludf.DUMMYFUNCTION("""COMPUTED_VALUE"""),"Максимович")</f>
        <v>Максимович</v>
      </c>
      <c r="E1285" s="5"/>
      <c r="F1285" s="6"/>
      <c r="G1285" s="7" t="str">
        <f ca="1">IFERROR(__xludf.DUMMYFUNCTION("""COMPUTED_VALUE"""),"#N/A")</f>
        <v>#N/A</v>
      </c>
    </row>
    <row r="1286" spans="1:7" ht="13.2" x14ac:dyDescent="0.25">
      <c r="A1286" s="5">
        <f ca="1">IFERROR(__xludf.DUMMYFUNCTION("""COMPUTED_VALUE"""),524)</f>
        <v>524</v>
      </c>
      <c r="B1286" s="5" t="str">
        <f ca="1">IFERROR(__xludf.DUMMYFUNCTION("""COMPUTED_VALUE"""),"Клюев")</f>
        <v>Клюев</v>
      </c>
      <c r="C1286" s="5" t="str">
        <f ca="1">IFERROR(__xludf.DUMMYFUNCTION("""COMPUTED_VALUE"""),"Данил")</f>
        <v>Данил</v>
      </c>
      <c r="D1286" s="5" t="str">
        <f ca="1">IFERROR(__xludf.DUMMYFUNCTION("""COMPUTED_VALUE"""),"Евгеньевич")</f>
        <v>Евгеньевич</v>
      </c>
      <c r="E1286" s="5"/>
      <c r="F1286" s="6"/>
      <c r="G1286" s="7" t="str">
        <f ca="1">IFERROR(__xludf.DUMMYFUNCTION("""COMPUTED_VALUE"""),"#N/A")</f>
        <v>#N/A</v>
      </c>
    </row>
    <row r="1287" spans="1:7" ht="13.2" x14ac:dyDescent="0.25">
      <c r="A1287" s="5">
        <f ca="1">IFERROR(__xludf.DUMMYFUNCTION("""COMPUTED_VALUE"""),530)</f>
        <v>530</v>
      </c>
      <c r="B1287" s="5" t="str">
        <f ca="1">IFERROR(__xludf.DUMMYFUNCTION("""COMPUTED_VALUE"""),"Князева")</f>
        <v>Князева</v>
      </c>
      <c r="C1287" s="5" t="str">
        <f ca="1">IFERROR(__xludf.DUMMYFUNCTION("""COMPUTED_VALUE"""),"Ангелина")</f>
        <v>Ангелина</v>
      </c>
      <c r="D1287" s="5" t="str">
        <f ca="1">IFERROR(__xludf.DUMMYFUNCTION("""COMPUTED_VALUE"""),"Игоревна")</f>
        <v>Игоревна</v>
      </c>
      <c r="E1287" s="5"/>
      <c r="F1287" s="6"/>
      <c r="G1287" s="7" t="str">
        <f ca="1">IFERROR(__xludf.DUMMYFUNCTION("""COMPUTED_VALUE"""),"#N/A")</f>
        <v>#N/A</v>
      </c>
    </row>
    <row r="1288" spans="1:7" ht="13.2" x14ac:dyDescent="0.25">
      <c r="A1288" s="5">
        <f ca="1">IFERROR(__xludf.DUMMYFUNCTION("""COMPUTED_VALUE"""),540)</f>
        <v>540</v>
      </c>
      <c r="B1288" s="5" t="str">
        <f ca="1">IFERROR(__xludf.DUMMYFUNCTION("""COMPUTED_VALUE"""),"Кожевников")</f>
        <v>Кожевников</v>
      </c>
      <c r="C1288" s="5" t="str">
        <f ca="1">IFERROR(__xludf.DUMMYFUNCTION("""COMPUTED_VALUE"""),"Александр")</f>
        <v>Александр</v>
      </c>
      <c r="D1288" s="5" t="str">
        <f ca="1">IFERROR(__xludf.DUMMYFUNCTION("""COMPUTED_VALUE"""),"Юрьевич")</f>
        <v>Юрьевич</v>
      </c>
      <c r="E1288" s="5"/>
      <c r="F1288" s="6"/>
      <c r="G1288" s="7" t="str">
        <f ca="1">IFERROR(__xludf.DUMMYFUNCTION("""COMPUTED_VALUE"""),"#N/A")</f>
        <v>#N/A</v>
      </c>
    </row>
    <row r="1289" spans="1:7" ht="13.2" x14ac:dyDescent="0.25">
      <c r="A1289" s="5">
        <f ca="1">IFERROR(__xludf.DUMMYFUNCTION("""COMPUTED_VALUE"""),547)</f>
        <v>547</v>
      </c>
      <c r="B1289" s="5" t="str">
        <f ca="1">IFERROR(__xludf.DUMMYFUNCTION("""COMPUTED_VALUE"""),"Колбин")</f>
        <v>Колбин</v>
      </c>
      <c r="C1289" s="5" t="str">
        <f ca="1">IFERROR(__xludf.DUMMYFUNCTION("""COMPUTED_VALUE"""),"Егор")</f>
        <v>Егор</v>
      </c>
      <c r="D1289" s="5" t="str">
        <f ca="1">IFERROR(__xludf.DUMMYFUNCTION("""COMPUTED_VALUE"""),"Алексеевич")</f>
        <v>Алексеевич</v>
      </c>
      <c r="E1289" s="5"/>
      <c r="F1289" s="6"/>
      <c r="G1289" s="7" t="str">
        <f ca="1">IFERROR(__xludf.DUMMYFUNCTION("""COMPUTED_VALUE"""),"#N/A")</f>
        <v>#N/A</v>
      </c>
    </row>
    <row r="1290" spans="1:7" ht="13.2" x14ac:dyDescent="0.25">
      <c r="A1290" s="5">
        <f ca="1">IFERROR(__xludf.DUMMYFUNCTION("""COMPUTED_VALUE"""),549)</f>
        <v>549</v>
      </c>
      <c r="B1290" s="5" t="str">
        <f ca="1">IFERROR(__xludf.DUMMYFUNCTION("""COMPUTED_VALUE"""),"Колесникова")</f>
        <v>Колесникова</v>
      </c>
      <c r="C1290" s="5" t="str">
        <f ca="1">IFERROR(__xludf.DUMMYFUNCTION("""COMPUTED_VALUE"""),"Алёна")</f>
        <v>Алёна</v>
      </c>
      <c r="D1290" s="5" t="str">
        <f ca="1">IFERROR(__xludf.DUMMYFUNCTION("""COMPUTED_VALUE"""),"Евгеньевна")</f>
        <v>Евгеньевна</v>
      </c>
      <c r="E1290" s="5"/>
      <c r="F1290" s="6"/>
      <c r="G1290" s="7" t="str">
        <f ca="1">IFERROR(__xludf.DUMMYFUNCTION("""COMPUTED_VALUE"""),"#N/A")</f>
        <v>#N/A</v>
      </c>
    </row>
    <row r="1291" spans="1:7" ht="13.2" x14ac:dyDescent="0.25">
      <c r="A1291" s="5">
        <f ca="1">IFERROR(__xludf.DUMMYFUNCTION("""COMPUTED_VALUE"""),561)</f>
        <v>561</v>
      </c>
      <c r="B1291" s="5" t="str">
        <f ca="1">IFERROR(__xludf.DUMMYFUNCTION("""COMPUTED_VALUE"""),"Комаров")</f>
        <v>Комаров</v>
      </c>
      <c r="C1291" s="5" t="str">
        <f ca="1">IFERROR(__xludf.DUMMYFUNCTION("""COMPUTED_VALUE"""),"Ярослав")</f>
        <v>Ярослав</v>
      </c>
      <c r="D1291" s="5" t="str">
        <f ca="1">IFERROR(__xludf.DUMMYFUNCTION("""COMPUTED_VALUE"""),"Игоревич")</f>
        <v>Игоревич</v>
      </c>
      <c r="E1291" s="5"/>
      <c r="F1291" s="6"/>
      <c r="G1291" s="7" t="str">
        <f ca="1">IFERROR(__xludf.DUMMYFUNCTION("""COMPUTED_VALUE"""),"#N/A")</f>
        <v>#N/A</v>
      </c>
    </row>
    <row r="1292" spans="1:7" ht="13.2" x14ac:dyDescent="0.25">
      <c r="A1292" s="5">
        <f ca="1">IFERROR(__xludf.DUMMYFUNCTION("""COMPUTED_VALUE"""),573)</f>
        <v>573</v>
      </c>
      <c r="B1292" s="5" t="str">
        <f ca="1">IFERROR(__xludf.DUMMYFUNCTION("""COMPUTED_VALUE"""),"Коньков")</f>
        <v>Коньков</v>
      </c>
      <c r="C1292" s="5" t="str">
        <f ca="1">IFERROR(__xludf.DUMMYFUNCTION("""COMPUTED_VALUE"""),"Владислав")</f>
        <v>Владислав</v>
      </c>
      <c r="D1292" s="5" t="str">
        <f ca="1">IFERROR(__xludf.DUMMYFUNCTION("""COMPUTED_VALUE"""),"Александрович")</f>
        <v>Александрович</v>
      </c>
      <c r="E1292" s="5"/>
      <c r="F1292" s="6"/>
      <c r="G1292" s="7" t="str">
        <f ca="1">IFERROR(__xludf.DUMMYFUNCTION("""COMPUTED_VALUE"""),"#N/A")</f>
        <v>#N/A</v>
      </c>
    </row>
    <row r="1293" spans="1:7" ht="13.2" x14ac:dyDescent="0.25">
      <c r="A1293" s="5">
        <f ca="1">IFERROR(__xludf.DUMMYFUNCTION("""COMPUTED_VALUE"""),586)</f>
        <v>586</v>
      </c>
      <c r="B1293" s="5" t="str">
        <f ca="1">IFERROR(__xludf.DUMMYFUNCTION("""COMPUTED_VALUE"""),"Коробков")</f>
        <v>Коробков</v>
      </c>
      <c r="C1293" s="5" t="str">
        <f ca="1">IFERROR(__xludf.DUMMYFUNCTION("""COMPUTED_VALUE"""),"Роман")</f>
        <v>Роман</v>
      </c>
      <c r="D1293" s="5" t="str">
        <f ca="1">IFERROR(__xludf.DUMMYFUNCTION("""COMPUTED_VALUE"""),"Ильич")</f>
        <v>Ильич</v>
      </c>
      <c r="E1293" s="5"/>
      <c r="F1293" s="6"/>
      <c r="G1293" s="7" t="str">
        <f ca="1">IFERROR(__xludf.DUMMYFUNCTION("""COMPUTED_VALUE"""),"#N/A")</f>
        <v>#N/A</v>
      </c>
    </row>
    <row r="1294" spans="1:7" ht="13.2" x14ac:dyDescent="0.25">
      <c r="A1294" s="5">
        <f ca="1">IFERROR(__xludf.DUMMYFUNCTION("""COMPUTED_VALUE"""),594)</f>
        <v>594</v>
      </c>
      <c r="B1294" s="5" t="str">
        <f ca="1">IFERROR(__xludf.DUMMYFUNCTION("""COMPUTED_VALUE"""),"Костровский")</f>
        <v>Костровский</v>
      </c>
      <c r="C1294" s="5" t="str">
        <f ca="1">IFERROR(__xludf.DUMMYFUNCTION("""COMPUTED_VALUE"""),"Александр")</f>
        <v>Александр</v>
      </c>
      <c r="D1294" s="5" t="str">
        <f ca="1">IFERROR(__xludf.DUMMYFUNCTION("""COMPUTED_VALUE"""),"Владимирович")</f>
        <v>Владимирович</v>
      </c>
      <c r="E1294" s="5"/>
      <c r="F1294" s="6"/>
      <c r="G1294" s="7" t="str">
        <f ca="1">IFERROR(__xludf.DUMMYFUNCTION("""COMPUTED_VALUE"""),"#N/A")</f>
        <v>#N/A</v>
      </c>
    </row>
    <row r="1295" spans="1:7" ht="13.2" x14ac:dyDescent="0.25">
      <c r="A1295" s="5">
        <f ca="1">IFERROR(__xludf.DUMMYFUNCTION("""COMPUTED_VALUE"""),600)</f>
        <v>600</v>
      </c>
      <c r="B1295" s="5" t="str">
        <f ca="1">IFERROR(__xludf.DUMMYFUNCTION("""COMPUTED_VALUE"""),"Кочарян")</f>
        <v>Кочарян</v>
      </c>
      <c r="C1295" s="5" t="str">
        <f ca="1">IFERROR(__xludf.DUMMYFUNCTION("""COMPUTED_VALUE"""),"Григорий")</f>
        <v>Григорий</v>
      </c>
      <c r="D1295" s="5" t="str">
        <f ca="1">IFERROR(__xludf.DUMMYFUNCTION("""COMPUTED_VALUE"""),"Рустамович")</f>
        <v>Рустамович</v>
      </c>
      <c r="E1295" s="5"/>
      <c r="F1295" s="6"/>
      <c r="G1295" s="7" t="str">
        <f ca="1">IFERROR(__xludf.DUMMYFUNCTION("""COMPUTED_VALUE"""),"#N/A")</f>
        <v>#N/A</v>
      </c>
    </row>
    <row r="1296" spans="1:7" ht="13.2" x14ac:dyDescent="0.25">
      <c r="A1296" s="5">
        <f ca="1">IFERROR(__xludf.DUMMYFUNCTION("""COMPUTED_VALUE"""),604)</f>
        <v>604</v>
      </c>
      <c r="B1296" s="5" t="str">
        <f ca="1">IFERROR(__xludf.DUMMYFUNCTION("""COMPUTED_VALUE"""),"Кошкарев")</f>
        <v>Кошкарев</v>
      </c>
      <c r="C1296" s="5" t="str">
        <f ca="1">IFERROR(__xludf.DUMMYFUNCTION("""COMPUTED_VALUE"""),"Иван")</f>
        <v>Иван</v>
      </c>
      <c r="D1296" s="5" t="str">
        <f ca="1">IFERROR(__xludf.DUMMYFUNCTION("""COMPUTED_VALUE"""),"Алексеевич")</f>
        <v>Алексеевич</v>
      </c>
      <c r="E1296" s="5"/>
      <c r="F1296" s="6"/>
      <c r="G1296" s="7" t="str">
        <f ca="1">IFERROR(__xludf.DUMMYFUNCTION("""COMPUTED_VALUE"""),"#N/A")</f>
        <v>#N/A</v>
      </c>
    </row>
    <row r="1297" spans="1:7" ht="13.2" x14ac:dyDescent="0.25">
      <c r="A1297" s="5">
        <f ca="1">IFERROR(__xludf.DUMMYFUNCTION("""COMPUTED_VALUE"""),612)</f>
        <v>612</v>
      </c>
      <c r="B1297" s="5" t="str">
        <f ca="1">IFERROR(__xludf.DUMMYFUNCTION("""COMPUTED_VALUE"""),"Кривоногов")</f>
        <v>Кривоногов</v>
      </c>
      <c r="C1297" s="5" t="str">
        <f ca="1">IFERROR(__xludf.DUMMYFUNCTION("""COMPUTED_VALUE"""),"Роман")</f>
        <v>Роман</v>
      </c>
      <c r="D1297" s="5" t="str">
        <f ca="1">IFERROR(__xludf.DUMMYFUNCTION("""COMPUTED_VALUE"""),"Алексеевич")</f>
        <v>Алексеевич</v>
      </c>
      <c r="E1297" s="5"/>
      <c r="F1297" s="6"/>
      <c r="G1297" s="7" t="str">
        <f ca="1">IFERROR(__xludf.DUMMYFUNCTION("""COMPUTED_VALUE"""),"#N/A")</f>
        <v>#N/A</v>
      </c>
    </row>
    <row r="1298" spans="1:7" ht="13.2" x14ac:dyDescent="0.25">
      <c r="A1298" s="5">
        <f ca="1">IFERROR(__xludf.DUMMYFUNCTION("""COMPUTED_VALUE"""),631)</f>
        <v>631</v>
      </c>
      <c r="B1298" s="5" t="str">
        <f ca="1">IFERROR(__xludf.DUMMYFUNCTION("""COMPUTED_VALUE"""),"Кузьминых")</f>
        <v>Кузьминых</v>
      </c>
      <c r="C1298" s="5" t="str">
        <f ca="1">IFERROR(__xludf.DUMMYFUNCTION("""COMPUTED_VALUE"""),"Кирилл")</f>
        <v>Кирилл</v>
      </c>
      <c r="D1298" s="5" t="str">
        <f ca="1">IFERROR(__xludf.DUMMYFUNCTION("""COMPUTED_VALUE"""),"Алексеевич")</f>
        <v>Алексеевич</v>
      </c>
      <c r="E1298" s="5"/>
      <c r="F1298" s="6"/>
      <c r="G1298" s="7" t="str">
        <f ca="1">IFERROR(__xludf.DUMMYFUNCTION("""COMPUTED_VALUE"""),"#N/A")</f>
        <v>#N/A</v>
      </c>
    </row>
    <row r="1299" spans="1:7" ht="13.2" x14ac:dyDescent="0.25">
      <c r="A1299" s="5">
        <f ca="1">IFERROR(__xludf.DUMMYFUNCTION("""COMPUTED_VALUE"""),632)</f>
        <v>632</v>
      </c>
      <c r="B1299" s="5" t="str">
        <f ca="1">IFERROR(__xludf.DUMMYFUNCTION("""COMPUTED_VALUE"""),"Кузьминых")</f>
        <v>Кузьминых</v>
      </c>
      <c r="C1299" s="5" t="str">
        <f ca="1">IFERROR(__xludf.DUMMYFUNCTION("""COMPUTED_VALUE"""),"Егор")</f>
        <v>Егор</v>
      </c>
      <c r="D1299" s="5" t="str">
        <f ca="1">IFERROR(__xludf.DUMMYFUNCTION("""COMPUTED_VALUE"""),"Михайлович")</f>
        <v>Михайлович</v>
      </c>
      <c r="E1299" s="5"/>
      <c r="F1299" s="6"/>
      <c r="G1299" s="7" t="str">
        <f ca="1">IFERROR(__xludf.DUMMYFUNCTION("""COMPUTED_VALUE"""),"#N/A")</f>
        <v>#N/A</v>
      </c>
    </row>
    <row r="1300" spans="1:7" ht="13.2" x14ac:dyDescent="0.25">
      <c r="A1300" s="5">
        <f ca="1">IFERROR(__xludf.DUMMYFUNCTION("""COMPUTED_VALUE"""),642)</f>
        <v>642</v>
      </c>
      <c r="B1300" s="5" t="str">
        <f ca="1">IFERROR(__xludf.DUMMYFUNCTION("""COMPUTED_VALUE"""),"Куликов")</f>
        <v>Куликов</v>
      </c>
      <c r="C1300" s="5" t="str">
        <f ca="1">IFERROR(__xludf.DUMMYFUNCTION("""COMPUTED_VALUE"""),"Евгений")</f>
        <v>Евгений</v>
      </c>
      <c r="D1300" s="5" t="str">
        <f ca="1">IFERROR(__xludf.DUMMYFUNCTION("""COMPUTED_VALUE"""),"Дмитриевич")</f>
        <v>Дмитриевич</v>
      </c>
      <c r="E1300" s="5"/>
      <c r="F1300" s="6"/>
      <c r="G1300" s="7" t="str">
        <f ca="1">IFERROR(__xludf.DUMMYFUNCTION("""COMPUTED_VALUE"""),"#N/A")</f>
        <v>#N/A</v>
      </c>
    </row>
    <row r="1301" spans="1:7" ht="13.2" x14ac:dyDescent="0.25">
      <c r="A1301" s="5">
        <f ca="1">IFERROR(__xludf.DUMMYFUNCTION("""COMPUTED_VALUE"""),653)</f>
        <v>653</v>
      </c>
      <c r="B1301" s="5" t="str">
        <f ca="1">IFERROR(__xludf.DUMMYFUNCTION("""COMPUTED_VALUE"""),"Кучма")</f>
        <v>Кучма</v>
      </c>
      <c r="C1301" s="5" t="str">
        <f ca="1">IFERROR(__xludf.DUMMYFUNCTION("""COMPUTED_VALUE"""),"Кирилл")</f>
        <v>Кирилл</v>
      </c>
      <c r="D1301" s="5" t="str">
        <f ca="1">IFERROR(__xludf.DUMMYFUNCTION("""COMPUTED_VALUE"""),"Григорьевич")</f>
        <v>Григорьевич</v>
      </c>
      <c r="E1301" s="5"/>
      <c r="F1301" s="6"/>
      <c r="G1301" s="7" t="str">
        <f ca="1">IFERROR(__xludf.DUMMYFUNCTION("""COMPUTED_VALUE"""),"#N/A")</f>
        <v>#N/A</v>
      </c>
    </row>
    <row r="1302" spans="1:7" ht="13.2" x14ac:dyDescent="0.25">
      <c r="A1302" s="5">
        <f ca="1">IFERROR(__xludf.DUMMYFUNCTION("""COMPUTED_VALUE"""),659)</f>
        <v>659</v>
      </c>
      <c r="B1302" s="5" t="str">
        <f ca="1">IFERROR(__xludf.DUMMYFUNCTION("""COMPUTED_VALUE"""),"Лаптев")</f>
        <v>Лаптев</v>
      </c>
      <c r="C1302" s="5" t="str">
        <f ca="1">IFERROR(__xludf.DUMMYFUNCTION("""COMPUTED_VALUE"""),"Денис")</f>
        <v>Денис</v>
      </c>
      <c r="D1302" s="5" t="str">
        <f ca="1">IFERROR(__xludf.DUMMYFUNCTION("""COMPUTED_VALUE"""),"Александрович")</f>
        <v>Александрович</v>
      </c>
      <c r="E1302" s="5"/>
      <c r="F1302" s="6"/>
      <c r="G1302" s="7" t="str">
        <f ca="1">IFERROR(__xludf.DUMMYFUNCTION("""COMPUTED_VALUE"""),"#N/A")</f>
        <v>#N/A</v>
      </c>
    </row>
    <row r="1303" spans="1:7" ht="13.2" x14ac:dyDescent="0.25">
      <c r="A1303" s="5">
        <f ca="1">IFERROR(__xludf.DUMMYFUNCTION("""COMPUTED_VALUE"""),671)</f>
        <v>671</v>
      </c>
      <c r="B1303" s="5" t="str">
        <f ca="1">IFERROR(__xludf.DUMMYFUNCTION("""COMPUTED_VALUE"""),"Лекомцев")</f>
        <v>Лекомцев</v>
      </c>
      <c r="C1303" s="5" t="str">
        <f ca="1">IFERROR(__xludf.DUMMYFUNCTION("""COMPUTED_VALUE"""),"Алексей")</f>
        <v>Алексей</v>
      </c>
      <c r="D1303" s="5" t="str">
        <f ca="1">IFERROR(__xludf.DUMMYFUNCTION("""COMPUTED_VALUE"""),"Федорович")</f>
        <v>Федорович</v>
      </c>
      <c r="E1303" s="5"/>
      <c r="F1303" s="6"/>
      <c r="G1303" s="7" t="str">
        <f ca="1">IFERROR(__xludf.DUMMYFUNCTION("""COMPUTED_VALUE"""),"#N/A")</f>
        <v>#N/A</v>
      </c>
    </row>
    <row r="1304" spans="1:7" ht="13.2" x14ac:dyDescent="0.25">
      <c r="A1304" s="5">
        <f ca="1">IFERROR(__xludf.DUMMYFUNCTION("""COMPUTED_VALUE"""),672)</f>
        <v>672</v>
      </c>
      <c r="B1304" s="5" t="str">
        <f ca="1">IFERROR(__xludf.DUMMYFUNCTION("""COMPUTED_VALUE"""),"Леонов")</f>
        <v>Леонов</v>
      </c>
      <c r="C1304" s="5" t="str">
        <f ca="1">IFERROR(__xludf.DUMMYFUNCTION("""COMPUTED_VALUE"""),"Даниил")</f>
        <v>Даниил</v>
      </c>
      <c r="D1304" s="5" t="str">
        <f ca="1">IFERROR(__xludf.DUMMYFUNCTION("""COMPUTED_VALUE"""),"Сергеевич")</f>
        <v>Сергеевич</v>
      </c>
      <c r="E1304" s="5"/>
      <c r="F1304" s="6"/>
      <c r="G1304" s="7" t="str">
        <f ca="1">IFERROR(__xludf.DUMMYFUNCTION("""COMPUTED_VALUE"""),"#N/A")</f>
        <v>#N/A</v>
      </c>
    </row>
    <row r="1305" spans="1:7" ht="13.2" x14ac:dyDescent="0.25">
      <c r="A1305" s="5">
        <f ca="1">IFERROR(__xludf.DUMMYFUNCTION("""COMPUTED_VALUE"""),682)</f>
        <v>682</v>
      </c>
      <c r="B1305" s="5" t="str">
        <f ca="1">IFERROR(__xludf.DUMMYFUNCTION("""COMPUTED_VALUE"""),"Лицин")</f>
        <v>Лицин</v>
      </c>
      <c r="C1305" s="5" t="str">
        <f ca="1">IFERROR(__xludf.DUMMYFUNCTION("""COMPUTED_VALUE"""),"Владислав")</f>
        <v>Владислав</v>
      </c>
      <c r="D1305" s="5" t="str">
        <f ca="1">IFERROR(__xludf.DUMMYFUNCTION("""COMPUTED_VALUE"""),"Владимирович")</f>
        <v>Владимирович</v>
      </c>
      <c r="E1305" s="5"/>
      <c r="F1305" s="6"/>
      <c r="G1305" s="7" t="str">
        <f ca="1">IFERROR(__xludf.DUMMYFUNCTION("""COMPUTED_VALUE"""),"#N/A")</f>
        <v>#N/A</v>
      </c>
    </row>
    <row r="1306" spans="1:7" ht="13.2" x14ac:dyDescent="0.25">
      <c r="A1306" s="5">
        <f ca="1">IFERROR(__xludf.DUMMYFUNCTION("""COMPUTED_VALUE"""),694)</f>
        <v>694</v>
      </c>
      <c r="B1306" s="5" t="str">
        <f ca="1">IFERROR(__xludf.DUMMYFUNCTION("""COMPUTED_VALUE"""),"Лутков")</f>
        <v>Лутков</v>
      </c>
      <c r="C1306" s="5" t="str">
        <f ca="1">IFERROR(__xludf.DUMMYFUNCTION("""COMPUTED_VALUE"""),"Евгений")</f>
        <v>Евгений</v>
      </c>
      <c r="D1306" s="5" t="str">
        <f ca="1">IFERROR(__xludf.DUMMYFUNCTION("""COMPUTED_VALUE"""),"Александрович")</f>
        <v>Александрович</v>
      </c>
      <c r="E1306" s="5"/>
      <c r="F1306" s="6"/>
      <c r="G1306" s="7" t="str">
        <f ca="1">IFERROR(__xludf.DUMMYFUNCTION("""COMPUTED_VALUE"""),"#N/A")</f>
        <v>#N/A</v>
      </c>
    </row>
    <row r="1307" spans="1:7" ht="13.2" x14ac:dyDescent="0.25">
      <c r="A1307" s="5">
        <f ca="1">IFERROR(__xludf.DUMMYFUNCTION("""COMPUTED_VALUE"""),696)</f>
        <v>696</v>
      </c>
      <c r="B1307" s="5" t="str">
        <f ca="1">IFERROR(__xludf.DUMMYFUNCTION("""COMPUTED_VALUE"""),"Лыжин")</f>
        <v>Лыжин</v>
      </c>
      <c r="C1307" s="5" t="str">
        <f ca="1">IFERROR(__xludf.DUMMYFUNCTION("""COMPUTED_VALUE"""),"Алексей")</f>
        <v>Алексей</v>
      </c>
      <c r="D1307" s="5" t="str">
        <f ca="1">IFERROR(__xludf.DUMMYFUNCTION("""COMPUTED_VALUE"""),"Вячеславович")</f>
        <v>Вячеславович</v>
      </c>
      <c r="E1307" s="5"/>
      <c r="F1307" s="6"/>
      <c r="G1307" s="7" t="str">
        <f ca="1">IFERROR(__xludf.DUMMYFUNCTION("""COMPUTED_VALUE"""),"#N/A")</f>
        <v>#N/A</v>
      </c>
    </row>
    <row r="1308" spans="1:7" ht="13.2" x14ac:dyDescent="0.25">
      <c r="A1308" s="5">
        <f ca="1">IFERROR(__xludf.DUMMYFUNCTION("""COMPUTED_VALUE"""),706)</f>
        <v>706</v>
      </c>
      <c r="B1308" s="5" t="str">
        <f ca="1">IFERROR(__xludf.DUMMYFUNCTION("""COMPUTED_VALUE"""),"Мазырина")</f>
        <v>Мазырина</v>
      </c>
      <c r="C1308" s="5" t="str">
        <f ca="1">IFERROR(__xludf.DUMMYFUNCTION("""COMPUTED_VALUE"""),"Алена")</f>
        <v>Алена</v>
      </c>
      <c r="D1308" s="5" t="str">
        <f ca="1">IFERROR(__xludf.DUMMYFUNCTION("""COMPUTED_VALUE"""),"Юрьевна")</f>
        <v>Юрьевна</v>
      </c>
      <c r="E1308" s="5"/>
      <c r="F1308" s="6"/>
      <c r="G1308" s="7" t="str">
        <f ca="1">IFERROR(__xludf.DUMMYFUNCTION("""COMPUTED_VALUE"""),"#N/A")</f>
        <v>#N/A</v>
      </c>
    </row>
    <row r="1309" spans="1:7" ht="13.2" x14ac:dyDescent="0.25">
      <c r="A1309" s="5">
        <f ca="1">IFERROR(__xludf.DUMMYFUNCTION("""COMPUTED_VALUE"""),712)</f>
        <v>712</v>
      </c>
      <c r="B1309" s="5" t="str">
        <f ca="1">IFERROR(__xludf.DUMMYFUNCTION("""COMPUTED_VALUE"""),"Макаров")</f>
        <v>Макаров</v>
      </c>
      <c r="C1309" s="5" t="str">
        <f ca="1">IFERROR(__xludf.DUMMYFUNCTION("""COMPUTED_VALUE"""),"Тимофей")</f>
        <v>Тимофей</v>
      </c>
      <c r="D1309" s="5" t="str">
        <f ca="1">IFERROR(__xludf.DUMMYFUNCTION("""COMPUTED_VALUE"""),"Александрович")</f>
        <v>Александрович</v>
      </c>
      <c r="E1309" s="5"/>
      <c r="F1309" s="6"/>
      <c r="G1309" s="7" t="str">
        <f ca="1">IFERROR(__xludf.DUMMYFUNCTION("""COMPUTED_VALUE"""),"#N/A")</f>
        <v>#N/A</v>
      </c>
    </row>
    <row r="1310" spans="1:7" ht="13.2" x14ac:dyDescent="0.25">
      <c r="A1310" s="5">
        <f ca="1">IFERROR(__xludf.DUMMYFUNCTION("""COMPUTED_VALUE"""),716)</f>
        <v>716</v>
      </c>
      <c r="B1310" s="5" t="str">
        <f ca="1">IFERROR(__xludf.DUMMYFUNCTION("""COMPUTED_VALUE"""),"Максаева")</f>
        <v>Максаева</v>
      </c>
      <c r="C1310" s="5" t="str">
        <f ca="1">IFERROR(__xludf.DUMMYFUNCTION("""COMPUTED_VALUE"""),"Елизавета")</f>
        <v>Елизавета</v>
      </c>
      <c r="D1310" s="5" t="str">
        <f ca="1">IFERROR(__xludf.DUMMYFUNCTION("""COMPUTED_VALUE"""),"Андреевна")</f>
        <v>Андреевна</v>
      </c>
      <c r="E1310" s="5"/>
      <c r="F1310" s="6"/>
      <c r="G1310" s="7" t="str">
        <f ca="1">IFERROR(__xludf.DUMMYFUNCTION("""COMPUTED_VALUE"""),"#N/A")</f>
        <v>#N/A</v>
      </c>
    </row>
    <row r="1311" spans="1:7" ht="13.2" x14ac:dyDescent="0.25">
      <c r="A1311" s="5">
        <f ca="1">IFERROR(__xludf.DUMMYFUNCTION("""COMPUTED_VALUE"""),719)</f>
        <v>719</v>
      </c>
      <c r="B1311" s="5" t="str">
        <f ca="1">IFERROR(__xludf.DUMMYFUNCTION("""COMPUTED_VALUE"""),"Маленьких")</f>
        <v>Маленьких</v>
      </c>
      <c r="C1311" s="5" t="str">
        <f ca="1">IFERROR(__xludf.DUMMYFUNCTION("""COMPUTED_VALUE"""),"Александр")</f>
        <v>Александр</v>
      </c>
      <c r="D1311" s="5" t="str">
        <f ca="1">IFERROR(__xludf.DUMMYFUNCTION("""COMPUTED_VALUE"""),"Сергеевич")</f>
        <v>Сергеевич</v>
      </c>
      <c r="E1311" s="5"/>
      <c r="F1311" s="6"/>
      <c r="G1311" s="7" t="str">
        <f ca="1">IFERROR(__xludf.DUMMYFUNCTION("""COMPUTED_VALUE"""),"#N/A")</f>
        <v>#N/A</v>
      </c>
    </row>
    <row r="1312" spans="1:7" ht="13.2" x14ac:dyDescent="0.25">
      <c r="A1312" s="5">
        <f ca="1">IFERROR(__xludf.DUMMYFUNCTION("""COMPUTED_VALUE"""),720)</f>
        <v>720</v>
      </c>
      <c r="B1312" s="5" t="str">
        <f ca="1">IFERROR(__xludf.DUMMYFUNCTION("""COMPUTED_VALUE"""),"Малый")</f>
        <v>Малый</v>
      </c>
      <c r="C1312" s="5" t="str">
        <f ca="1">IFERROR(__xludf.DUMMYFUNCTION("""COMPUTED_VALUE"""),"Никита")</f>
        <v>Никита</v>
      </c>
      <c r="D1312" s="5" t="str">
        <f ca="1">IFERROR(__xludf.DUMMYFUNCTION("""COMPUTED_VALUE"""),"Алексеевич")</f>
        <v>Алексеевич</v>
      </c>
      <c r="E1312" s="5"/>
      <c r="F1312" s="6"/>
      <c r="G1312" s="7" t="str">
        <f ca="1">IFERROR(__xludf.DUMMYFUNCTION("""COMPUTED_VALUE"""),"#N/A")</f>
        <v>#N/A</v>
      </c>
    </row>
    <row r="1313" spans="1:7" ht="13.2" x14ac:dyDescent="0.25">
      <c r="A1313" s="5">
        <f ca="1">IFERROR(__xludf.DUMMYFUNCTION("""COMPUTED_VALUE"""),726)</f>
        <v>726</v>
      </c>
      <c r="B1313" s="5" t="str">
        <f ca="1">IFERROR(__xludf.DUMMYFUNCTION("""COMPUTED_VALUE"""),"Маркин")</f>
        <v>Маркин</v>
      </c>
      <c r="C1313" s="5" t="str">
        <f ca="1">IFERROR(__xludf.DUMMYFUNCTION("""COMPUTED_VALUE"""),"Кирилл")</f>
        <v>Кирилл</v>
      </c>
      <c r="D1313" s="5" t="str">
        <f ca="1">IFERROR(__xludf.DUMMYFUNCTION("""COMPUTED_VALUE"""),"Викторович")</f>
        <v>Викторович</v>
      </c>
      <c r="E1313" s="5"/>
      <c r="F1313" s="6"/>
      <c r="G1313" s="7" t="str">
        <f ca="1">IFERROR(__xludf.DUMMYFUNCTION("""COMPUTED_VALUE"""),"#N/A")</f>
        <v>#N/A</v>
      </c>
    </row>
    <row r="1314" spans="1:7" ht="13.2" x14ac:dyDescent="0.25">
      <c r="A1314" s="5">
        <f ca="1">IFERROR(__xludf.DUMMYFUNCTION("""COMPUTED_VALUE"""),746)</f>
        <v>746</v>
      </c>
      <c r="B1314" s="5" t="str">
        <f ca="1">IFERROR(__xludf.DUMMYFUNCTION("""COMPUTED_VALUE"""),"Мезенцев")</f>
        <v>Мезенцев</v>
      </c>
      <c r="C1314" s="5" t="str">
        <f ca="1">IFERROR(__xludf.DUMMYFUNCTION("""COMPUTED_VALUE"""),"Сергей")</f>
        <v>Сергей</v>
      </c>
      <c r="D1314" s="5" t="str">
        <f ca="1">IFERROR(__xludf.DUMMYFUNCTION("""COMPUTED_VALUE"""),"Олегович")</f>
        <v>Олегович</v>
      </c>
      <c r="E1314" s="5"/>
      <c r="F1314" s="6"/>
      <c r="G1314" s="7" t="str">
        <f ca="1">IFERROR(__xludf.DUMMYFUNCTION("""COMPUTED_VALUE"""),"#N/A")</f>
        <v>#N/A</v>
      </c>
    </row>
    <row r="1315" spans="1:7" ht="13.2" x14ac:dyDescent="0.25">
      <c r="A1315" s="5">
        <f ca="1">IFERROR(__xludf.DUMMYFUNCTION("""COMPUTED_VALUE"""),763)</f>
        <v>763</v>
      </c>
      <c r="B1315" s="5" t="str">
        <f ca="1">IFERROR(__xludf.DUMMYFUNCTION("""COMPUTED_VALUE"""),"Минилгалин")</f>
        <v>Минилгалин</v>
      </c>
      <c r="C1315" s="5" t="str">
        <f ca="1">IFERROR(__xludf.DUMMYFUNCTION("""COMPUTED_VALUE"""),"Максим")</f>
        <v>Максим</v>
      </c>
      <c r="D1315" s="5" t="str">
        <f ca="1">IFERROR(__xludf.DUMMYFUNCTION("""COMPUTED_VALUE"""),"Юрьевич")</f>
        <v>Юрьевич</v>
      </c>
      <c r="E1315" s="5"/>
      <c r="F1315" s="6"/>
      <c r="G1315" s="7" t="str">
        <f ca="1">IFERROR(__xludf.DUMMYFUNCTION("""COMPUTED_VALUE"""),"#N/A")</f>
        <v>#N/A</v>
      </c>
    </row>
    <row r="1316" spans="1:7" ht="13.2" x14ac:dyDescent="0.25">
      <c r="A1316" s="5">
        <f ca="1">IFERROR(__xludf.DUMMYFUNCTION("""COMPUTED_VALUE"""),770)</f>
        <v>770</v>
      </c>
      <c r="B1316" s="5" t="str">
        <f ca="1">IFERROR(__xludf.DUMMYFUNCTION("""COMPUTED_VALUE"""),"Михайловский")</f>
        <v>Михайловский</v>
      </c>
      <c r="C1316" s="5" t="str">
        <f ca="1">IFERROR(__xludf.DUMMYFUNCTION("""COMPUTED_VALUE"""),"Евгений")</f>
        <v>Евгений</v>
      </c>
      <c r="D1316" s="5" t="str">
        <f ca="1">IFERROR(__xludf.DUMMYFUNCTION("""COMPUTED_VALUE"""),"Владимирович")</f>
        <v>Владимирович</v>
      </c>
      <c r="E1316" s="5"/>
      <c r="F1316" s="6"/>
      <c r="G1316" s="7" t="str">
        <f ca="1">IFERROR(__xludf.DUMMYFUNCTION("""COMPUTED_VALUE"""),"#N/A")</f>
        <v>#N/A</v>
      </c>
    </row>
    <row r="1317" spans="1:7" ht="13.2" x14ac:dyDescent="0.25">
      <c r="A1317" s="5">
        <f ca="1">IFERROR(__xludf.DUMMYFUNCTION("""COMPUTED_VALUE"""),775)</f>
        <v>775</v>
      </c>
      <c r="B1317" s="5" t="str">
        <f ca="1">IFERROR(__xludf.DUMMYFUNCTION("""COMPUTED_VALUE"""),"Моденов")</f>
        <v>Моденов</v>
      </c>
      <c r="C1317" s="5" t="str">
        <f ca="1">IFERROR(__xludf.DUMMYFUNCTION("""COMPUTED_VALUE"""),"Михаил")</f>
        <v>Михаил</v>
      </c>
      <c r="D1317" s="5" t="str">
        <f ca="1">IFERROR(__xludf.DUMMYFUNCTION("""COMPUTED_VALUE"""),"Васильевич")</f>
        <v>Васильевич</v>
      </c>
      <c r="E1317" s="5"/>
      <c r="F1317" s="6"/>
      <c r="G1317" s="7" t="str">
        <f ca="1">IFERROR(__xludf.DUMMYFUNCTION("""COMPUTED_VALUE"""),"#N/A")</f>
        <v>#N/A</v>
      </c>
    </row>
    <row r="1318" spans="1:7" ht="13.2" x14ac:dyDescent="0.25">
      <c r="A1318" s="5">
        <f ca="1">IFERROR(__xludf.DUMMYFUNCTION("""COMPUTED_VALUE"""),781)</f>
        <v>781</v>
      </c>
      <c r="B1318" s="5" t="str">
        <f ca="1">IFERROR(__xludf.DUMMYFUNCTION("""COMPUTED_VALUE"""),"Мордвинцев")</f>
        <v>Мордвинцев</v>
      </c>
      <c r="C1318" s="5" t="str">
        <f ca="1">IFERROR(__xludf.DUMMYFUNCTION("""COMPUTED_VALUE"""),"Михаил")</f>
        <v>Михаил</v>
      </c>
      <c r="D1318" s="5" t="str">
        <f ca="1">IFERROR(__xludf.DUMMYFUNCTION("""COMPUTED_VALUE"""),"Александрович")</f>
        <v>Александрович</v>
      </c>
      <c r="E1318" s="5"/>
      <c r="F1318" s="6"/>
      <c r="G1318" s="7" t="str">
        <f ca="1">IFERROR(__xludf.DUMMYFUNCTION("""COMPUTED_VALUE"""),"#N/A")</f>
        <v>#N/A</v>
      </c>
    </row>
    <row r="1319" spans="1:7" ht="13.2" x14ac:dyDescent="0.25">
      <c r="A1319" s="5">
        <f ca="1">IFERROR(__xludf.DUMMYFUNCTION("""COMPUTED_VALUE"""),785)</f>
        <v>785</v>
      </c>
      <c r="B1319" s="5" t="str">
        <f ca="1">IFERROR(__xludf.DUMMYFUNCTION("""COMPUTED_VALUE"""),"Морозов")</f>
        <v>Морозов</v>
      </c>
      <c r="C1319" s="5" t="str">
        <f ca="1">IFERROR(__xludf.DUMMYFUNCTION("""COMPUTED_VALUE"""),"Андрей")</f>
        <v>Андрей</v>
      </c>
      <c r="D1319" s="5" t="str">
        <f ca="1">IFERROR(__xludf.DUMMYFUNCTION("""COMPUTED_VALUE"""),"Андреевич")</f>
        <v>Андреевич</v>
      </c>
      <c r="E1319" s="5"/>
      <c r="F1319" s="6"/>
      <c r="G1319" s="7" t="str">
        <f ca="1">IFERROR(__xludf.DUMMYFUNCTION("""COMPUTED_VALUE"""),"#N/A")</f>
        <v>#N/A</v>
      </c>
    </row>
    <row r="1320" spans="1:7" ht="13.2" x14ac:dyDescent="0.25">
      <c r="A1320" s="5">
        <f ca="1">IFERROR(__xludf.DUMMYFUNCTION("""COMPUTED_VALUE"""),790)</f>
        <v>790</v>
      </c>
      <c r="B1320" s="5" t="str">
        <f ca="1">IFERROR(__xludf.DUMMYFUNCTION("""COMPUTED_VALUE"""),"Мохамед")</f>
        <v>Мохамед</v>
      </c>
      <c r="C1320" s="5" t="str">
        <f ca="1">IFERROR(__xludf.DUMMYFUNCTION("""COMPUTED_VALUE"""),"Мансур")</f>
        <v>Мансур</v>
      </c>
      <c r="D1320" s="5" t="str">
        <f ca="1">IFERROR(__xludf.DUMMYFUNCTION("""COMPUTED_VALUE"""),"Мохамед")</f>
        <v>Мохамед</v>
      </c>
      <c r="E1320" s="5"/>
      <c r="F1320" s="6"/>
      <c r="G1320" s="7" t="str">
        <f ca="1">IFERROR(__xludf.DUMMYFUNCTION("""COMPUTED_VALUE"""),"#N/A")</f>
        <v>#N/A</v>
      </c>
    </row>
    <row r="1321" spans="1:7" ht="13.2" x14ac:dyDescent="0.25">
      <c r="A1321" s="5">
        <f ca="1">IFERROR(__xludf.DUMMYFUNCTION("""COMPUTED_VALUE"""),798)</f>
        <v>798</v>
      </c>
      <c r="B1321" s="5" t="str">
        <f ca="1">IFERROR(__xludf.DUMMYFUNCTION("""COMPUTED_VALUE"""),"Муртаева")</f>
        <v>Муртаева</v>
      </c>
      <c r="C1321" s="5" t="str">
        <f ca="1">IFERROR(__xludf.DUMMYFUNCTION("""COMPUTED_VALUE"""),"Айлина")</f>
        <v>Айлина</v>
      </c>
      <c r="D1321" s="5" t="str">
        <f ca="1">IFERROR(__xludf.DUMMYFUNCTION("""COMPUTED_VALUE"""),"Азаматовна")</f>
        <v>Азаматовна</v>
      </c>
      <c r="E1321" s="5"/>
      <c r="F1321" s="6"/>
      <c r="G1321" s="7" t="str">
        <f ca="1">IFERROR(__xludf.DUMMYFUNCTION("""COMPUTED_VALUE"""),"#N/A")</f>
        <v>#N/A</v>
      </c>
    </row>
    <row r="1322" spans="1:7" ht="13.2" x14ac:dyDescent="0.25">
      <c r="A1322" s="5">
        <f ca="1">IFERROR(__xludf.DUMMYFUNCTION("""COMPUTED_VALUE"""),803)</f>
        <v>803</v>
      </c>
      <c r="B1322" s="5" t="str">
        <f ca="1">IFERROR(__xludf.DUMMYFUNCTION("""COMPUTED_VALUE"""),"Мухаметшин")</f>
        <v>Мухаметшин</v>
      </c>
      <c r="C1322" s="5" t="str">
        <f ca="1">IFERROR(__xludf.DUMMYFUNCTION("""COMPUTED_VALUE"""),"Никита")</f>
        <v>Никита</v>
      </c>
      <c r="D1322" s="5" t="str">
        <f ca="1">IFERROR(__xludf.DUMMYFUNCTION("""COMPUTED_VALUE"""),"Иванович")</f>
        <v>Иванович</v>
      </c>
      <c r="E1322" s="5"/>
      <c r="F1322" s="6"/>
      <c r="G1322" s="7" t="str">
        <f ca="1">IFERROR(__xludf.DUMMYFUNCTION("""COMPUTED_VALUE"""),"#N/A")</f>
        <v>#N/A</v>
      </c>
    </row>
    <row r="1323" spans="1:7" ht="13.2" x14ac:dyDescent="0.25">
      <c r="A1323" s="5">
        <f ca="1">IFERROR(__xludf.DUMMYFUNCTION("""COMPUTED_VALUE"""),818)</f>
        <v>818</v>
      </c>
      <c r="B1323" s="5" t="str">
        <f ca="1">IFERROR(__xludf.DUMMYFUNCTION("""COMPUTED_VALUE"""),"Накаряков")</f>
        <v>Накаряков</v>
      </c>
      <c r="C1323" s="5" t="str">
        <f ca="1">IFERROR(__xludf.DUMMYFUNCTION("""COMPUTED_VALUE"""),"Алексей")</f>
        <v>Алексей</v>
      </c>
      <c r="D1323" s="5" t="str">
        <f ca="1">IFERROR(__xludf.DUMMYFUNCTION("""COMPUTED_VALUE"""),"Васильевич")</f>
        <v>Васильевич</v>
      </c>
      <c r="E1323" s="5"/>
      <c r="F1323" s="6"/>
      <c r="G1323" s="7" t="str">
        <f ca="1">IFERROR(__xludf.DUMMYFUNCTION("""COMPUTED_VALUE"""),"#N/A")</f>
        <v>#N/A</v>
      </c>
    </row>
    <row r="1324" spans="1:7" ht="13.2" x14ac:dyDescent="0.25">
      <c r="A1324" s="5">
        <f ca="1">IFERROR(__xludf.DUMMYFUNCTION("""COMPUTED_VALUE"""),821)</f>
        <v>821</v>
      </c>
      <c r="B1324" s="5" t="str">
        <f ca="1">IFERROR(__xludf.DUMMYFUNCTION("""COMPUTED_VALUE"""),"Нафиков")</f>
        <v>Нафиков</v>
      </c>
      <c r="C1324" s="5" t="str">
        <f ca="1">IFERROR(__xludf.DUMMYFUNCTION("""COMPUTED_VALUE"""),"Алексей")</f>
        <v>Алексей</v>
      </c>
      <c r="D1324" s="5" t="str">
        <f ca="1">IFERROR(__xludf.DUMMYFUNCTION("""COMPUTED_VALUE"""),"Русланович")</f>
        <v>Русланович</v>
      </c>
      <c r="E1324" s="5"/>
      <c r="F1324" s="6"/>
      <c r="G1324" s="7" t="str">
        <f ca="1">IFERROR(__xludf.DUMMYFUNCTION("""COMPUTED_VALUE"""),"#N/A")</f>
        <v>#N/A</v>
      </c>
    </row>
    <row r="1325" spans="1:7" ht="13.2" x14ac:dyDescent="0.25">
      <c r="A1325" s="5">
        <f ca="1">IFERROR(__xludf.DUMMYFUNCTION("""COMPUTED_VALUE"""),823)</f>
        <v>823</v>
      </c>
      <c r="B1325" s="5" t="str">
        <f ca="1">IFERROR(__xludf.DUMMYFUNCTION("""COMPUTED_VALUE"""),"Нгуен")</f>
        <v>Нгуен</v>
      </c>
      <c r="C1325" s="5" t="str">
        <f ca="1">IFERROR(__xludf.DUMMYFUNCTION("""COMPUTED_VALUE"""),"Фам")</f>
        <v>Фам</v>
      </c>
      <c r="D1325" s="5" t="str">
        <f ca="1">IFERROR(__xludf.DUMMYFUNCTION("""COMPUTED_VALUE"""),"Ньат")</f>
        <v>Ньат</v>
      </c>
      <c r="E1325" s="5"/>
      <c r="F1325" s="6"/>
      <c r="G1325" s="7" t="str">
        <f ca="1">IFERROR(__xludf.DUMMYFUNCTION("""COMPUTED_VALUE"""),"#N/A")</f>
        <v>#N/A</v>
      </c>
    </row>
    <row r="1326" spans="1:7" ht="13.2" x14ac:dyDescent="0.25">
      <c r="A1326" s="5">
        <f ca="1">IFERROR(__xludf.DUMMYFUNCTION("""COMPUTED_VALUE"""),827)</f>
        <v>827</v>
      </c>
      <c r="B1326" s="5" t="str">
        <f ca="1">IFERROR(__xludf.DUMMYFUNCTION("""COMPUTED_VALUE"""),"Некрасов")</f>
        <v>Некрасов</v>
      </c>
      <c r="C1326" s="5" t="str">
        <f ca="1">IFERROR(__xludf.DUMMYFUNCTION("""COMPUTED_VALUE"""),"Богдан")</f>
        <v>Богдан</v>
      </c>
      <c r="D1326" s="5" t="str">
        <f ca="1">IFERROR(__xludf.DUMMYFUNCTION("""COMPUTED_VALUE"""),"Константинович")</f>
        <v>Константинович</v>
      </c>
      <c r="E1326" s="5"/>
      <c r="F1326" s="6"/>
      <c r="G1326" s="7" t="str">
        <f ca="1">IFERROR(__xludf.DUMMYFUNCTION("""COMPUTED_VALUE"""),"#N/A")</f>
        <v>#N/A</v>
      </c>
    </row>
    <row r="1327" spans="1:7" ht="13.2" x14ac:dyDescent="0.25">
      <c r="A1327" s="5">
        <f ca="1">IFERROR(__xludf.DUMMYFUNCTION("""COMPUTED_VALUE"""),842)</f>
        <v>842</v>
      </c>
      <c r="B1327" s="5" t="str">
        <f ca="1">IFERROR(__xludf.DUMMYFUNCTION("""COMPUTED_VALUE"""),"Низамов")</f>
        <v>Низамов</v>
      </c>
      <c r="C1327" s="5" t="str">
        <f ca="1">IFERROR(__xludf.DUMMYFUNCTION("""COMPUTED_VALUE"""),"Родион")</f>
        <v>Родион</v>
      </c>
      <c r="D1327" s="5" t="str">
        <f ca="1">IFERROR(__xludf.DUMMYFUNCTION("""COMPUTED_VALUE"""),"Расимович")</f>
        <v>Расимович</v>
      </c>
      <c r="E1327" s="5"/>
      <c r="F1327" s="6"/>
      <c r="G1327" s="7" t="str">
        <f ca="1">IFERROR(__xludf.DUMMYFUNCTION("""COMPUTED_VALUE"""),"#N/A")</f>
        <v>#N/A</v>
      </c>
    </row>
    <row r="1328" spans="1:7" ht="13.2" x14ac:dyDescent="0.25">
      <c r="A1328" s="5">
        <f ca="1">IFERROR(__xludf.DUMMYFUNCTION("""COMPUTED_VALUE"""),850)</f>
        <v>850</v>
      </c>
      <c r="B1328" s="5" t="str">
        <f ca="1">IFERROR(__xludf.DUMMYFUNCTION("""COMPUTED_VALUE"""),"Николаев")</f>
        <v>Николаев</v>
      </c>
      <c r="C1328" s="5" t="str">
        <f ca="1">IFERROR(__xludf.DUMMYFUNCTION("""COMPUTED_VALUE"""),"Егор")</f>
        <v>Егор</v>
      </c>
      <c r="D1328" s="5" t="str">
        <f ca="1">IFERROR(__xludf.DUMMYFUNCTION("""COMPUTED_VALUE"""),"Николаевич")</f>
        <v>Николаевич</v>
      </c>
      <c r="E1328" s="5"/>
      <c r="F1328" s="6"/>
      <c r="G1328" s="7" t="str">
        <f ca="1">IFERROR(__xludf.DUMMYFUNCTION("""COMPUTED_VALUE"""),"#N/A")</f>
        <v>#N/A</v>
      </c>
    </row>
    <row r="1329" spans="1:7" ht="13.2" x14ac:dyDescent="0.25">
      <c r="A1329" s="5">
        <f ca="1">IFERROR(__xludf.DUMMYFUNCTION("""COMPUTED_VALUE"""),858)</f>
        <v>858</v>
      </c>
      <c r="B1329" s="5" t="str">
        <f ca="1">IFERROR(__xludf.DUMMYFUNCTION("""COMPUTED_VALUE"""),"Новотольский")</f>
        <v>Новотольский</v>
      </c>
      <c r="C1329" s="5" t="str">
        <f ca="1">IFERROR(__xludf.DUMMYFUNCTION("""COMPUTED_VALUE"""),"Артём")</f>
        <v>Артём</v>
      </c>
      <c r="D1329" s="5" t="str">
        <f ca="1">IFERROR(__xludf.DUMMYFUNCTION("""COMPUTED_VALUE"""),"Олегович")</f>
        <v>Олегович</v>
      </c>
      <c r="E1329" s="5"/>
      <c r="F1329" s="6"/>
      <c r="G1329" s="7" t="str">
        <f ca="1">IFERROR(__xludf.DUMMYFUNCTION("""COMPUTED_VALUE"""),"#N/A")</f>
        <v>#N/A</v>
      </c>
    </row>
    <row r="1330" spans="1:7" ht="13.2" x14ac:dyDescent="0.25">
      <c r="A1330" s="5">
        <f ca="1">IFERROR(__xludf.DUMMYFUNCTION("""COMPUTED_VALUE"""),872)</f>
        <v>872</v>
      </c>
      <c r="B1330" s="5" t="str">
        <f ca="1">IFERROR(__xludf.DUMMYFUNCTION("""COMPUTED_VALUE"""),"Овчинников")</f>
        <v>Овчинников</v>
      </c>
      <c r="C1330" s="5" t="str">
        <f ca="1">IFERROR(__xludf.DUMMYFUNCTION("""COMPUTED_VALUE"""),"Никита")</f>
        <v>Никита</v>
      </c>
      <c r="D1330" s="5" t="str">
        <f ca="1">IFERROR(__xludf.DUMMYFUNCTION("""COMPUTED_VALUE"""),"Сергеевич")</f>
        <v>Сергеевич</v>
      </c>
      <c r="E1330" s="5"/>
      <c r="F1330" s="6"/>
      <c r="G1330" s="7" t="str">
        <f ca="1">IFERROR(__xludf.DUMMYFUNCTION("""COMPUTED_VALUE"""),"#N/A")</f>
        <v>#N/A</v>
      </c>
    </row>
    <row r="1331" spans="1:7" ht="13.2" x14ac:dyDescent="0.25">
      <c r="A1331" s="5">
        <f ca="1">IFERROR(__xludf.DUMMYFUNCTION("""COMPUTED_VALUE"""),885)</f>
        <v>885</v>
      </c>
      <c r="B1331" s="5" t="str">
        <f ca="1">IFERROR(__xludf.DUMMYFUNCTION("""COMPUTED_VALUE"""),"Орлов")</f>
        <v>Орлов</v>
      </c>
      <c r="C1331" s="5" t="str">
        <f ca="1">IFERROR(__xludf.DUMMYFUNCTION("""COMPUTED_VALUE"""),"Илья")</f>
        <v>Илья</v>
      </c>
      <c r="D1331" s="5" t="str">
        <f ca="1">IFERROR(__xludf.DUMMYFUNCTION("""COMPUTED_VALUE"""),"Вячеславович")</f>
        <v>Вячеславович</v>
      </c>
      <c r="E1331" s="5"/>
      <c r="F1331" s="6"/>
      <c r="G1331" s="7" t="str">
        <f ca="1">IFERROR(__xludf.DUMMYFUNCTION("""COMPUTED_VALUE"""),"#N/A")</f>
        <v>#N/A</v>
      </c>
    </row>
    <row r="1332" spans="1:7" ht="13.2" x14ac:dyDescent="0.25">
      <c r="A1332" s="5">
        <f ca="1">IFERROR(__xludf.DUMMYFUNCTION("""COMPUTED_VALUE"""),896)</f>
        <v>896</v>
      </c>
      <c r="B1332" s="5" t="str">
        <f ca="1">IFERROR(__xludf.DUMMYFUNCTION("""COMPUTED_VALUE"""),"Павлов")</f>
        <v>Павлов</v>
      </c>
      <c r="C1332" s="5" t="str">
        <f ca="1">IFERROR(__xludf.DUMMYFUNCTION("""COMPUTED_VALUE"""),"Артём")</f>
        <v>Артём</v>
      </c>
      <c r="D1332" s="5" t="str">
        <f ca="1">IFERROR(__xludf.DUMMYFUNCTION("""COMPUTED_VALUE"""),"Андреевич")</f>
        <v>Андреевич</v>
      </c>
      <c r="E1332" s="5"/>
      <c r="F1332" s="6"/>
      <c r="G1332" s="7" t="str">
        <f ca="1">IFERROR(__xludf.DUMMYFUNCTION("""COMPUTED_VALUE"""),"#N/A")</f>
        <v>#N/A</v>
      </c>
    </row>
    <row r="1333" spans="1:7" ht="13.2" x14ac:dyDescent="0.25">
      <c r="A1333" s="5">
        <f ca="1">IFERROR(__xludf.DUMMYFUNCTION("""COMPUTED_VALUE"""),917)</f>
        <v>917</v>
      </c>
      <c r="B1333" s="5" t="str">
        <f ca="1">IFERROR(__xludf.DUMMYFUNCTION("""COMPUTED_VALUE"""),"Перминова")</f>
        <v>Перминова</v>
      </c>
      <c r="C1333" s="5" t="str">
        <f ca="1">IFERROR(__xludf.DUMMYFUNCTION("""COMPUTED_VALUE"""),"Александра")</f>
        <v>Александра</v>
      </c>
      <c r="D1333" s="5" t="str">
        <f ca="1">IFERROR(__xludf.DUMMYFUNCTION("""COMPUTED_VALUE"""),"Евгеньевна")</f>
        <v>Евгеньевна</v>
      </c>
      <c r="E1333" s="5"/>
      <c r="F1333" s="6"/>
      <c r="G1333" s="7" t="str">
        <f ca="1">IFERROR(__xludf.DUMMYFUNCTION("""COMPUTED_VALUE"""),"#N/A")</f>
        <v>#N/A</v>
      </c>
    </row>
    <row r="1334" spans="1:7" ht="13.2" x14ac:dyDescent="0.25">
      <c r="A1334" s="5">
        <f ca="1">IFERROR(__xludf.DUMMYFUNCTION("""COMPUTED_VALUE"""),924)</f>
        <v>924</v>
      </c>
      <c r="B1334" s="5" t="str">
        <f ca="1">IFERROR(__xludf.DUMMYFUNCTION("""COMPUTED_VALUE"""),"Петренко")</f>
        <v>Петренко</v>
      </c>
      <c r="C1334" s="5" t="str">
        <f ca="1">IFERROR(__xludf.DUMMYFUNCTION("""COMPUTED_VALUE"""),"Владислав")</f>
        <v>Владислав</v>
      </c>
      <c r="D1334" s="5" t="str">
        <f ca="1">IFERROR(__xludf.DUMMYFUNCTION("""COMPUTED_VALUE"""),"Игоревич")</f>
        <v>Игоревич</v>
      </c>
      <c r="E1334" s="5"/>
      <c r="F1334" s="6"/>
      <c r="G1334" s="7" t="str">
        <f ca="1">IFERROR(__xludf.DUMMYFUNCTION("""COMPUTED_VALUE"""),"#N/A")</f>
        <v>#N/A</v>
      </c>
    </row>
    <row r="1335" spans="1:7" ht="13.2" x14ac:dyDescent="0.25">
      <c r="A1335" s="5">
        <f ca="1">IFERROR(__xludf.DUMMYFUNCTION("""COMPUTED_VALUE"""),929)</f>
        <v>929</v>
      </c>
      <c r="B1335" s="5" t="str">
        <f ca="1">IFERROR(__xludf.DUMMYFUNCTION("""COMPUTED_VALUE"""),"Петрушко")</f>
        <v>Петрушко</v>
      </c>
      <c r="C1335" s="5" t="str">
        <f ca="1">IFERROR(__xludf.DUMMYFUNCTION("""COMPUTED_VALUE"""),"Артём")</f>
        <v>Артём</v>
      </c>
      <c r="D1335" s="5" t="str">
        <f ca="1">IFERROR(__xludf.DUMMYFUNCTION("""COMPUTED_VALUE"""),"Максимович")</f>
        <v>Максимович</v>
      </c>
      <c r="E1335" s="5"/>
      <c r="F1335" s="6"/>
      <c r="G1335" s="7" t="str">
        <f ca="1">IFERROR(__xludf.DUMMYFUNCTION("""COMPUTED_VALUE"""),"#N/A")</f>
        <v>#N/A</v>
      </c>
    </row>
    <row r="1336" spans="1:7" ht="13.2" x14ac:dyDescent="0.25">
      <c r="A1336" s="5">
        <f ca="1">IFERROR(__xludf.DUMMYFUNCTION("""COMPUTED_VALUE"""),938)</f>
        <v>938</v>
      </c>
      <c r="B1336" s="5" t="str">
        <f ca="1">IFERROR(__xludf.DUMMYFUNCTION("""COMPUTED_VALUE"""),"Подлеский")</f>
        <v>Подлеский</v>
      </c>
      <c r="C1336" s="5" t="str">
        <f ca="1">IFERROR(__xludf.DUMMYFUNCTION("""COMPUTED_VALUE"""),"Иван")</f>
        <v>Иван</v>
      </c>
      <c r="D1336" s="5" t="str">
        <f ca="1">IFERROR(__xludf.DUMMYFUNCTION("""COMPUTED_VALUE"""),"Игоревич")</f>
        <v>Игоревич</v>
      </c>
      <c r="E1336" s="5"/>
      <c r="F1336" s="6"/>
      <c r="G1336" s="7" t="str">
        <f ca="1">IFERROR(__xludf.DUMMYFUNCTION("""COMPUTED_VALUE"""),"#N/A")</f>
        <v>#N/A</v>
      </c>
    </row>
    <row r="1337" spans="1:7" ht="13.2" x14ac:dyDescent="0.25">
      <c r="A1337" s="5">
        <f ca="1">IFERROR(__xludf.DUMMYFUNCTION("""COMPUTED_VALUE"""),956)</f>
        <v>956</v>
      </c>
      <c r="B1337" s="5" t="str">
        <f ca="1">IFERROR(__xludf.DUMMYFUNCTION("""COMPUTED_VALUE"""),"Поповская")</f>
        <v>Поповская</v>
      </c>
      <c r="C1337" s="5" t="str">
        <f ca="1">IFERROR(__xludf.DUMMYFUNCTION("""COMPUTED_VALUE"""),"Анастасия")</f>
        <v>Анастасия</v>
      </c>
      <c r="D1337" s="5" t="str">
        <f ca="1">IFERROR(__xludf.DUMMYFUNCTION("""COMPUTED_VALUE"""),"Павловна")</f>
        <v>Павловна</v>
      </c>
      <c r="E1337" s="5"/>
      <c r="F1337" s="6"/>
      <c r="G1337" s="7" t="str">
        <f ca="1">IFERROR(__xludf.DUMMYFUNCTION("""COMPUTED_VALUE"""),"#N/A")</f>
        <v>#N/A</v>
      </c>
    </row>
    <row r="1338" spans="1:7" ht="13.2" x14ac:dyDescent="0.25">
      <c r="A1338" s="5">
        <f ca="1">IFERROR(__xludf.DUMMYFUNCTION("""COMPUTED_VALUE"""),967)</f>
        <v>967</v>
      </c>
      <c r="B1338" s="5" t="str">
        <f ca="1">IFERROR(__xludf.DUMMYFUNCTION("""COMPUTED_VALUE"""),"Проскурин")</f>
        <v>Проскурин</v>
      </c>
      <c r="C1338" s="5" t="str">
        <f ca="1">IFERROR(__xludf.DUMMYFUNCTION("""COMPUTED_VALUE"""),"Андрей")</f>
        <v>Андрей</v>
      </c>
      <c r="D1338" s="5" t="str">
        <f ca="1">IFERROR(__xludf.DUMMYFUNCTION("""COMPUTED_VALUE"""),"Владимирович")</f>
        <v>Владимирович</v>
      </c>
      <c r="E1338" s="5"/>
      <c r="F1338" s="6"/>
      <c r="G1338" s="7" t="str">
        <f ca="1">IFERROR(__xludf.DUMMYFUNCTION("""COMPUTED_VALUE"""),"#N/A")</f>
        <v>#N/A</v>
      </c>
    </row>
    <row r="1339" spans="1:7" ht="13.2" x14ac:dyDescent="0.25">
      <c r="A1339" s="5">
        <f ca="1">IFERROR(__xludf.DUMMYFUNCTION("""COMPUTED_VALUE"""),978)</f>
        <v>978</v>
      </c>
      <c r="B1339" s="5" t="str">
        <f ca="1">IFERROR(__xludf.DUMMYFUNCTION("""COMPUTED_VALUE"""),"Пятышин")</f>
        <v>Пятышин</v>
      </c>
      <c r="C1339" s="5" t="str">
        <f ca="1">IFERROR(__xludf.DUMMYFUNCTION("""COMPUTED_VALUE"""),"Артем")</f>
        <v>Артем</v>
      </c>
      <c r="D1339" s="5" t="str">
        <f ca="1">IFERROR(__xludf.DUMMYFUNCTION("""COMPUTED_VALUE"""),"Андреевич")</f>
        <v>Андреевич</v>
      </c>
      <c r="E1339" s="5"/>
      <c r="F1339" s="6"/>
      <c r="G1339" s="7" t="str">
        <f ca="1">IFERROR(__xludf.DUMMYFUNCTION("""COMPUTED_VALUE"""),"#N/A")</f>
        <v>#N/A</v>
      </c>
    </row>
    <row r="1340" spans="1:7" ht="13.2" x14ac:dyDescent="0.25">
      <c r="A1340" s="5">
        <f ca="1">IFERROR(__xludf.DUMMYFUNCTION("""COMPUTED_VALUE"""),980)</f>
        <v>980</v>
      </c>
      <c r="B1340" s="5" t="str">
        <f ca="1">IFERROR(__xludf.DUMMYFUNCTION("""COMPUTED_VALUE"""),"Радчук")</f>
        <v>Радчук</v>
      </c>
      <c r="C1340" s="5" t="str">
        <f ca="1">IFERROR(__xludf.DUMMYFUNCTION("""COMPUTED_VALUE"""),"Андрей")</f>
        <v>Андрей</v>
      </c>
      <c r="D1340" s="5" t="str">
        <f ca="1">IFERROR(__xludf.DUMMYFUNCTION("""COMPUTED_VALUE"""),"Константинович")</f>
        <v>Константинович</v>
      </c>
      <c r="E1340" s="5"/>
      <c r="F1340" s="6"/>
      <c r="G1340" s="7" t="str">
        <f ca="1">IFERROR(__xludf.DUMMYFUNCTION("""COMPUTED_VALUE"""),"#N/A")</f>
        <v>#N/A</v>
      </c>
    </row>
    <row r="1341" spans="1:7" ht="13.2" x14ac:dyDescent="0.25">
      <c r="A1341" s="5">
        <f ca="1">IFERROR(__xludf.DUMMYFUNCTION("""COMPUTED_VALUE"""),981)</f>
        <v>981</v>
      </c>
      <c r="B1341" s="5" t="str">
        <f ca="1">IFERROR(__xludf.DUMMYFUNCTION("""COMPUTED_VALUE"""),"Разинкин")</f>
        <v>Разинкин</v>
      </c>
      <c r="C1341" s="5" t="str">
        <f ca="1">IFERROR(__xludf.DUMMYFUNCTION("""COMPUTED_VALUE"""),"Алексей")</f>
        <v>Алексей</v>
      </c>
      <c r="D1341" s="5" t="str">
        <f ca="1">IFERROR(__xludf.DUMMYFUNCTION("""COMPUTED_VALUE"""),"Юрьевич")</f>
        <v>Юрьевич</v>
      </c>
      <c r="E1341" s="5"/>
      <c r="F1341" s="6"/>
      <c r="G1341" s="7" t="str">
        <f ca="1">IFERROR(__xludf.DUMMYFUNCTION("""COMPUTED_VALUE"""),"#N/A")</f>
        <v>#N/A</v>
      </c>
    </row>
    <row r="1342" spans="1:7" ht="13.2" x14ac:dyDescent="0.25">
      <c r="A1342" s="5">
        <f ca="1">IFERROR(__xludf.DUMMYFUNCTION("""COMPUTED_VALUE"""),985)</f>
        <v>985</v>
      </c>
      <c r="B1342" s="5" t="str">
        <f ca="1">IFERROR(__xludf.DUMMYFUNCTION("""COMPUTED_VALUE"""),"Ращупкин")</f>
        <v>Ращупкин</v>
      </c>
      <c r="C1342" s="5" t="str">
        <f ca="1">IFERROR(__xludf.DUMMYFUNCTION("""COMPUTED_VALUE"""),"Данил")</f>
        <v>Данил</v>
      </c>
      <c r="D1342" s="5" t="str">
        <f ca="1">IFERROR(__xludf.DUMMYFUNCTION("""COMPUTED_VALUE"""),"Андреевич")</f>
        <v>Андреевич</v>
      </c>
      <c r="E1342" s="5"/>
      <c r="F1342" s="6"/>
      <c r="G1342" s="7" t="str">
        <f ca="1">IFERROR(__xludf.DUMMYFUNCTION("""COMPUTED_VALUE"""),"#N/A")</f>
        <v>#N/A</v>
      </c>
    </row>
    <row r="1343" spans="1:7" ht="13.2" x14ac:dyDescent="0.25">
      <c r="A1343" s="5">
        <f ca="1">IFERROR(__xludf.DUMMYFUNCTION("""COMPUTED_VALUE"""),986)</f>
        <v>986</v>
      </c>
      <c r="B1343" s="5" t="str">
        <f ca="1">IFERROR(__xludf.DUMMYFUNCTION("""COMPUTED_VALUE"""),"Рева")</f>
        <v>Рева</v>
      </c>
      <c r="C1343" s="5" t="str">
        <f ca="1">IFERROR(__xludf.DUMMYFUNCTION("""COMPUTED_VALUE"""),"Валерия")</f>
        <v>Валерия</v>
      </c>
      <c r="D1343" s="5" t="str">
        <f ca="1">IFERROR(__xludf.DUMMYFUNCTION("""COMPUTED_VALUE"""),"Олеговна")</f>
        <v>Олеговна</v>
      </c>
      <c r="E1343" s="5"/>
      <c r="F1343" s="6"/>
      <c r="G1343" s="7" t="str">
        <f ca="1">IFERROR(__xludf.DUMMYFUNCTION("""COMPUTED_VALUE"""),"#N/A")</f>
        <v>#N/A</v>
      </c>
    </row>
    <row r="1344" spans="1:7" ht="13.2" x14ac:dyDescent="0.25">
      <c r="A1344" s="5">
        <f ca="1">IFERROR(__xludf.DUMMYFUNCTION("""COMPUTED_VALUE"""),1003)</f>
        <v>1003</v>
      </c>
      <c r="B1344" s="5" t="str">
        <f ca="1">IFERROR(__xludf.DUMMYFUNCTION("""COMPUTED_VALUE"""),"Русскова")</f>
        <v>Русскова</v>
      </c>
      <c r="C1344" s="5" t="str">
        <f ca="1">IFERROR(__xludf.DUMMYFUNCTION("""COMPUTED_VALUE"""),"Варвара")</f>
        <v>Варвара</v>
      </c>
      <c r="D1344" s="5" t="str">
        <f ca="1">IFERROR(__xludf.DUMMYFUNCTION("""COMPUTED_VALUE"""),"Владимировна")</f>
        <v>Владимировна</v>
      </c>
      <c r="E1344" s="5"/>
      <c r="F1344" s="6"/>
      <c r="G1344" s="7" t="str">
        <f ca="1">IFERROR(__xludf.DUMMYFUNCTION("""COMPUTED_VALUE"""),"#N/A")</f>
        <v>#N/A</v>
      </c>
    </row>
    <row r="1345" spans="1:7" ht="13.2" x14ac:dyDescent="0.25">
      <c r="A1345" s="5">
        <f ca="1">IFERROR(__xludf.DUMMYFUNCTION("""COMPUTED_VALUE"""),1011)</f>
        <v>1011</v>
      </c>
      <c r="B1345" s="5" t="str">
        <f ca="1">IFERROR(__xludf.DUMMYFUNCTION("""COMPUTED_VALUE"""),"Рябов")</f>
        <v>Рябов</v>
      </c>
      <c r="C1345" s="5" t="str">
        <f ca="1">IFERROR(__xludf.DUMMYFUNCTION("""COMPUTED_VALUE"""),"Сергей")</f>
        <v>Сергей</v>
      </c>
      <c r="D1345" s="5" t="str">
        <f ca="1">IFERROR(__xludf.DUMMYFUNCTION("""COMPUTED_VALUE"""),"Михайлович")</f>
        <v>Михайлович</v>
      </c>
      <c r="E1345" s="5"/>
      <c r="F1345" s="6"/>
      <c r="G1345" s="7" t="str">
        <f ca="1">IFERROR(__xludf.DUMMYFUNCTION("""COMPUTED_VALUE"""),"#N/A")</f>
        <v>#N/A</v>
      </c>
    </row>
    <row r="1346" spans="1:7" ht="13.2" x14ac:dyDescent="0.25">
      <c r="A1346" s="5">
        <f ca="1">IFERROR(__xludf.DUMMYFUNCTION("""COMPUTED_VALUE"""),1016)</f>
        <v>1016</v>
      </c>
      <c r="B1346" s="5" t="str">
        <f ca="1">IFERROR(__xludf.DUMMYFUNCTION("""COMPUTED_VALUE"""),"Саблин")</f>
        <v>Саблин</v>
      </c>
      <c r="C1346" s="5" t="str">
        <f ca="1">IFERROR(__xludf.DUMMYFUNCTION("""COMPUTED_VALUE"""),"Иван")</f>
        <v>Иван</v>
      </c>
      <c r="D1346" s="5" t="str">
        <f ca="1">IFERROR(__xludf.DUMMYFUNCTION("""COMPUTED_VALUE"""),"Петрович")</f>
        <v>Петрович</v>
      </c>
      <c r="E1346" s="5"/>
      <c r="F1346" s="6"/>
      <c r="G1346" s="7" t="str">
        <f ca="1">IFERROR(__xludf.DUMMYFUNCTION("""COMPUTED_VALUE"""),"#N/A")</f>
        <v>#N/A</v>
      </c>
    </row>
    <row r="1347" spans="1:7" ht="13.2" x14ac:dyDescent="0.25">
      <c r="A1347" s="5">
        <f ca="1">IFERROR(__xludf.DUMMYFUNCTION("""COMPUTED_VALUE"""),1022)</f>
        <v>1022</v>
      </c>
      <c r="B1347" s="5" t="str">
        <f ca="1">IFERROR(__xludf.DUMMYFUNCTION("""COMPUTED_VALUE"""),"Савченко")</f>
        <v>Савченко</v>
      </c>
      <c r="C1347" s="5" t="str">
        <f ca="1">IFERROR(__xludf.DUMMYFUNCTION("""COMPUTED_VALUE"""),"Сергей")</f>
        <v>Сергей</v>
      </c>
      <c r="D1347" s="5" t="str">
        <f ca="1">IFERROR(__xludf.DUMMYFUNCTION("""COMPUTED_VALUE"""),"Дмитриевич")</f>
        <v>Дмитриевич</v>
      </c>
      <c r="E1347" s="5"/>
      <c r="F1347" s="6"/>
      <c r="G1347" s="7" t="str">
        <f ca="1">IFERROR(__xludf.DUMMYFUNCTION("""COMPUTED_VALUE"""),"#N/A")</f>
        <v>#N/A</v>
      </c>
    </row>
    <row r="1348" spans="1:7" ht="13.2" x14ac:dyDescent="0.25">
      <c r="A1348" s="5">
        <f ca="1">IFERROR(__xludf.DUMMYFUNCTION("""COMPUTED_VALUE"""),1025)</f>
        <v>1025</v>
      </c>
      <c r="B1348" s="5" t="str">
        <f ca="1">IFERROR(__xludf.DUMMYFUNCTION("""COMPUTED_VALUE"""),"Садыков")</f>
        <v>Садыков</v>
      </c>
      <c r="C1348" s="5" t="str">
        <f ca="1">IFERROR(__xludf.DUMMYFUNCTION("""COMPUTED_VALUE"""),"Владислав")</f>
        <v>Владислав</v>
      </c>
      <c r="D1348" s="5" t="str">
        <f ca="1">IFERROR(__xludf.DUMMYFUNCTION("""COMPUTED_VALUE"""),"Радикович")</f>
        <v>Радикович</v>
      </c>
      <c r="E1348" s="5"/>
      <c r="F1348" s="6"/>
      <c r="G1348" s="7" t="str">
        <f ca="1">IFERROR(__xludf.DUMMYFUNCTION("""COMPUTED_VALUE"""),"#N/A")</f>
        <v>#N/A</v>
      </c>
    </row>
    <row r="1349" spans="1:7" ht="13.2" x14ac:dyDescent="0.25">
      <c r="A1349" s="5">
        <f ca="1">IFERROR(__xludf.DUMMYFUNCTION("""COMPUTED_VALUE"""),1030)</f>
        <v>1030</v>
      </c>
      <c r="B1349" s="5" t="str">
        <f ca="1">IFERROR(__xludf.DUMMYFUNCTION("""COMPUTED_VALUE"""),"Саляхов")</f>
        <v>Саляхов</v>
      </c>
      <c r="C1349" s="5" t="str">
        <f ca="1">IFERROR(__xludf.DUMMYFUNCTION("""COMPUTED_VALUE"""),"Денис")</f>
        <v>Денис</v>
      </c>
      <c r="D1349" s="5" t="str">
        <f ca="1">IFERROR(__xludf.DUMMYFUNCTION("""COMPUTED_VALUE"""),"Витальевич")</f>
        <v>Витальевич</v>
      </c>
      <c r="E1349" s="5"/>
      <c r="F1349" s="6"/>
      <c r="G1349" s="7" t="str">
        <f ca="1">IFERROR(__xludf.DUMMYFUNCTION("""COMPUTED_VALUE"""),"#N/A")</f>
        <v>#N/A</v>
      </c>
    </row>
    <row r="1350" spans="1:7" ht="13.2" x14ac:dyDescent="0.25">
      <c r="A1350" s="5">
        <f ca="1">IFERROR(__xludf.DUMMYFUNCTION("""COMPUTED_VALUE"""),1031)</f>
        <v>1031</v>
      </c>
      <c r="B1350" s="5" t="str">
        <f ca="1">IFERROR(__xludf.DUMMYFUNCTION("""COMPUTED_VALUE"""),"Самадов")</f>
        <v>Самадов</v>
      </c>
      <c r="C1350" s="5" t="str">
        <f ca="1">IFERROR(__xludf.DUMMYFUNCTION("""COMPUTED_VALUE"""),"Фируз")</f>
        <v>Фируз</v>
      </c>
      <c r="D1350" s="5" t="str">
        <f ca="1">IFERROR(__xludf.DUMMYFUNCTION("""COMPUTED_VALUE"""),"Фаррухович")</f>
        <v>Фаррухович</v>
      </c>
      <c r="E1350" s="5"/>
      <c r="F1350" s="6"/>
      <c r="G1350" s="7" t="str">
        <f ca="1">IFERROR(__xludf.DUMMYFUNCTION("""COMPUTED_VALUE"""),"#N/A")</f>
        <v>#N/A</v>
      </c>
    </row>
    <row r="1351" spans="1:7" ht="13.2" x14ac:dyDescent="0.25">
      <c r="A1351" s="5">
        <f ca="1">IFERROR(__xludf.DUMMYFUNCTION("""COMPUTED_VALUE"""),1036)</f>
        <v>1036</v>
      </c>
      <c r="B1351" s="5" t="str">
        <f ca="1">IFERROR(__xludf.DUMMYFUNCTION("""COMPUTED_VALUE"""),"Саплин")</f>
        <v>Саплин</v>
      </c>
      <c r="C1351" s="5" t="str">
        <f ca="1">IFERROR(__xludf.DUMMYFUNCTION("""COMPUTED_VALUE"""),"Артем")</f>
        <v>Артем</v>
      </c>
      <c r="D1351" s="5" t="str">
        <f ca="1">IFERROR(__xludf.DUMMYFUNCTION("""COMPUTED_VALUE"""),"Алексеевич")</f>
        <v>Алексеевич</v>
      </c>
      <c r="E1351" s="5"/>
      <c r="F1351" s="6"/>
      <c r="G1351" s="7" t="str">
        <f ca="1">IFERROR(__xludf.DUMMYFUNCTION("""COMPUTED_VALUE"""),"#N/A")</f>
        <v>#N/A</v>
      </c>
    </row>
    <row r="1352" spans="1:7" ht="13.2" x14ac:dyDescent="0.25">
      <c r="A1352" s="5">
        <f ca="1">IFERROR(__xludf.DUMMYFUNCTION("""COMPUTED_VALUE"""),1038)</f>
        <v>1038</v>
      </c>
      <c r="B1352" s="5" t="str">
        <f ca="1">IFERROR(__xludf.DUMMYFUNCTION("""COMPUTED_VALUE"""),"Сардин")</f>
        <v>Сардин</v>
      </c>
      <c r="C1352" s="5" t="str">
        <f ca="1">IFERROR(__xludf.DUMMYFUNCTION("""COMPUTED_VALUE"""),"Валерий")</f>
        <v>Валерий</v>
      </c>
      <c r="D1352" s="5" t="str">
        <f ca="1">IFERROR(__xludf.DUMMYFUNCTION("""COMPUTED_VALUE"""),"Сергеевич")</f>
        <v>Сергеевич</v>
      </c>
      <c r="E1352" s="5"/>
      <c r="F1352" s="6"/>
      <c r="G1352" s="7" t="str">
        <f ca="1">IFERROR(__xludf.DUMMYFUNCTION("""COMPUTED_VALUE"""),"#N/A")</f>
        <v>#N/A</v>
      </c>
    </row>
    <row r="1353" spans="1:7" ht="13.2" x14ac:dyDescent="0.25">
      <c r="A1353" s="5">
        <f ca="1">IFERROR(__xludf.DUMMYFUNCTION("""COMPUTED_VALUE"""),1049)</f>
        <v>1049</v>
      </c>
      <c r="B1353" s="5" t="str">
        <f ca="1">IFERROR(__xludf.DUMMYFUNCTION("""COMPUTED_VALUE"""),"Семененко")</f>
        <v>Семененко</v>
      </c>
      <c r="C1353" s="5" t="str">
        <f ca="1">IFERROR(__xludf.DUMMYFUNCTION("""COMPUTED_VALUE"""),"Егор")</f>
        <v>Егор</v>
      </c>
      <c r="D1353" s="5" t="str">
        <f ca="1">IFERROR(__xludf.DUMMYFUNCTION("""COMPUTED_VALUE"""),"Алексеевич")</f>
        <v>Алексеевич</v>
      </c>
      <c r="E1353" s="5"/>
      <c r="F1353" s="6"/>
      <c r="G1353" s="7" t="str">
        <f ca="1">IFERROR(__xludf.DUMMYFUNCTION("""COMPUTED_VALUE"""),"#N/A")</f>
        <v>#N/A</v>
      </c>
    </row>
    <row r="1354" spans="1:7" ht="13.2" x14ac:dyDescent="0.25">
      <c r="A1354" s="5">
        <f ca="1">IFERROR(__xludf.DUMMYFUNCTION("""COMPUTED_VALUE"""),1053)</f>
        <v>1053</v>
      </c>
      <c r="B1354" s="5" t="str">
        <f ca="1">IFERROR(__xludf.DUMMYFUNCTION("""COMPUTED_VALUE"""),"Семченко")</f>
        <v>Семченко</v>
      </c>
      <c r="C1354" s="5" t="str">
        <f ca="1">IFERROR(__xludf.DUMMYFUNCTION("""COMPUTED_VALUE"""),"Илья")</f>
        <v>Илья</v>
      </c>
      <c r="D1354" s="5" t="str">
        <f ca="1">IFERROR(__xludf.DUMMYFUNCTION("""COMPUTED_VALUE"""),"Антонович")</f>
        <v>Антонович</v>
      </c>
      <c r="E1354" s="5"/>
      <c r="F1354" s="6"/>
      <c r="G1354" s="7" t="str">
        <f ca="1">IFERROR(__xludf.DUMMYFUNCTION("""COMPUTED_VALUE"""),"#N/A")</f>
        <v>#N/A</v>
      </c>
    </row>
    <row r="1355" spans="1:7" ht="13.2" x14ac:dyDescent="0.25">
      <c r="A1355" s="5">
        <f ca="1">IFERROR(__xludf.DUMMYFUNCTION("""COMPUTED_VALUE"""),1054)</f>
        <v>1054</v>
      </c>
      <c r="B1355" s="5" t="str">
        <f ca="1">IFERROR(__xludf.DUMMYFUNCTION("""COMPUTED_VALUE"""),"Семынин")</f>
        <v>Семынин</v>
      </c>
      <c r="C1355" s="5" t="str">
        <f ca="1">IFERROR(__xludf.DUMMYFUNCTION("""COMPUTED_VALUE"""),"Роман")</f>
        <v>Роман</v>
      </c>
      <c r="D1355" s="5" t="str">
        <f ca="1">IFERROR(__xludf.DUMMYFUNCTION("""COMPUTED_VALUE"""),"Сергеевич")</f>
        <v>Сергеевич</v>
      </c>
      <c r="E1355" s="5"/>
      <c r="F1355" s="6"/>
      <c r="G1355" s="7" t="str">
        <f ca="1">IFERROR(__xludf.DUMMYFUNCTION("""COMPUTED_VALUE"""),"#N/A")</f>
        <v>#N/A</v>
      </c>
    </row>
    <row r="1356" spans="1:7" ht="13.2" x14ac:dyDescent="0.25">
      <c r="A1356" s="5">
        <f ca="1">IFERROR(__xludf.DUMMYFUNCTION("""COMPUTED_VALUE"""),1062)</f>
        <v>1062</v>
      </c>
      <c r="B1356" s="5" t="str">
        <f ca="1">IFERROR(__xludf.DUMMYFUNCTION("""COMPUTED_VALUE"""),"Сидоренко")</f>
        <v>Сидоренко</v>
      </c>
      <c r="C1356" s="5" t="str">
        <f ca="1">IFERROR(__xludf.DUMMYFUNCTION("""COMPUTED_VALUE"""),"Роман")</f>
        <v>Роман</v>
      </c>
      <c r="D1356" s="5" t="str">
        <f ca="1">IFERROR(__xludf.DUMMYFUNCTION("""COMPUTED_VALUE"""),"Владимирович")</f>
        <v>Владимирович</v>
      </c>
      <c r="E1356" s="5"/>
      <c r="F1356" s="6"/>
      <c r="G1356" s="7" t="str">
        <f ca="1">IFERROR(__xludf.DUMMYFUNCTION("""COMPUTED_VALUE"""),"#N/A")</f>
        <v>#N/A</v>
      </c>
    </row>
    <row r="1357" spans="1:7" ht="13.2" x14ac:dyDescent="0.25">
      <c r="A1357" s="5">
        <f ca="1">IFERROR(__xludf.DUMMYFUNCTION("""COMPUTED_VALUE"""),1064)</f>
        <v>1064</v>
      </c>
      <c r="B1357" s="5" t="str">
        <f ca="1">IFERROR(__xludf.DUMMYFUNCTION("""COMPUTED_VALUE"""),"Силаенко")</f>
        <v>Силаенко</v>
      </c>
      <c r="C1357" s="5" t="str">
        <f ca="1">IFERROR(__xludf.DUMMYFUNCTION("""COMPUTED_VALUE"""),"Глеб")</f>
        <v>Глеб</v>
      </c>
      <c r="D1357" s="5" t="str">
        <f ca="1">IFERROR(__xludf.DUMMYFUNCTION("""COMPUTED_VALUE"""),"Александрович")</f>
        <v>Александрович</v>
      </c>
      <c r="E1357" s="5"/>
      <c r="F1357" s="6"/>
      <c r="G1357" s="7" t="str">
        <f ca="1">IFERROR(__xludf.DUMMYFUNCTION("""COMPUTED_VALUE"""),"#N/A")</f>
        <v>#N/A</v>
      </c>
    </row>
    <row r="1358" spans="1:7" ht="13.2" x14ac:dyDescent="0.25">
      <c r="A1358" s="5">
        <f ca="1">IFERROR(__xludf.DUMMYFUNCTION("""COMPUTED_VALUE"""),1086)</f>
        <v>1086</v>
      </c>
      <c r="B1358" s="5" t="str">
        <f ca="1">IFERROR(__xludf.DUMMYFUNCTION("""COMPUTED_VALUE"""),"Смирных")</f>
        <v>Смирных</v>
      </c>
      <c r="C1358" s="5" t="str">
        <f ca="1">IFERROR(__xludf.DUMMYFUNCTION("""COMPUTED_VALUE"""),"Андрей")</f>
        <v>Андрей</v>
      </c>
      <c r="D1358" s="5" t="str">
        <f ca="1">IFERROR(__xludf.DUMMYFUNCTION("""COMPUTED_VALUE"""),"Александрович")</f>
        <v>Александрович</v>
      </c>
      <c r="E1358" s="5"/>
      <c r="F1358" s="6"/>
      <c r="G1358" s="7" t="str">
        <f ca="1">IFERROR(__xludf.DUMMYFUNCTION("""COMPUTED_VALUE"""),"#N/A")</f>
        <v>#N/A</v>
      </c>
    </row>
    <row r="1359" spans="1:7" ht="13.2" x14ac:dyDescent="0.25">
      <c r="A1359" s="5">
        <f ca="1">IFERROR(__xludf.DUMMYFUNCTION("""COMPUTED_VALUE"""),1093)</f>
        <v>1093</v>
      </c>
      <c r="B1359" s="5" t="str">
        <f ca="1">IFERROR(__xludf.DUMMYFUNCTION("""COMPUTED_VALUE"""),"Соколов")</f>
        <v>Соколов</v>
      </c>
      <c r="C1359" s="5" t="str">
        <f ca="1">IFERROR(__xludf.DUMMYFUNCTION("""COMPUTED_VALUE"""),"Олег")</f>
        <v>Олег</v>
      </c>
      <c r="D1359" s="5" t="str">
        <f ca="1">IFERROR(__xludf.DUMMYFUNCTION("""COMPUTED_VALUE"""),"Андреевич")</f>
        <v>Андреевич</v>
      </c>
      <c r="E1359" s="5"/>
      <c r="F1359" s="6"/>
      <c r="G1359" s="7" t="str">
        <f ca="1">IFERROR(__xludf.DUMMYFUNCTION("""COMPUTED_VALUE"""),"#N/A")</f>
        <v>#N/A</v>
      </c>
    </row>
    <row r="1360" spans="1:7" ht="13.2" x14ac:dyDescent="0.25">
      <c r="A1360" s="5">
        <f ca="1">IFERROR(__xludf.DUMMYFUNCTION("""COMPUTED_VALUE"""),1096)</f>
        <v>1096</v>
      </c>
      <c r="B1360" s="5" t="str">
        <f ca="1">IFERROR(__xludf.DUMMYFUNCTION("""COMPUTED_VALUE"""),"Соколов")</f>
        <v>Соколов</v>
      </c>
      <c r="C1360" s="5" t="str">
        <f ca="1">IFERROR(__xludf.DUMMYFUNCTION("""COMPUTED_VALUE"""),"Ростислав")</f>
        <v>Ростислав</v>
      </c>
      <c r="D1360" s="5" t="str">
        <f ca="1">IFERROR(__xludf.DUMMYFUNCTION("""COMPUTED_VALUE"""),"Александрович")</f>
        <v>Александрович</v>
      </c>
      <c r="E1360" s="5"/>
      <c r="F1360" s="6"/>
      <c r="G1360" s="7" t="str">
        <f ca="1">IFERROR(__xludf.DUMMYFUNCTION("""COMPUTED_VALUE"""),"#N/A")</f>
        <v>#N/A</v>
      </c>
    </row>
    <row r="1361" spans="1:7" ht="13.2" x14ac:dyDescent="0.25">
      <c r="A1361" s="5">
        <f ca="1">IFERROR(__xludf.DUMMYFUNCTION("""COMPUTED_VALUE"""),1103)</f>
        <v>1103</v>
      </c>
      <c r="B1361" s="5" t="str">
        <f ca="1">IFERROR(__xludf.DUMMYFUNCTION("""COMPUTED_VALUE"""),"Соловьева")</f>
        <v>Соловьева</v>
      </c>
      <c r="C1361" s="5" t="str">
        <f ca="1">IFERROR(__xludf.DUMMYFUNCTION("""COMPUTED_VALUE"""),"Екатерина")</f>
        <v>Екатерина</v>
      </c>
      <c r="D1361" s="5" t="str">
        <f ca="1">IFERROR(__xludf.DUMMYFUNCTION("""COMPUTED_VALUE"""),"Евгеньевна")</f>
        <v>Евгеньевна</v>
      </c>
      <c r="E1361" s="5"/>
      <c r="F1361" s="6"/>
      <c r="G1361" s="7" t="str">
        <f ca="1">IFERROR(__xludf.DUMMYFUNCTION("""COMPUTED_VALUE"""),"#N/A")</f>
        <v>#N/A</v>
      </c>
    </row>
    <row r="1362" spans="1:7" ht="13.2" x14ac:dyDescent="0.25">
      <c r="A1362" s="5">
        <f ca="1">IFERROR(__xludf.DUMMYFUNCTION("""COMPUTED_VALUE"""),1109)</f>
        <v>1109</v>
      </c>
      <c r="B1362" s="5" t="str">
        <f ca="1">IFERROR(__xludf.DUMMYFUNCTION("""COMPUTED_VALUE"""),"Сосновских")</f>
        <v>Сосновских</v>
      </c>
      <c r="C1362" s="5" t="str">
        <f ca="1">IFERROR(__xludf.DUMMYFUNCTION("""COMPUTED_VALUE"""),"Игорь")</f>
        <v>Игорь</v>
      </c>
      <c r="D1362" s="5" t="str">
        <f ca="1">IFERROR(__xludf.DUMMYFUNCTION("""COMPUTED_VALUE"""),"Михайлович")</f>
        <v>Михайлович</v>
      </c>
      <c r="E1362" s="5"/>
      <c r="F1362" s="6"/>
      <c r="G1362" s="7" t="str">
        <f ca="1">IFERROR(__xludf.DUMMYFUNCTION("""COMPUTED_VALUE"""),"#N/A")</f>
        <v>#N/A</v>
      </c>
    </row>
    <row r="1363" spans="1:7" ht="13.2" x14ac:dyDescent="0.25">
      <c r="A1363" s="5">
        <f ca="1">IFERROR(__xludf.DUMMYFUNCTION("""COMPUTED_VALUE"""),1111)</f>
        <v>1111</v>
      </c>
      <c r="B1363" s="5" t="str">
        <f ca="1">IFERROR(__xludf.DUMMYFUNCTION("""COMPUTED_VALUE"""),"Софронов")</f>
        <v>Софронов</v>
      </c>
      <c r="C1363" s="5" t="str">
        <f ca="1">IFERROR(__xludf.DUMMYFUNCTION("""COMPUTED_VALUE"""),"Евгений")</f>
        <v>Евгений</v>
      </c>
      <c r="D1363" s="5" t="str">
        <f ca="1">IFERROR(__xludf.DUMMYFUNCTION("""COMPUTED_VALUE"""),"Дмитриевич")</f>
        <v>Дмитриевич</v>
      </c>
      <c r="E1363" s="5"/>
      <c r="F1363" s="6"/>
      <c r="G1363" s="7" t="str">
        <f ca="1">IFERROR(__xludf.DUMMYFUNCTION("""COMPUTED_VALUE"""),"#N/A")</f>
        <v>#N/A</v>
      </c>
    </row>
    <row r="1364" spans="1:7" ht="13.2" x14ac:dyDescent="0.25">
      <c r="A1364" s="5">
        <f ca="1">IFERROR(__xludf.DUMMYFUNCTION("""COMPUTED_VALUE"""),1133)</f>
        <v>1133</v>
      </c>
      <c r="B1364" s="5" t="str">
        <f ca="1">IFERROR(__xludf.DUMMYFUNCTION("""COMPUTED_VALUE"""),"Суханова")</f>
        <v>Суханова</v>
      </c>
      <c r="C1364" s="5" t="str">
        <f ca="1">IFERROR(__xludf.DUMMYFUNCTION("""COMPUTED_VALUE"""),"Юлия")</f>
        <v>Юлия</v>
      </c>
      <c r="D1364" s="5" t="str">
        <f ca="1">IFERROR(__xludf.DUMMYFUNCTION("""COMPUTED_VALUE"""),"Алексеевна")</f>
        <v>Алексеевна</v>
      </c>
      <c r="E1364" s="5"/>
      <c r="F1364" s="6"/>
      <c r="G1364" s="7" t="str">
        <f ca="1">IFERROR(__xludf.DUMMYFUNCTION("""COMPUTED_VALUE"""),"#N/A")</f>
        <v>#N/A</v>
      </c>
    </row>
    <row r="1365" spans="1:7" ht="13.2" x14ac:dyDescent="0.25">
      <c r="A1365" s="5">
        <f ca="1">IFERROR(__xludf.DUMMYFUNCTION("""COMPUTED_VALUE"""),1141)</f>
        <v>1141</v>
      </c>
      <c r="B1365" s="5" t="str">
        <f ca="1">IFERROR(__xludf.DUMMYFUNCTION("""COMPUTED_VALUE"""),"Тараненко")</f>
        <v>Тараненко</v>
      </c>
      <c r="C1365" s="5" t="str">
        <f ca="1">IFERROR(__xludf.DUMMYFUNCTION("""COMPUTED_VALUE"""),"Лидия")</f>
        <v>Лидия</v>
      </c>
      <c r="D1365" s="5" t="str">
        <f ca="1">IFERROR(__xludf.DUMMYFUNCTION("""COMPUTED_VALUE"""),"Николаевна")</f>
        <v>Николаевна</v>
      </c>
      <c r="E1365" s="5"/>
      <c r="F1365" s="6"/>
      <c r="G1365" s="7" t="str">
        <f ca="1">IFERROR(__xludf.DUMMYFUNCTION("""COMPUTED_VALUE"""),"#N/A")</f>
        <v>#N/A</v>
      </c>
    </row>
    <row r="1366" spans="1:7" ht="13.2" x14ac:dyDescent="0.25">
      <c r="A1366" s="5">
        <f ca="1">IFERROR(__xludf.DUMMYFUNCTION("""COMPUTED_VALUE"""),1142)</f>
        <v>1142</v>
      </c>
      <c r="B1366" s="5" t="str">
        <f ca="1">IFERROR(__xludf.DUMMYFUNCTION("""COMPUTED_VALUE"""),"Тараскин")</f>
        <v>Тараскин</v>
      </c>
      <c r="C1366" s="5" t="str">
        <f ca="1">IFERROR(__xludf.DUMMYFUNCTION("""COMPUTED_VALUE"""),"Арсений")</f>
        <v>Арсений</v>
      </c>
      <c r="D1366" s="5" t="str">
        <f ca="1">IFERROR(__xludf.DUMMYFUNCTION("""COMPUTED_VALUE"""),"Алексеевич")</f>
        <v>Алексеевич</v>
      </c>
      <c r="E1366" s="5"/>
      <c r="F1366" s="6"/>
      <c r="G1366" s="7" t="str">
        <f ca="1">IFERROR(__xludf.DUMMYFUNCTION("""COMPUTED_VALUE"""),"#N/A")</f>
        <v>#N/A</v>
      </c>
    </row>
    <row r="1367" spans="1:7" ht="13.2" x14ac:dyDescent="0.25">
      <c r="A1367" s="5">
        <f ca="1">IFERROR(__xludf.DUMMYFUNCTION("""COMPUTED_VALUE"""),1153)</f>
        <v>1153</v>
      </c>
      <c r="B1367" s="5" t="str">
        <f ca="1">IFERROR(__xludf.DUMMYFUNCTION("""COMPUTED_VALUE"""),"Течкина")</f>
        <v>Течкина</v>
      </c>
      <c r="C1367" s="5" t="str">
        <f ca="1">IFERROR(__xludf.DUMMYFUNCTION("""COMPUTED_VALUE"""),"Ольга")</f>
        <v>Ольга</v>
      </c>
      <c r="D1367" s="5" t="str">
        <f ca="1">IFERROR(__xludf.DUMMYFUNCTION("""COMPUTED_VALUE"""),"Михайловна")</f>
        <v>Михайловна</v>
      </c>
      <c r="E1367" s="5"/>
      <c r="F1367" s="6"/>
      <c r="G1367" s="7" t="str">
        <f ca="1">IFERROR(__xludf.DUMMYFUNCTION("""COMPUTED_VALUE"""),"#N/A")</f>
        <v>#N/A</v>
      </c>
    </row>
    <row r="1368" spans="1:7" ht="13.2" x14ac:dyDescent="0.25">
      <c r="A1368" s="5">
        <f ca="1">IFERROR(__xludf.DUMMYFUNCTION("""COMPUTED_VALUE"""),1168)</f>
        <v>1168</v>
      </c>
      <c r="B1368" s="5" t="str">
        <f ca="1">IFERROR(__xludf.DUMMYFUNCTION("""COMPUTED_VALUE"""),"Топорков")</f>
        <v>Топорков</v>
      </c>
      <c r="C1368" s="5" t="str">
        <f ca="1">IFERROR(__xludf.DUMMYFUNCTION("""COMPUTED_VALUE"""),"Алексей")</f>
        <v>Алексей</v>
      </c>
      <c r="D1368" s="5" t="str">
        <f ca="1">IFERROR(__xludf.DUMMYFUNCTION("""COMPUTED_VALUE"""),"Михайлович")</f>
        <v>Михайлович</v>
      </c>
      <c r="E1368" s="5"/>
      <c r="F1368" s="6"/>
      <c r="G1368" s="7" t="str">
        <f ca="1">IFERROR(__xludf.DUMMYFUNCTION("""COMPUTED_VALUE"""),"#N/A")</f>
        <v>#N/A</v>
      </c>
    </row>
    <row r="1369" spans="1:7" ht="13.2" x14ac:dyDescent="0.25">
      <c r="A1369" s="5">
        <f ca="1">IFERROR(__xludf.DUMMYFUNCTION("""COMPUTED_VALUE"""),1170)</f>
        <v>1170</v>
      </c>
      <c r="B1369" s="5" t="str">
        <f ca="1">IFERROR(__xludf.DUMMYFUNCTION("""COMPUTED_VALUE"""),"Третьяков")</f>
        <v>Третьяков</v>
      </c>
      <c r="C1369" s="5" t="str">
        <f ca="1">IFERROR(__xludf.DUMMYFUNCTION("""COMPUTED_VALUE"""),"Семен")</f>
        <v>Семен</v>
      </c>
      <c r="D1369" s="5" t="str">
        <f ca="1">IFERROR(__xludf.DUMMYFUNCTION("""COMPUTED_VALUE"""),"Алексеевич")</f>
        <v>Алексеевич</v>
      </c>
      <c r="E1369" s="5"/>
      <c r="F1369" s="6"/>
      <c r="G1369" s="7" t="str">
        <f ca="1">IFERROR(__xludf.DUMMYFUNCTION("""COMPUTED_VALUE"""),"#N/A")</f>
        <v>#N/A</v>
      </c>
    </row>
    <row r="1370" spans="1:7" ht="13.2" x14ac:dyDescent="0.25">
      <c r="A1370" s="5">
        <f ca="1">IFERROR(__xludf.DUMMYFUNCTION("""COMPUTED_VALUE"""),1177)</f>
        <v>1177</v>
      </c>
      <c r="B1370" s="5" t="str">
        <f ca="1">IFERROR(__xludf.DUMMYFUNCTION("""COMPUTED_VALUE"""),"Трофимов")</f>
        <v>Трофимов</v>
      </c>
      <c r="C1370" s="5" t="str">
        <f ca="1">IFERROR(__xludf.DUMMYFUNCTION("""COMPUTED_VALUE"""),"Кирилл")</f>
        <v>Кирилл</v>
      </c>
      <c r="D1370" s="5" t="str">
        <f ca="1">IFERROR(__xludf.DUMMYFUNCTION("""COMPUTED_VALUE"""),"Евгеньевич")</f>
        <v>Евгеньевич</v>
      </c>
      <c r="E1370" s="5"/>
      <c r="F1370" s="6"/>
      <c r="G1370" s="7" t="str">
        <f ca="1">IFERROR(__xludf.DUMMYFUNCTION("""COMPUTED_VALUE"""),"#N/A")</f>
        <v>#N/A</v>
      </c>
    </row>
    <row r="1371" spans="1:7" ht="13.2" x14ac:dyDescent="0.25">
      <c r="A1371" s="5">
        <f ca="1">IFERROR(__xludf.DUMMYFUNCTION("""COMPUTED_VALUE"""),1182)</f>
        <v>1182</v>
      </c>
      <c r="B1371" s="5" t="str">
        <f ca="1">IFERROR(__xludf.DUMMYFUNCTION("""COMPUTED_VALUE"""),"Тыртычко")</f>
        <v>Тыртычко</v>
      </c>
      <c r="C1371" s="5" t="str">
        <f ca="1">IFERROR(__xludf.DUMMYFUNCTION("""COMPUTED_VALUE"""),"Роман")</f>
        <v>Роман</v>
      </c>
      <c r="D1371" s="5" t="str">
        <f ca="1">IFERROR(__xludf.DUMMYFUNCTION("""COMPUTED_VALUE"""),"Евгеньевич")</f>
        <v>Евгеньевич</v>
      </c>
      <c r="E1371" s="5"/>
      <c r="F1371" s="6"/>
      <c r="G1371" s="7" t="str">
        <f ca="1">IFERROR(__xludf.DUMMYFUNCTION("""COMPUTED_VALUE"""),"#N/A")</f>
        <v>#N/A</v>
      </c>
    </row>
    <row r="1372" spans="1:7" ht="13.2" x14ac:dyDescent="0.25">
      <c r="A1372" s="5">
        <f ca="1">IFERROR(__xludf.DUMMYFUNCTION("""COMPUTED_VALUE"""),1193)</f>
        <v>1193</v>
      </c>
      <c r="B1372" s="5" t="str">
        <f ca="1">IFERROR(__xludf.DUMMYFUNCTION("""COMPUTED_VALUE"""),"Удочкин")</f>
        <v>Удочкин</v>
      </c>
      <c r="C1372" s="5" t="str">
        <f ca="1">IFERROR(__xludf.DUMMYFUNCTION("""COMPUTED_VALUE"""),"Сергей")</f>
        <v>Сергей</v>
      </c>
      <c r="D1372" s="5" t="str">
        <f ca="1">IFERROR(__xludf.DUMMYFUNCTION("""COMPUTED_VALUE"""),"Юрьевич")</f>
        <v>Юрьевич</v>
      </c>
      <c r="E1372" s="5"/>
      <c r="F1372" s="6"/>
      <c r="G1372" s="7" t="str">
        <f ca="1">IFERROR(__xludf.DUMMYFUNCTION("""COMPUTED_VALUE"""),"#N/A")</f>
        <v>#N/A</v>
      </c>
    </row>
    <row r="1373" spans="1:7" ht="13.2" x14ac:dyDescent="0.25">
      <c r="A1373" s="5">
        <f ca="1">IFERROR(__xludf.DUMMYFUNCTION("""COMPUTED_VALUE"""),1219)</f>
        <v>1219</v>
      </c>
      <c r="B1373" s="5" t="str">
        <f ca="1">IFERROR(__xludf.DUMMYFUNCTION("""COMPUTED_VALUE"""),"Фефилов")</f>
        <v>Фефилов</v>
      </c>
      <c r="C1373" s="5" t="str">
        <f ca="1">IFERROR(__xludf.DUMMYFUNCTION("""COMPUTED_VALUE"""),"Александр")</f>
        <v>Александр</v>
      </c>
      <c r="D1373" s="5" t="str">
        <f ca="1">IFERROR(__xludf.DUMMYFUNCTION("""COMPUTED_VALUE"""),"Сергеевич")</f>
        <v>Сергеевич</v>
      </c>
      <c r="E1373" s="5"/>
      <c r="F1373" s="6"/>
      <c r="G1373" s="7" t="str">
        <f ca="1">IFERROR(__xludf.DUMMYFUNCTION("""COMPUTED_VALUE"""),"#N/A")</f>
        <v>#N/A</v>
      </c>
    </row>
    <row r="1374" spans="1:7" ht="13.2" x14ac:dyDescent="0.25">
      <c r="A1374" s="5">
        <f ca="1">IFERROR(__xludf.DUMMYFUNCTION("""COMPUTED_VALUE"""),1220)</f>
        <v>1220</v>
      </c>
      <c r="B1374" s="5" t="str">
        <f ca="1">IFERROR(__xludf.DUMMYFUNCTION("""COMPUTED_VALUE"""),"Филинский")</f>
        <v>Филинский</v>
      </c>
      <c r="C1374" s="5" t="str">
        <f ca="1">IFERROR(__xludf.DUMMYFUNCTION("""COMPUTED_VALUE"""),"Захар")</f>
        <v>Захар</v>
      </c>
      <c r="D1374" s="5" t="str">
        <f ca="1">IFERROR(__xludf.DUMMYFUNCTION("""COMPUTED_VALUE"""),"Евгеньевич")</f>
        <v>Евгеньевич</v>
      </c>
      <c r="E1374" s="5"/>
      <c r="F1374" s="6"/>
      <c r="G1374" s="7" t="str">
        <f ca="1">IFERROR(__xludf.DUMMYFUNCTION("""COMPUTED_VALUE"""),"#N/A")</f>
        <v>#N/A</v>
      </c>
    </row>
    <row r="1375" spans="1:7" ht="13.2" x14ac:dyDescent="0.25">
      <c r="A1375" s="5">
        <f ca="1">IFERROR(__xludf.DUMMYFUNCTION("""COMPUTED_VALUE"""),1221)</f>
        <v>1221</v>
      </c>
      <c r="B1375" s="5" t="str">
        <f ca="1">IFERROR(__xludf.DUMMYFUNCTION("""COMPUTED_VALUE"""),"Филинских")</f>
        <v>Филинских</v>
      </c>
      <c r="C1375" s="5" t="str">
        <f ca="1">IFERROR(__xludf.DUMMYFUNCTION("""COMPUTED_VALUE"""),"Илья")</f>
        <v>Илья</v>
      </c>
      <c r="D1375" s="5" t="str">
        <f ca="1">IFERROR(__xludf.DUMMYFUNCTION("""COMPUTED_VALUE"""),"Дмитриевич")</f>
        <v>Дмитриевич</v>
      </c>
      <c r="E1375" s="5"/>
      <c r="F1375" s="6"/>
      <c r="G1375" s="7" t="str">
        <f ca="1">IFERROR(__xludf.DUMMYFUNCTION("""COMPUTED_VALUE"""),"#N/A")</f>
        <v>#N/A</v>
      </c>
    </row>
    <row r="1376" spans="1:7" ht="13.2" x14ac:dyDescent="0.25">
      <c r="A1376" s="5">
        <f ca="1">IFERROR(__xludf.DUMMYFUNCTION("""COMPUTED_VALUE"""),1226)</f>
        <v>1226</v>
      </c>
      <c r="B1376" s="5" t="str">
        <f ca="1">IFERROR(__xludf.DUMMYFUNCTION("""COMPUTED_VALUE"""),"Филоненко")</f>
        <v>Филоненко</v>
      </c>
      <c r="C1376" s="5" t="str">
        <f ca="1">IFERROR(__xludf.DUMMYFUNCTION("""COMPUTED_VALUE"""),"Павел")</f>
        <v>Павел</v>
      </c>
      <c r="D1376" s="5" t="str">
        <f ca="1">IFERROR(__xludf.DUMMYFUNCTION("""COMPUTED_VALUE"""),"Андреевич")</f>
        <v>Андреевич</v>
      </c>
      <c r="E1376" s="5"/>
      <c r="F1376" s="6"/>
      <c r="G1376" s="7" t="str">
        <f ca="1">IFERROR(__xludf.DUMMYFUNCTION("""COMPUTED_VALUE"""),"#N/A")</f>
        <v>#N/A</v>
      </c>
    </row>
    <row r="1377" spans="1:7" ht="13.2" x14ac:dyDescent="0.25">
      <c r="A1377" s="5">
        <f ca="1">IFERROR(__xludf.DUMMYFUNCTION("""COMPUTED_VALUE"""),1229)</f>
        <v>1229</v>
      </c>
      <c r="B1377" s="5" t="str">
        <f ca="1">IFERROR(__xludf.DUMMYFUNCTION("""COMPUTED_VALUE"""),"Фирстов")</f>
        <v>Фирстов</v>
      </c>
      <c r="C1377" s="5" t="str">
        <f ca="1">IFERROR(__xludf.DUMMYFUNCTION("""COMPUTED_VALUE"""),"Евгений")</f>
        <v>Евгений</v>
      </c>
      <c r="D1377" s="5" t="str">
        <f ca="1">IFERROR(__xludf.DUMMYFUNCTION("""COMPUTED_VALUE"""),"Александрович")</f>
        <v>Александрович</v>
      </c>
      <c r="E1377" s="5"/>
      <c r="F1377" s="6"/>
      <c r="G1377" s="7" t="str">
        <f ca="1">IFERROR(__xludf.DUMMYFUNCTION("""COMPUTED_VALUE"""),"#N/A")</f>
        <v>#N/A</v>
      </c>
    </row>
    <row r="1378" spans="1:7" ht="13.2" x14ac:dyDescent="0.25">
      <c r="A1378" s="5">
        <f ca="1">IFERROR(__xludf.DUMMYFUNCTION("""COMPUTED_VALUE"""),1232)</f>
        <v>1232</v>
      </c>
      <c r="B1378" s="5" t="str">
        <f ca="1">IFERROR(__xludf.DUMMYFUNCTION("""COMPUTED_VALUE"""),"Фомин")</f>
        <v>Фомин</v>
      </c>
      <c r="C1378" s="5" t="str">
        <f ca="1">IFERROR(__xludf.DUMMYFUNCTION("""COMPUTED_VALUE"""),"Илья")</f>
        <v>Илья</v>
      </c>
      <c r="D1378" s="5" t="str">
        <f ca="1">IFERROR(__xludf.DUMMYFUNCTION("""COMPUTED_VALUE"""),"Александрович")</f>
        <v>Александрович</v>
      </c>
      <c r="E1378" s="5"/>
      <c r="F1378" s="6"/>
      <c r="G1378" s="7" t="str">
        <f ca="1">IFERROR(__xludf.DUMMYFUNCTION("""COMPUTED_VALUE"""),"#N/A")</f>
        <v>#N/A</v>
      </c>
    </row>
    <row r="1379" spans="1:7" ht="13.2" x14ac:dyDescent="0.25">
      <c r="A1379" s="5">
        <f ca="1">IFERROR(__xludf.DUMMYFUNCTION("""COMPUTED_VALUE"""),1235)</f>
        <v>1235</v>
      </c>
      <c r="B1379" s="5" t="str">
        <f ca="1">IFERROR(__xludf.DUMMYFUNCTION("""COMPUTED_VALUE"""),"Хабибуллина")</f>
        <v>Хабибуллина</v>
      </c>
      <c r="C1379" s="5" t="str">
        <f ca="1">IFERROR(__xludf.DUMMYFUNCTION("""COMPUTED_VALUE"""),"Диана")</f>
        <v>Диана</v>
      </c>
      <c r="D1379" s="5" t="str">
        <f ca="1">IFERROR(__xludf.DUMMYFUNCTION("""COMPUTED_VALUE"""),"Эриковна")</f>
        <v>Эриковна</v>
      </c>
      <c r="E1379" s="5"/>
      <c r="F1379" s="6"/>
      <c r="G1379" s="7" t="str">
        <f ca="1">IFERROR(__xludf.DUMMYFUNCTION("""COMPUTED_VALUE"""),"#N/A")</f>
        <v>#N/A</v>
      </c>
    </row>
    <row r="1380" spans="1:7" ht="13.2" x14ac:dyDescent="0.25">
      <c r="A1380" s="5">
        <f ca="1">IFERROR(__xludf.DUMMYFUNCTION("""COMPUTED_VALUE"""),1251)</f>
        <v>1251</v>
      </c>
      <c r="B1380" s="5" t="str">
        <f ca="1">IFERROR(__xludf.DUMMYFUNCTION("""COMPUTED_VALUE"""),"Хламов")</f>
        <v>Хламов</v>
      </c>
      <c r="C1380" s="5" t="str">
        <f ca="1">IFERROR(__xludf.DUMMYFUNCTION("""COMPUTED_VALUE"""),"Роман")</f>
        <v>Роман</v>
      </c>
      <c r="D1380" s="5" t="str">
        <f ca="1">IFERROR(__xludf.DUMMYFUNCTION("""COMPUTED_VALUE"""),"Сергеевич")</f>
        <v>Сергеевич</v>
      </c>
      <c r="E1380" s="5"/>
      <c r="F1380" s="6"/>
      <c r="G1380" s="7" t="str">
        <f ca="1">IFERROR(__xludf.DUMMYFUNCTION("""COMPUTED_VALUE"""),"#N/A")</f>
        <v>#N/A</v>
      </c>
    </row>
    <row r="1381" spans="1:7" ht="13.2" x14ac:dyDescent="0.25">
      <c r="A1381" s="5">
        <f ca="1">IFERROR(__xludf.DUMMYFUNCTION("""COMPUTED_VALUE"""),1257)</f>
        <v>1257</v>
      </c>
      <c r="B1381" s="5" t="str">
        <f ca="1">IFERROR(__xludf.DUMMYFUNCTION("""COMPUTED_VALUE"""),"Худяков")</f>
        <v>Худяков</v>
      </c>
      <c r="C1381" s="5" t="str">
        <f ca="1">IFERROR(__xludf.DUMMYFUNCTION("""COMPUTED_VALUE"""),"Сергей")</f>
        <v>Сергей</v>
      </c>
      <c r="D1381" s="5" t="str">
        <f ca="1">IFERROR(__xludf.DUMMYFUNCTION("""COMPUTED_VALUE"""),"Дмитриевич")</f>
        <v>Дмитриевич</v>
      </c>
      <c r="E1381" s="5"/>
      <c r="F1381" s="6"/>
      <c r="G1381" s="7" t="str">
        <f ca="1">IFERROR(__xludf.DUMMYFUNCTION("""COMPUTED_VALUE"""),"#N/A")</f>
        <v>#N/A</v>
      </c>
    </row>
    <row r="1382" spans="1:7" ht="13.2" x14ac:dyDescent="0.25">
      <c r="A1382" s="5">
        <f ca="1">IFERROR(__xludf.DUMMYFUNCTION("""COMPUTED_VALUE"""),1262)</f>
        <v>1262</v>
      </c>
      <c r="B1382" s="5" t="str">
        <f ca="1">IFERROR(__xludf.DUMMYFUNCTION("""COMPUTED_VALUE"""),"Хуснутдинов")</f>
        <v>Хуснутдинов</v>
      </c>
      <c r="C1382" s="5" t="str">
        <f ca="1">IFERROR(__xludf.DUMMYFUNCTION("""COMPUTED_VALUE"""),"Влад")</f>
        <v>Влад</v>
      </c>
      <c r="D1382" s="5" t="str">
        <f ca="1">IFERROR(__xludf.DUMMYFUNCTION("""COMPUTED_VALUE"""),"Ринатович")</f>
        <v>Ринатович</v>
      </c>
      <c r="E1382" s="5"/>
      <c r="F1382" s="6"/>
      <c r="G1382" s="7" t="str">
        <f ca="1">IFERROR(__xludf.DUMMYFUNCTION("""COMPUTED_VALUE"""),"#N/A")</f>
        <v>#N/A</v>
      </c>
    </row>
    <row r="1383" spans="1:7" ht="13.2" x14ac:dyDescent="0.25">
      <c r="A1383" s="5">
        <f ca="1">IFERROR(__xludf.DUMMYFUNCTION("""COMPUTED_VALUE"""),1286)</f>
        <v>1286</v>
      </c>
      <c r="B1383" s="5" t="str">
        <f ca="1">IFERROR(__xludf.DUMMYFUNCTION("""COMPUTED_VALUE"""),"Чернышов")</f>
        <v>Чернышов</v>
      </c>
      <c r="C1383" s="5" t="str">
        <f ca="1">IFERROR(__xludf.DUMMYFUNCTION("""COMPUTED_VALUE"""),"Лев")</f>
        <v>Лев</v>
      </c>
      <c r="D1383" s="5" t="str">
        <f ca="1">IFERROR(__xludf.DUMMYFUNCTION("""COMPUTED_VALUE"""),"Максимович")</f>
        <v>Максимович</v>
      </c>
      <c r="E1383" s="5"/>
      <c r="F1383" s="6"/>
      <c r="G1383" s="7" t="str">
        <f ca="1">IFERROR(__xludf.DUMMYFUNCTION("""COMPUTED_VALUE"""),"#N/A")</f>
        <v>#N/A</v>
      </c>
    </row>
    <row r="1384" spans="1:7" ht="13.2" x14ac:dyDescent="0.25">
      <c r="A1384" s="5">
        <f ca="1">IFERROR(__xludf.DUMMYFUNCTION("""COMPUTED_VALUE"""),1292)</f>
        <v>1292</v>
      </c>
      <c r="B1384" s="5" t="str">
        <f ca="1">IFERROR(__xludf.DUMMYFUNCTION("""COMPUTED_VALUE"""),"Чугалаев")</f>
        <v>Чугалаев</v>
      </c>
      <c r="C1384" s="5" t="str">
        <f ca="1">IFERROR(__xludf.DUMMYFUNCTION("""COMPUTED_VALUE"""),"Артем")</f>
        <v>Артем</v>
      </c>
      <c r="D1384" s="5" t="str">
        <f ca="1">IFERROR(__xludf.DUMMYFUNCTION("""COMPUTED_VALUE"""),"Радифович")</f>
        <v>Радифович</v>
      </c>
      <c r="E1384" s="5"/>
      <c r="F1384" s="6"/>
      <c r="G1384" s="7" t="str">
        <f ca="1">IFERROR(__xludf.DUMMYFUNCTION("""COMPUTED_VALUE"""),"#N/A")</f>
        <v>#N/A</v>
      </c>
    </row>
    <row r="1385" spans="1:7" ht="13.2" x14ac:dyDescent="0.25">
      <c r="A1385" s="5">
        <f ca="1">IFERROR(__xludf.DUMMYFUNCTION("""COMPUTED_VALUE"""),1310)</f>
        <v>1310</v>
      </c>
      <c r="B1385" s="5" t="str">
        <f ca="1">IFERROR(__xludf.DUMMYFUNCTION("""COMPUTED_VALUE"""),"Шаныгин")</f>
        <v>Шаныгин</v>
      </c>
      <c r="C1385" s="5" t="str">
        <f ca="1">IFERROR(__xludf.DUMMYFUNCTION("""COMPUTED_VALUE"""),"Михаил")</f>
        <v>Михаил</v>
      </c>
      <c r="D1385" s="5" t="str">
        <f ca="1">IFERROR(__xludf.DUMMYFUNCTION("""COMPUTED_VALUE"""),"Александрович")</f>
        <v>Александрович</v>
      </c>
      <c r="E1385" s="5"/>
      <c r="F1385" s="6"/>
      <c r="G1385" s="7" t="str">
        <f ca="1">IFERROR(__xludf.DUMMYFUNCTION("""COMPUTED_VALUE"""),"#N/A")</f>
        <v>#N/A</v>
      </c>
    </row>
    <row r="1386" spans="1:7" ht="13.2" x14ac:dyDescent="0.25">
      <c r="A1386" s="5">
        <f ca="1">IFERROR(__xludf.DUMMYFUNCTION("""COMPUTED_VALUE"""),1316)</f>
        <v>1316</v>
      </c>
      <c r="B1386" s="5" t="str">
        <f ca="1">IFERROR(__xludf.DUMMYFUNCTION("""COMPUTED_VALUE"""),"Шардаков")</f>
        <v>Шардаков</v>
      </c>
      <c r="C1386" s="5" t="str">
        <f ca="1">IFERROR(__xludf.DUMMYFUNCTION("""COMPUTED_VALUE"""),"Егор")</f>
        <v>Егор</v>
      </c>
      <c r="D1386" s="5" t="str">
        <f ca="1">IFERROR(__xludf.DUMMYFUNCTION("""COMPUTED_VALUE"""),"Андреевич")</f>
        <v>Андреевич</v>
      </c>
      <c r="E1386" s="5"/>
      <c r="F1386" s="6"/>
      <c r="G1386" s="7" t="str">
        <f ca="1">IFERROR(__xludf.DUMMYFUNCTION("""COMPUTED_VALUE"""),"#N/A")</f>
        <v>#N/A</v>
      </c>
    </row>
    <row r="1387" spans="1:7" ht="13.2" x14ac:dyDescent="0.25">
      <c r="A1387" s="5">
        <f ca="1">IFERROR(__xludf.DUMMYFUNCTION("""COMPUTED_VALUE"""),1323)</f>
        <v>1323</v>
      </c>
      <c r="B1387" s="5" t="str">
        <f ca="1">IFERROR(__xludf.DUMMYFUNCTION("""COMPUTED_VALUE"""),"Шевлякова")</f>
        <v>Шевлякова</v>
      </c>
      <c r="C1387" s="5" t="str">
        <f ca="1">IFERROR(__xludf.DUMMYFUNCTION("""COMPUTED_VALUE"""),"Алёна")</f>
        <v>Алёна</v>
      </c>
      <c r="D1387" s="5" t="str">
        <f ca="1">IFERROR(__xludf.DUMMYFUNCTION("""COMPUTED_VALUE"""),"Анатольевна")</f>
        <v>Анатольевна</v>
      </c>
      <c r="E1387" s="5"/>
      <c r="F1387" s="6"/>
      <c r="G1387" s="7" t="str">
        <f ca="1">IFERROR(__xludf.DUMMYFUNCTION("""COMPUTED_VALUE"""),"#N/A")</f>
        <v>#N/A</v>
      </c>
    </row>
    <row r="1388" spans="1:7" ht="13.2" x14ac:dyDescent="0.25">
      <c r="A1388" s="5">
        <f ca="1">IFERROR(__xludf.DUMMYFUNCTION("""COMPUTED_VALUE"""),1342)</f>
        <v>1342</v>
      </c>
      <c r="B1388" s="5" t="str">
        <f ca="1">IFERROR(__xludf.DUMMYFUNCTION("""COMPUTED_VALUE"""),"Шляга")</f>
        <v>Шляга</v>
      </c>
      <c r="C1388" s="5" t="str">
        <f ca="1">IFERROR(__xludf.DUMMYFUNCTION("""COMPUTED_VALUE"""),"Галина")</f>
        <v>Галина</v>
      </c>
      <c r="D1388" s="5" t="str">
        <f ca="1">IFERROR(__xludf.DUMMYFUNCTION("""COMPUTED_VALUE"""),"Сергеевна")</f>
        <v>Сергеевна</v>
      </c>
      <c r="E1388" s="5"/>
      <c r="F1388" s="6"/>
      <c r="G1388" s="7" t="str">
        <f ca="1">IFERROR(__xludf.DUMMYFUNCTION("""COMPUTED_VALUE"""),"#N/A")</f>
        <v>#N/A</v>
      </c>
    </row>
    <row r="1389" spans="1:7" ht="13.2" x14ac:dyDescent="0.25">
      <c r="A1389" s="5">
        <f ca="1">IFERROR(__xludf.DUMMYFUNCTION("""COMPUTED_VALUE"""),1347)</f>
        <v>1347</v>
      </c>
      <c r="B1389" s="5" t="str">
        <f ca="1">IFERROR(__xludf.DUMMYFUNCTION("""COMPUTED_VALUE"""),"Шубина")</f>
        <v>Шубина</v>
      </c>
      <c r="C1389" s="5" t="str">
        <f ca="1">IFERROR(__xludf.DUMMYFUNCTION("""COMPUTED_VALUE"""),"Арина")</f>
        <v>Арина</v>
      </c>
      <c r="D1389" s="5" t="str">
        <f ca="1">IFERROR(__xludf.DUMMYFUNCTION("""COMPUTED_VALUE"""),"Николаевна")</f>
        <v>Николаевна</v>
      </c>
      <c r="E1389" s="5"/>
      <c r="F1389" s="6"/>
      <c r="G1389" s="7" t="str">
        <f ca="1">IFERROR(__xludf.DUMMYFUNCTION("""COMPUTED_VALUE"""),"#N/A")</f>
        <v>#N/A</v>
      </c>
    </row>
    <row r="1390" spans="1:7" ht="13.2" x14ac:dyDescent="0.25">
      <c r="A1390" s="5">
        <f ca="1">IFERROR(__xludf.DUMMYFUNCTION("""COMPUTED_VALUE"""),1353)</f>
        <v>1353</v>
      </c>
      <c r="B1390" s="5" t="str">
        <f ca="1">IFERROR(__xludf.DUMMYFUNCTION("""COMPUTED_VALUE"""),"Щелков")</f>
        <v>Щелков</v>
      </c>
      <c r="C1390" s="5" t="str">
        <f ca="1">IFERROR(__xludf.DUMMYFUNCTION("""COMPUTED_VALUE"""),"Семен")</f>
        <v>Семен</v>
      </c>
      <c r="D1390" s="5" t="str">
        <f ca="1">IFERROR(__xludf.DUMMYFUNCTION("""COMPUTED_VALUE"""),"Алексеевич")</f>
        <v>Алексеевич</v>
      </c>
      <c r="E1390" s="5"/>
      <c r="F1390" s="6"/>
      <c r="G1390" s="7" t="str">
        <f ca="1">IFERROR(__xludf.DUMMYFUNCTION("""COMPUTED_VALUE"""),"#N/A")</f>
        <v>#N/A</v>
      </c>
    </row>
    <row r="1391" spans="1:7" ht="13.2" x14ac:dyDescent="0.25">
      <c r="A1391" s="5">
        <f ca="1">IFERROR(__xludf.DUMMYFUNCTION("""COMPUTED_VALUE"""),1363)</f>
        <v>1363</v>
      </c>
      <c r="B1391" s="5" t="str">
        <f ca="1">IFERROR(__xludf.DUMMYFUNCTION("""COMPUTED_VALUE"""),"Юнес")</f>
        <v>Юнес</v>
      </c>
      <c r="C1391" s="5" t="str">
        <f ca="1">IFERROR(__xludf.DUMMYFUNCTION("""COMPUTED_VALUE"""),"Башар")</f>
        <v>Башар</v>
      </c>
      <c r="D1391" s="5" t="str">
        <f ca="1">IFERROR(__xludf.DUMMYFUNCTION("""COMPUTED_VALUE"""),"Абдельгафар")</f>
        <v>Абдельгафар</v>
      </c>
      <c r="E1391" s="5"/>
      <c r="F1391" s="6"/>
      <c r="G1391" s="7" t="str">
        <f ca="1">IFERROR(__xludf.DUMMYFUNCTION("""COMPUTED_VALUE"""),"#N/A")</f>
        <v>#N/A</v>
      </c>
    </row>
    <row r="1392" spans="1:7" ht="13.2" x14ac:dyDescent="0.25">
      <c r="A1392" s="5">
        <f ca="1">IFERROR(__xludf.DUMMYFUNCTION("""COMPUTED_VALUE"""),1369)</f>
        <v>1369</v>
      </c>
      <c r="B1392" s="5" t="str">
        <f ca="1">IFERROR(__xludf.DUMMYFUNCTION("""COMPUTED_VALUE"""),"Юрченков")</f>
        <v>Юрченков</v>
      </c>
      <c r="C1392" s="5" t="str">
        <f ca="1">IFERROR(__xludf.DUMMYFUNCTION("""COMPUTED_VALUE"""),"Всеволод")</f>
        <v>Всеволод</v>
      </c>
      <c r="D1392" s="5" t="str">
        <f ca="1">IFERROR(__xludf.DUMMYFUNCTION("""COMPUTED_VALUE"""),"Витальевич")</f>
        <v>Витальевич</v>
      </c>
      <c r="E1392" s="5"/>
      <c r="F1392" s="6"/>
      <c r="G1392" s="7" t="str">
        <f ca="1">IFERROR(__xludf.DUMMYFUNCTION("""COMPUTED_VALUE"""),"#N/A")</f>
        <v>#N/A</v>
      </c>
    </row>
    <row r="1393" spans="1:7" ht="13.2" x14ac:dyDescent="0.25">
      <c r="A1393" s="5">
        <f ca="1">IFERROR(__xludf.DUMMYFUNCTION("""COMPUTED_VALUE"""),1375)</f>
        <v>1375</v>
      </c>
      <c r="B1393" s="5" t="str">
        <f ca="1">IFERROR(__xludf.DUMMYFUNCTION("""COMPUTED_VALUE"""),"Якимчук")</f>
        <v>Якимчук</v>
      </c>
      <c r="C1393" s="5" t="str">
        <f ca="1">IFERROR(__xludf.DUMMYFUNCTION("""COMPUTED_VALUE"""),"Валерий")</f>
        <v>Валерий</v>
      </c>
      <c r="D1393" s="5" t="str">
        <f ca="1">IFERROR(__xludf.DUMMYFUNCTION("""COMPUTED_VALUE"""),"Витальевич")</f>
        <v>Витальевич</v>
      </c>
      <c r="E1393" s="5"/>
      <c r="F1393" s="6"/>
      <c r="G1393" s="7" t="str">
        <f ca="1">IFERROR(__xludf.DUMMYFUNCTION("""COMPUTED_VALUE"""),"#N/A")</f>
        <v>#N/A</v>
      </c>
    </row>
    <row r="1394" spans="1:7" ht="13.2" x14ac:dyDescent="0.25">
      <c r="A1394" s="5">
        <f ca="1">IFERROR(__xludf.DUMMYFUNCTION("""COMPUTED_VALUE"""),1384)</f>
        <v>1384</v>
      </c>
      <c r="B1394" s="5" t="str">
        <f ca="1">IFERROR(__xludf.DUMMYFUNCTION("""COMPUTED_VALUE"""),"Яночкин")</f>
        <v>Яночкин</v>
      </c>
      <c r="C1394" s="5" t="str">
        <f ca="1">IFERROR(__xludf.DUMMYFUNCTION("""COMPUTED_VALUE"""),"Андрей")</f>
        <v>Андрей</v>
      </c>
      <c r="D1394" s="5" t="str">
        <f ca="1">IFERROR(__xludf.DUMMYFUNCTION("""COMPUTED_VALUE"""),"Витальевич")</f>
        <v>Витальевич</v>
      </c>
      <c r="E1394" s="5"/>
      <c r="F1394" s="6"/>
      <c r="G1394" s="7" t="str">
        <f ca="1">IFERROR(__xludf.DUMMYFUNCTION("""COMPUTED_VALUE"""),"#N/A")</f>
        <v>#N/A</v>
      </c>
    </row>
    <row r="1395" spans="1:7" ht="13.2" x14ac:dyDescent="0.25">
      <c r="A1395" s="5">
        <f ca="1">IFERROR(__xludf.DUMMYFUNCTION("""COMPUTED_VALUE"""),1385)</f>
        <v>1385</v>
      </c>
      <c r="B1395" s="5" t="str">
        <f ca="1">IFERROR(__xludf.DUMMYFUNCTION("""COMPUTED_VALUE"""),"Янчёнок")</f>
        <v>Янчёнок</v>
      </c>
      <c r="C1395" s="5" t="str">
        <f ca="1">IFERROR(__xludf.DUMMYFUNCTION("""COMPUTED_VALUE"""),"Карина")</f>
        <v>Карина</v>
      </c>
      <c r="D1395" s="5" t="str">
        <f ca="1">IFERROR(__xludf.DUMMYFUNCTION("""COMPUTED_VALUE"""),"Алексеевна")</f>
        <v>Алексеевна</v>
      </c>
      <c r="E1395" s="5"/>
      <c r="F1395" s="6"/>
      <c r="G1395" s="7" t="str">
        <f ca="1">IFERROR(__xludf.DUMMYFUNCTION("""COMPUTED_VALUE"""),"#N/A")</f>
        <v>#N/A</v>
      </c>
    </row>
    <row r="1396" spans="1:7" ht="13.2" x14ac:dyDescent="0.25">
      <c r="A1396" s="5">
        <f ca="1">IFERROR(__xludf.DUMMYFUNCTION("""COMPUTED_VALUE"""),1388)</f>
        <v>1388</v>
      </c>
      <c r="B1396" s="5" t="str">
        <f ca="1">IFERROR(__xludf.DUMMYFUNCTION("""COMPUTED_VALUE"""),"Яричин")</f>
        <v>Яричин</v>
      </c>
      <c r="C1396" s="5" t="str">
        <f ca="1">IFERROR(__xludf.DUMMYFUNCTION("""COMPUTED_VALUE"""),"Игорь")</f>
        <v>Игорь</v>
      </c>
      <c r="D1396" s="5" t="str">
        <f ca="1">IFERROR(__xludf.DUMMYFUNCTION("""COMPUTED_VALUE"""),"Вадимович")</f>
        <v>Вадимович</v>
      </c>
      <c r="E1396" s="5"/>
      <c r="F1396" s="6"/>
      <c r="G1396" s="7" t="str">
        <f ca="1">IFERROR(__xludf.DUMMYFUNCTION("""COMPUTED_VALUE"""),"#N/A")</f>
        <v>#N/A</v>
      </c>
    </row>
    <row r="1397" spans="1:7" ht="13.2" x14ac:dyDescent="0.25">
      <c r="A1397" s="5">
        <f ca="1">IFERROR(__xludf.DUMMYFUNCTION("""COMPUTED_VALUE"""),1392)</f>
        <v>1392</v>
      </c>
      <c r="B1397" s="5" t="str">
        <f ca="1">IFERROR(__xludf.DUMMYFUNCTION("""COMPUTED_VALUE"""),"Ястребов")</f>
        <v>Ястребов</v>
      </c>
      <c r="C1397" s="5" t="str">
        <f ca="1">IFERROR(__xludf.DUMMYFUNCTION("""COMPUTED_VALUE"""),"Виталий")</f>
        <v>Виталий</v>
      </c>
      <c r="D1397" s="5" t="str">
        <f ca="1">IFERROR(__xludf.DUMMYFUNCTION("""COMPUTED_VALUE"""),"Сергеевич")</f>
        <v>Сергеевич</v>
      </c>
      <c r="E1397" s="5"/>
      <c r="F1397" s="6"/>
      <c r="G1397" s="7" t="str">
        <f ca="1">IFERROR(__xludf.DUMMYFUNCTION("""COMPUTED_VALUE"""),"#N/A")</f>
        <v>#N/A</v>
      </c>
    </row>
    <row r="1398" spans="1:7" ht="13.2" x14ac:dyDescent="0.25">
      <c r="A1398" s="5"/>
      <c r="B1398" s="5"/>
      <c r="C1398" s="5"/>
      <c r="D1398" s="5"/>
      <c r="E1398" s="5"/>
      <c r="F1398" s="6"/>
      <c r="G1398" s="7"/>
    </row>
    <row r="1399" spans="1:7" ht="13.2" x14ac:dyDescent="0.25">
      <c r="A1399" s="5"/>
      <c r="B1399" s="5"/>
      <c r="C1399" s="5"/>
      <c r="D1399" s="5"/>
      <c r="E1399" s="5"/>
      <c r="F1399" s="6"/>
      <c r="G1399" s="7"/>
    </row>
    <row r="1400" spans="1:7" ht="13.2" x14ac:dyDescent="0.25">
      <c r="A1400" s="5"/>
      <c r="B1400" s="5"/>
      <c r="C1400" s="5"/>
      <c r="D1400" s="5"/>
      <c r="E1400" s="5"/>
      <c r="F1400" s="6"/>
      <c r="G1400" s="7"/>
    </row>
    <row r="1401" spans="1:7" ht="13.2" x14ac:dyDescent="0.25">
      <c r="A1401" s="5"/>
      <c r="B1401" s="5"/>
      <c r="C1401" s="5"/>
      <c r="D1401" s="5"/>
      <c r="E1401" s="5"/>
      <c r="F1401" s="6"/>
      <c r="G1401" s="7"/>
    </row>
    <row r="1402" spans="1:7" ht="13.2" x14ac:dyDescent="0.25">
      <c r="A1402" s="5"/>
      <c r="B1402" s="5"/>
      <c r="C1402" s="5"/>
      <c r="D1402" s="5"/>
      <c r="E1402" s="5"/>
      <c r="F1402" s="6"/>
      <c r="G1402" s="7"/>
    </row>
    <row r="1403" spans="1:7" ht="13.2" x14ac:dyDescent="0.25">
      <c r="A1403" s="5"/>
      <c r="B1403" s="5"/>
      <c r="C1403" s="5"/>
      <c r="D1403" s="5"/>
      <c r="E1403" s="5"/>
      <c r="F1403" s="6"/>
      <c r="G1403" s="7"/>
    </row>
    <row r="1404" spans="1:7" ht="13.2" x14ac:dyDescent="0.25">
      <c r="A1404" s="5"/>
      <c r="B1404" s="5"/>
      <c r="C1404" s="5"/>
      <c r="D1404" s="5"/>
      <c r="E1404" s="5"/>
      <c r="F1404" s="6"/>
      <c r="G1404" s="7"/>
    </row>
    <row r="1405" spans="1:7" ht="13.2" x14ac:dyDescent="0.25">
      <c r="A1405" s="5"/>
      <c r="B1405" s="5"/>
      <c r="C1405" s="5"/>
      <c r="D1405" s="5"/>
      <c r="E1405" s="5"/>
      <c r="F1405" s="6"/>
      <c r="G1405" s="7"/>
    </row>
    <row r="1406" spans="1:7" ht="13.2" x14ac:dyDescent="0.25">
      <c r="A1406" s="5"/>
      <c r="B1406" s="5"/>
      <c r="C1406" s="5"/>
      <c r="D1406" s="5"/>
      <c r="E1406" s="5"/>
      <c r="F1406" s="6"/>
      <c r="G1406" s="7"/>
    </row>
    <row r="1407" spans="1:7" ht="13.2" x14ac:dyDescent="0.25">
      <c r="A1407" s="5"/>
      <c r="B1407" s="5"/>
      <c r="C1407" s="5"/>
      <c r="D1407" s="5"/>
      <c r="E1407" s="5"/>
      <c r="F1407" s="6"/>
      <c r="G1407" s="7"/>
    </row>
    <row r="1408" spans="1:7" ht="13.2" x14ac:dyDescent="0.25">
      <c r="A1408" s="5"/>
      <c r="B1408" s="5"/>
      <c r="C1408" s="5"/>
      <c r="D1408" s="5"/>
      <c r="E1408" s="5"/>
      <c r="F1408" s="6"/>
      <c r="G1408" s="7"/>
    </row>
    <row r="1409" spans="1:7" ht="13.2" x14ac:dyDescent="0.25">
      <c r="A1409" s="5"/>
      <c r="B1409" s="5"/>
      <c r="C1409" s="5"/>
      <c r="D1409" s="5"/>
      <c r="E1409" s="5"/>
      <c r="F1409" s="6"/>
      <c r="G1409" s="7"/>
    </row>
    <row r="1410" spans="1:7" ht="13.2" x14ac:dyDescent="0.25">
      <c r="A1410" s="5"/>
      <c r="B1410" s="5"/>
      <c r="C1410" s="5"/>
      <c r="D1410" s="5"/>
      <c r="E1410" s="5"/>
      <c r="F1410" s="6"/>
      <c r="G1410" s="7"/>
    </row>
    <row r="1411" spans="1:7" ht="13.2" x14ac:dyDescent="0.25">
      <c r="A1411" s="5"/>
      <c r="B1411" s="5"/>
      <c r="C1411" s="5"/>
      <c r="D1411" s="5"/>
      <c r="E1411" s="5"/>
      <c r="F1411" s="6"/>
      <c r="G1411" s="7"/>
    </row>
    <row r="1412" spans="1:7" ht="13.2" x14ac:dyDescent="0.25">
      <c r="A1412" s="5"/>
      <c r="B1412" s="5"/>
      <c r="C1412" s="5"/>
      <c r="D1412" s="5"/>
      <c r="E1412" s="5"/>
      <c r="F1412" s="6"/>
      <c r="G1412" s="7"/>
    </row>
    <row r="1413" spans="1:7" ht="13.2" x14ac:dyDescent="0.25">
      <c r="A1413" s="5"/>
      <c r="B1413" s="5"/>
      <c r="C1413" s="5"/>
      <c r="D1413" s="5"/>
      <c r="E1413" s="5"/>
      <c r="F1413" s="6"/>
      <c r="G1413" s="7"/>
    </row>
    <row r="1414" spans="1:7" ht="13.2" x14ac:dyDescent="0.25">
      <c r="A1414" s="5"/>
      <c r="B1414" s="5"/>
      <c r="C1414" s="5"/>
      <c r="D1414" s="5"/>
      <c r="E1414" s="5"/>
      <c r="F1414" s="6"/>
      <c r="G1414" s="7"/>
    </row>
    <row r="1415" spans="1:7" ht="13.2" x14ac:dyDescent="0.25">
      <c r="A1415" s="5"/>
      <c r="B1415" s="5"/>
      <c r="C1415" s="5"/>
      <c r="D1415" s="5"/>
      <c r="E1415" s="5"/>
      <c r="F1415" s="6"/>
      <c r="G1415" s="7"/>
    </row>
    <row r="1416" spans="1:7" ht="13.2" x14ac:dyDescent="0.25">
      <c r="A1416" s="5"/>
      <c r="B1416" s="5"/>
      <c r="C1416" s="5"/>
      <c r="D1416" s="5"/>
      <c r="E1416" s="5"/>
      <c r="F1416" s="6"/>
      <c r="G1416" s="7"/>
    </row>
    <row r="1417" spans="1:7" ht="13.2" x14ac:dyDescent="0.25">
      <c r="A1417" s="5"/>
      <c r="B1417" s="5"/>
      <c r="C1417" s="5"/>
      <c r="D1417" s="5"/>
      <c r="E1417" s="5"/>
      <c r="F1417" s="6"/>
      <c r="G1417" s="7"/>
    </row>
    <row r="1418" spans="1:7" ht="13.2" x14ac:dyDescent="0.25">
      <c r="A1418" s="5"/>
      <c r="B1418" s="5"/>
      <c r="C1418" s="5"/>
      <c r="D1418" s="5"/>
      <c r="E1418" s="5"/>
      <c r="F1418" s="6"/>
      <c r="G1418" s="7"/>
    </row>
    <row r="1419" spans="1:7" ht="13.2" x14ac:dyDescent="0.25">
      <c r="A1419" s="5"/>
      <c r="B1419" s="5"/>
      <c r="C1419" s="5"/>
      <c r="D1419" s="5"/>
      <c r="E1419" s="5"/>
      <c r="F1419" s="6"/>
      <c r="G1419" s="7"/>
    </row>
    <row r="1420" spans="1:7" ht="13.2" x14ac:dyDescent="0.25">
      <c r="A1420" s="5"/>
      <c r="B1420" s="5"/>
      <c r="C1420" s="5"/>
      <c r="D1420" s="5"/>
      <c r="E1420" s="5"/>
      <c r="F1420" s="6"/>
      <c r="G1420" s="7"/>
    </row>
    <row r="1421" spans="1:7" ht="13.2" x14ac:dyDescent="0.25">
      <c r="A1421" s="5"/>
      <c r="B1421" s="5"/>
      <c r="C1421" s="5"/>
      <c r="D1421" s="5"/>
      <c r="E1421" s="5"/>
      <c r="F1421" s="6"/>
      <c r="G1421" s="7"/>
    </row>
    <row r="1422" spans="1:7" ht="13.2" x14ac:dyDescent="0.25">
      <c r="A1422" s="5"/>
      <c r="B1422" s="5"/>
      <c r="C1422" s="5"/>
      <c r="D1422" s="5"/>
      <c r="E1422" s="5"/>
      <c r="F1422" s="6"/>
      <c r="G1422" s="7"/>
    </row>
    <row r="1423" spans="1:7" ht="13.2" x14ac:dyDescent="0.25">
      <c r="A1423" s="5"/>
      <c r="B1423" s="5"/>
      <c r="C1423" s="5"/>
      <c r="D1423" s="5"/>
      <c r="E1423" s="5"/>
      <c r="F1423" s="6"/>
      <c r="G1423" s="7"/>
    </row>
    <row r="1424" spans="1:7" ht="13.2" x14ac:dyDescent="0.25">
      <c r="A1424" s="5"/>
      <c r="B1424" s="5"/>
      <c r="C1424" s="5"/>
      <c r="D1424" s="5"/>
      <c r="E1424" s="5"/>
      <c r="F1424" s="6"/>
      <c r="G1424" s="7"/>
    </row>
    <row r="1425" spans="1:7" ht="13.2" x14ac:dyDescent="0.25">
      <c r="A1425" s="5"/>
      <c r="B1425" s="5"/>
      <c r="C1425" s="5"/>
      <c r="D1425" s="5"/>
      <c r="E1425" s="5"/>
      <c r="F1425" s="6"/>
      <c r="G1425" s="7"/>
    </row>
    <row r="1426" spans="1:7" ht="13.2" x14ac:dyDescent="0.25">
      <c r="A1426" s="5"/>
      <c r="B1426" s="5"/>
      <c r="C1426" s="5"/>
      <c r="D1426" s="5"/>
      <c r="E1426" s="5"/>
      <c r="F1426" s="6"/>
      <c r="G1426" s="7"/>
    </row>
    <row r="1427" spans="1:7" ht="13.2" x14ac:dyDescent="0.25">
      <c r="A1427" s="5"/>
      <c r="B1427" s="5"/>
      <c r="C1427" s="5"/>
      <c r="D1427" s="5"/>
      <c r="E1427" s="5"/>
      <c r="F1427" s="6"/>
      <c r="G1427" s="7"/>
    </row>
    <row r="1428" spans="1:7" ht="13.2" x14ac:dyDescent="0.25">
      <c r="A1428" s="5"/>
      <c r="B1428" s="5"/>
      <c r="C1428" s="5"/>
      <c r="D1428" s="5"/>
      <c r="E1428" s="5"/>
      <c r="F1428" s="6"/>
      <c r="G1428" s="7"/>
    </row>
    <row r="1429" spans="1:7" ht="13.2" x14ac:dyDescent="0.25">
      <c r="A1429" s="5"/>
      <c r="B1429" s="5"/>
      <c r="C1429" s="5"/>
      <c r="D1429" s="5"/>
      <c r="E1429" s="5"/>
      <c r="F1429" s="6"/>
      <c r="G1429" s="7"/>
    </row>
    <row r="1430" spans="1:7" ht="13.2" x14ac:dyDescent="0.25">
      <c r="A1430" s="5"/>
      <c r="B1430" s="5"/>
      <c r="C1430" s="5"/>
      <c r="D1430" s="5"/>
      <c r="E1430" s="5"/>
      <c r="F1430" s="6"/>
      <c r="G1430" s="7"/>
    </row>
    <row r="1431" spans="1:7" ht="13.2" x14ac:dyDescent="0.25">
      <c r="A1431" s="5"/>
      <c r="B1431" s="5"/>
      <c r="C1431" s="5"/>
      <c r="D1431" s="5"/>
      <c r="E1431" s="5"/>
      <c r="F1431" s="6"/>
      <c r="G1431" s="7"/>
    </row>
    <row r="1432" spans="1:7" ht="13.2" x14ac:dyDescent="0.25">
      <c r="A1432" s="5"/>
      <c r="B1432" s="5"/>
      <c r="C1432" s="5"/>
      <c r="D1432" s="5"/>
      <c r="E1432" s="5"/>
      <c r="F1432" s="6"/>
      <c r="G1432" s="7"/>
    </row>
    <row r="1433" spans="1:7" ht="13.2" x14ac:dyDescent="0.25">
      <c r="A1433" s="5"/>
      <c r="B1433" s="5"/>
      <c r="C1433" s="5"/>
      <c r="D1433" s="5"/>
      <c r="E1433" s="5"/>
      <c r="F1433" s="6"/>
      <c r="G1433" s="7"/>
    </row>
    <row r="1434" spans="1:7" ht="13.2" x14ac:dyDescent="0.25">
      <c r="A1434" s="5"/>
      <c r="B1434" s="5"/>
      <c r="C1434" s="5"/>
      <c r="D1434" s="5"/>
      <c r="E1434" s="5"/>
      <c r="F1434" s="6"/>
      <c r="G1434" s="7"/>
    </row>
    <row r="1435" spans="1:7" ht="13.2" x14ac:dyDescent="0.25">
      <c r="A1435" s="5"/>
      <c r="B1435" s="5"/>
      <c r="C1435" s="5"/>
      <c r="D1435" s="5"/>
      <c r="E1435" s="5"/>
      <c r="F1435" s="6"/>
      <c r="G1435" s="7"/>
    </row>
    <row r="1436" spans="1:7" ht="13.2" x14ac:dyDescent="0.25">
      <c r="A1436" s="5"/>
      <c r="B1436" s="5"/>
      <c r="C1436" s="5"/>
      <c r="D1436" s="5"/>
      <c r="E1436" s="5"/>
      <c r="F1436" s="6"/>
      <c r="G1436" s="7"/>
    </row>
    <row r="1437" spans="1:7" ht="13.2" x14ac:dyDescent="0.25">
      <c r="A1437" s="5"/>
      <c r="B1437" s="5"/>
      <c r="C1437" s="5"/>
      <c r="D1437" s="5"/>
      <c r="E1437" s="5"/>
      <c r="F1437" s="6"/>
      <c r="G1437" s="7"/>
    </row>
    <row r="1438" spans="1:7" ht="13.2" x14ac:dyDescent="0.25">
      <c r="A1438" s="5"/>
      <c r="B1438" s="5"/>
      <c r="C1438" s="5"/>
      <c r="D1438" s="5"/>
      <c r="E1438" s="5"/>
      <c r="F1438" s="6"/>
      <c r="G1438" s="7"/>
    </row>
    <row r="1439" spans="1:7" ht="13.2" x14ac:dyDescent="0.25">
      <c r="A1439" s="5"/>
      <c r="B1439" s="5"/>
      <c r="C1439" s="5"/>
      <c r="D1439" s="5"/>
      <c r="E1439" s="5"/>
      <c r="F1439" s="6"/>
      <c r="G1439" s="7"/>
    </row>
    <row r="1440" spans="1:7" ht="13.2" x14ac:dyDescent="0.25">
      <c r="A1440" s="5"/>
      <c r="B1440" s="5"/>
      <c r="C1440" s="5"/>
      <c r="D1440" s="5"/>
      <c r="E1440" s="5"/>
      <c r="F1440" s="6"/>
      <c r="G1440" s="7"/>
    </row>
    <row r="1441" spans="1:7" ht="13.2" x14ac:dyDescent="0.25">
      <c r="A1441" s="5"/>
      <c r="B1441" s="5"/>
      <c r="C1441" s="5"/>
      <c r="D1441" s="5"/>
      <c r="E1441" s="5"/>
      <c r="F1441" s="6"/>
      <c r="G1441" s="7"/>
    </row>
    <row r="1442" spans="1:7" ht="13.2" x14ac:dyDescent="0.25">
      <c r="A1442" s="5"/>
      <c r="B1442" s="5"/>
      <c r="C1442" s="5"/>
      <c r="D1442" s="5"/>
      <c r="E1442" s="5"/>
      <c r="F1442" s="6"/>
      <c r="G1442" s="7"/>
    </row>
    <row r="1443" spans="1:7" ht="13.2" x14ac:dyDescent="0.25">
      <c r="A1443" s="5"/>
      <c r="B1443" s="5"/>
      <c r="C1443" s="5"/>
      <c r="D1443" s="5"/>
      <c r="E1443" s="5"/>
      <c r="F1443" s="6"/>
      <c r="G1443" s="7"/>
    </row>
    <row r="1444" spans="1:7" ht="13.2" x14ac:dyDescent="0.25">
      <c r="A1444" s="5"/>
      <c r="B1444" s="5"/>
      <c r="C1444" s="5"/>
      <c r="D1444" s="5"/>
      <c r="E1444" s="5"/>
      <c r="F1444" s="6"/>
      <c r="G1444" s="7"/>
    </row>
    <row r="1445" spans="1:7" ht="13.2" x14ac:dyDescent="0.25">
      <c r="A1445" s="5"/>
      <c r="B1445" s="5"/>
      <c r="C1445" s="5"/>
      <c r="D1445" s="5"/>
      <c r="E1445" s="5"/>
      <c r="F1445" s="6"/>
      <c r="G1445" s="7"/>
    </row>
    <row r="1446" spans="1:7" ht="13.2" x14ac:dyDescent="0.25">
      <c r="A1446" s="5"/>
      <c r="B1446" s="5"/>
      <c r="C1446" s="5"/>
      <c r="D1446" s="5"/>
      <c r="E1446" s="5"/>
      <c r="F1446" s="6"/>
      <c r="G1446" s="7"/>
    </row>
    <row r="1447" spans="1:7" ht="13.2" x14ac:dyDescent="0.25">
      <c r="A1447" s="5"/>
      <c r="B1447" s="5"/>
      <c r="C1447" s="5"/>
      <c r="D1447" s="5"/>
      <c r="E1447" s="5"/>
      <c r="F1447" s="6"/>
      <c r="G1447" s="7"/>
    </row>
    <row r="1448" spans="1:7" ht="13.2" x14ac:dyDescent="0.25">
      <c r="A1448" s="5"/>
      <c r="B1448" s="5"/>
      <c r="C1448" s="5"/>
      <c r="D1448" s="5"/>
      <c r="E1448" s="5"/>
      <c r="F1448" s="6"/>
      <c r="G1448" s="7"/>
    </row>
    <row r="1449" spans="1:7" ht="13.2" x14ac:dyDescent="0.25">
      <c r="A1449" s="5"/>
      <c r="B1449" s="5"/>
      <c r="C1449" s="5"/>
      <c r="D1449" s="5"/>
      <c r="E1449" s="5"/>
      <c r="F1449" s="6"/>
      <c r="G1449" s="7"/>
    </row>
    <row r="1450" spans="1:7" ht="13.2" x14ac:dyDescent="0.25">
      <c r="A1450" s="5"/>
      <c r="B1450" s="5"/>
      <c r="C1450" s="5"/>
      <c r="D1450" s="5"/>
      <c r="E1450" s="5"/>
      <c r="F1450" s="6"/>
      <c r="G1450" s="7"/>
    </row>
    <row r="1451" spans="1:7" ht="13.2" x14ac:dyDescent="0.25">
      <c r="A1451" s="5"/>
      <c r="B1451" s="5"/>
      <c r="C1451" s="5"/>
      <c r="D1451" s="5"/>
      <c r="E1451" s="5"/>
      <c r="F1451" s="6"/>
      <c r="G1451" s="7"/>
    </row>
    <row r="1452" spans="1:7" ht="13.2" x14ac:dyDescent="0.25">
      <c r="A1452" s="5"/>
      <c r="B1452" s="5"/>
      <c r="C1452" s="5"/>
      <c r="D1452" s="5"/>
      <c r="E1452" s="5"/>
      <c r="F1452" s="6"/>
      <c r="G1452" s="7"/>
    </row>
    <row r="1453" spans="1:7" ht="13.2" x14ac:dyDescent="0.25">
      <c r="A1453" s="5"/>
      <c r="B1453" s="5"/>
      <c r="C1453" s="5"/>
      <c r="D1453" s="5"/>
      <c r="E1453" s="5"/>
      <c r="F1453" s="6"/>
      <c r="G1453" s="7"/>
    </row>
    <row r="1454" spans="1:7" ht="13.2" x14ac:dyDescent="0.25">
      <c r="A1454" s="5"/>
      <c r="B1454" s="5"/>
      <c r="C1454" s="5"/>
      <c r="D1454" s="5"/>
      <c r="E1454" s="5"/>
      <c r="F1454" s="6"/>
      <c r="G1454" s="7"/>
    </row>
    <row r="1455" spans="1:7" ht="13.2" x14ac:dyDescent="0.25">
      <c r="A1455" s="5"/>
      <c r="B1455" s="5"/>
      <c r="C1455" s="5"/>
      <c r="D1455" s="5"/>
      <c r="E1455" s="5"/>
      <c r="F1455" s="6"/>
      <c r="G1455" s="7"/>
    </row>
    <row r="1456" spans="1:7" ht="13.2" x14ac:dyDescent="0.25">
      <c r="A1456" s="5"/>
      <c r="B1456" s="5"/>
      <c r="C1456" s="5"/>
      <c r="D1456" s="5"/>
      <c r="E1456" s="5"/>
      <c r="F1456" s="6"/>
      <c r="G1456" s="7"/>
    </row>
    <row r="1457" spans="1:7" ht="13.2" x14ac:dyDescent="0.25">
      <c r="A1457" s="5"/>
      <c r="B1457" s="5"/>
      <c r="C1457" s="5"/>
      <c r="D1457" s="5"/>
      <c r="E1457" s="5"/>
      <c r="F1457" s="6"/>
      <c r="G1457" s="7"/>
    </row>
    <row r="1458" spans="1:7" ht="13.2" x14ac:dyDescent="0.25">
      <c r="A1458" s="5"/>
      <c r="B1458" s="5"/>
      <c r="C1458" s="5"/>
      <c r="D1458" s="5"/>
      <c r="E1458" s="5"/>
      <c r="F1458" s="6"/>
      <c r="G1458" s="7"/>
    </row>
    <row r="1459" spans="1:7" ht="13.2" x14ac:dyDescent="0.25">
      <c r="A1459" s="5"/>
      <c r="B1459" s="5"/>
      <c r="C1459" s="5"/>
      <c r="D1459" s="5"/>
      <c r="E1459" s="5"/>
      <c r="F1459" s="6"/>
      <c r="G1459" s="7"/>
    </row>
    <row r="1460" spans="1:7" ht="13.2" x14ac:dyDescent="0.25">
      <c r="A1460" s="5"/>
      <c r="B1460" s="5"/>
      <c r="C1460" s="5"/>
      <c r="D1460" s="5"/>
      <c r="E1460" s="5"/>
      <c r="F1460" s="6"/>
      <c r="G1460" s="7"/>
    </row>
    <row r="1461" spans="1:7" ht="13.2" x14ac:dyDescent="0.25">
      <c r="A1461" s="5"/>
      <c r="B1461" s="5"/>
      <c r="C1461" s="5"/>
      <c r="D1461" s="5"/>
      <c r="E1461" s="5"/>
      <c r="F1461" s="6"/>
      <c r="G1461" s="7"/>
    </row>
    <row r="1462" spans="1:7" ht="13.2" x14ac:dyDescent="0.25">
      <c r="A1462" s="5"/>
      <c r="B1462" s="5"/>
      <c r="C1462" s="5"/>
      <c r="D1462" s="5"/>
      <c r="E1462" s="5"/>
      <c r="F1462" s="6"/>
      <c r="G1462" s="7"/>
    </row>
    <row r="1463" spans="1:7" ht="13.2" x14ac:dyDescent="0.25">
      <c r="A1463" s="5"/>
      <c r="B1463" s="5"/>
      <c r="C1463" s="5"/>
      <c r="D1463" s="5"/>
      <c r="E1463" s="5"/>
      <c r="F1463" s="6"/>
      <c r="G1463" s="7"/>
    </row>
    <row r="1464" spans="1:7" ht="13.2" x14ac:dyDescent="0.25">
      <c r="A1464" s="5"/>
      <c r="B1464" s="5"/>
      <c r="C1464" s="5"/>
      <c r="D1464" s="5"/>
      <c r="E1464" s="5"/>
      <c r="F1464" s="6"/>
      <c r="G1464" s="7"/>
    </row>
    <row r="1465" spans="1:7" ht="13.2" x14ac:dyDescent="0.25">
      <c r="A1465" s="5"/>
      <c r="B1465" s="5"/>
      <c r="C1465" s="5"/>
      <c r="D1465" s="5"/>
      <c r="E1465" s="5"/>
      <c r="F1465" s="6"/>
      <c r="G1465" s="7"/>
    </row>
    <row r="1466" spans="1:7" ht="13.2" x14ac:dyDescent="0.25">
      <c r="A1466" s="5"/>
      <c r="B1466" s="5"/>
      <c r="C1466" s="5"/>
      <c r="D1466" s="5"/>
      <c r="E1466" s="5"/>
      <c r="F1466" s="6"/>
      <c r="G1466" s="7"/>
    </row>
    <row r="1467" spans="1:7" ht="13.2" x14ac:dyDescent="0.25">
      <c r="A1467" s="5"/>
      <c r="B1467" s="5"/>
      <c r="C1467" s="5"/>
      <c r="D1467" s="5"/>
      <c r="E1467" s="5"/>
      <c r="F1467" s="6"/>
      <c r="G1467" s="7"/>
    </row>
    <row r="1468" spans="1:7" ht="13.2" x14ac:dyDescent="0.25">
      <c r="A1468" s="5"/>
      <c r="B1468" s="5"/>
      <c r="C1468" s="5"/>
      <c r="D1468" s="5"/>
      <c r="E1468" s="5"/>
      <c r="F1468" s="6"/>
      <c r="G1468" s="7"/>
    </row>
    <row r="1469" spans="1:7" ht="13.2" x14ac:dyDescent="0.25">
      <c r="A1469" s="5"/>
      <c r="B1469" s="5"/>
      <c r="C1469" s="5"/>
      <c r="D1469" s="5"/>
      <c r="E1469" s="5"/>
      <c r="F1469" s="6"/>
      <c r="G1469" s="7"/>
    </row>
    <row r="1470" spans="1:7" ht="13.2" x14ac:dyDescent="0.25">
      <c r="A1470" s="5"/>
      <c r="B1470" s="5"/>
      <c r="C1470" s="5"/>
      <c r="D1470" s="5"/>
      <c r="E1470" s="5"/>
      <c r="F1470" s="6"/>
      <c r="G1470" s="7"/>
    </row>
    <row r="1471" spans="1:7" ht="13.2" x14ac:dyDescent="0.25">
      <c r="A1471" s="5"/>
      <c r="B1471" s="5"/>
      <c r="C1471" s="5"/>
      <c r="D1471" s="5"/>
      <c r="E1471" s="5"/>
      <c r="F1471" s="6"/>
      <c r="G1471" s="7"/>
    </row>
    <row r="1472" spans="1:7" ht="13.2" x14ac:dyDescent="0.25">
      <c r="A1472" s="5"/>
      <c r="B1472" s="5"/>
      <c r="C1472" s="5"/>
      <c r="D1472" s="5"/>
      <c r="E1472" s="5"/>
      <c r="F1472" s="6"/>
      <c r="G1472" s="7"/>
    </row>
    <row r="1473" spans="1:7" ht="13.2" x14ac:dyDescent="0.25">
      <c r="A1473" s="5"/>
      <c r="B1473" s="5"/>
      <c r="C1473" s="5"/>
      <c r="D1473" s="5"/>
      <c r="E1473" s="5"/>
      <c r="F1473" s="6"/>
      <c r="G1473" s="7"/>
    </row>
    <row r="1474" spans="1:7" ht="13.2" x14ac:dyDescent="0.25">
      <c r="A1474" s="5"/>
      <c r="B1474" s="5"/>
      <c r="C1474" s="5"/>
      <c r="D1474" s="5"/>
      <c r="E1474" s="5"/>
      <c r="F1474" s="6"/>
      <c r="G1474" s="7"/>
    </row>
    <row r="1475" spans="1:7" ht="13.2" x14ac:dyDescent="0.25">
      <c r="A1475" s="5"/>
      <c r="B1475" s="5"/>
      <c r="C1475" s="5"/>
      <c r="D1475" s="5"/>
      <c r="E1475" s="5"/>
      <c r="F1475" s="6"/>
      <c r="G1475" s="7"/>
    </row>
    <row r="1476" spans="1:7" ht="13.2" x14ac:dyDescent="0.25">
      <c r="A1476" s="5"/>
      <c r="B1476" s="5"/>
      <c r="C1476" s="5"/>
      <c r="D1476" s="5"/>
      <c r="E1476" s="5"/>
      <c r="F1476" s="6"/>
      <c r="G1476" s="7"/>
    </row>
    <row r="1477" spans="1:7" ht="13.2" x14ac:dyDescent="0.25">
      <c r="A1477" s="5"/>
      <c r="B1477" s="5"/>
      <c r="C1477" s="5"/>
      <c r="D1477" s="5"/>
      <c r="E1477" s="5"/>
      <c r="F1477" s="6"/>
      <c r="G1477" s="7"/>
    </row>
    <row r="1478" spans="1:7" ht="13.2" x14ac:dyDescent="0.25">
      <c r="A1478" s="5"/>
      <c r="B1478" s="5"/>
      <c r="C1478" s="5"/>
      <c r="D1478" s="5"/>
      <c r="E1478" s="5"/>
      <c r="F1478" s="6"/>
      <c r="G1478" s="7"/>
    </row>
    <row r="1479" spans="1:7" ht="13.2" x14ac:dyDescent="0.25">
      <c r="A1479" s="5"/>
      <c r="B1479" s="5"/>
      <c r="C1479" s="5"/>
      <c r="D1479" s="5"/>
      <c r="E1479" s="5"/>
      <c r="F1479" s="6"/>
      <c r="G1479" s="7"/>
    </row>
    <row r="1480" spans="1:7" ht="13.2" x14ac:dyDescent="0.25">
      <c r="A1480" s="5"/>
      <c r="B1480" s="5"/>
      <c r="C1480" s="5"/>
      <c r="D1480" s="5"/>
      <c r="E1480" s="5"/>
      <c r="F1480" s="6"/>
      <c r="G1480" s="7"/>
    </row>
    <row r="1481" spans="1:7" ht="13.2" x14ac:dyDescent="0.25">
      <c r="A1481" s="5"/>
      <c r="B1481" s="5"/>
      <c r="C1481" s="5"/>
      <c r="D1481" s="5"/>
      <c r="E1481" s="5"/>
      <c r="F1481" s="6"/>
      <c r="G1481" s="7"/>
    </row>
    <row r="1482" spans="1:7" ht="13.2" x14ac:dyDescent="0.25">
      <c r="A1482" s="5"/>
      <c r="B1482" s="5"/>
      <c r="C1482" s="5"/>
      <c r="D1482" s="5"/>
      <c r="E1482" s="5"/>
      <c r="F1482" s="6"/>
      <c r="G1482" s="7"/>
    </row>
    <row r="1483" spans="1:7" ht="13.2" x14ac:dyDescent="0.25">
      <c r="A1483" s="5"/>
      <c r="B1483" s="5"/>
      <c r="C1483" s="5"/>
      <c r="D1483" s="5"/>
      <c r="E1483" s="5"/>
      <c r="F1483" s="6"/>
      <c r="G1483" s="7"/>
    </row>
    <row r="1484" spans="1:7" ht="13.2" x14ac:dyDescent="0.25">
      <c r="A1484" s="5"/>
      <c r="B1484" s="5"/>
      <c r="C1484" s="5"/>
      <c r="D1484" s="5"/>
      <c r="E1484" s="5"/>
      <c r="F1484" s="6"/>
      <c r="G1484" s="7"/>
    </row>
    <row r="1485" spans="1:7" ht="13.2" x14ac:dyDescent="0.25">
      <c r="A1485" s="5"/>
      <c r="B1485" s="5"/>
      <c r="C1485" s="5"/>
      <c r="D1485" s="5"/>
      <c r="E1485" s="5"/>
      <c r="F1485" s="6"/>
      <c r="G1485" s="7"/>
    </row>
    <row r="1486" spans="1:7" ht="13.2" x14ac:dyDescent="0.25">
      <c r="A1486" s="5"/>
      <c r="B1486" s="5"/>
      <c r="C1486" s="5"/>
      <c r="D1486" s="5"/>
      <c r="E1486" s="5"/>
      <c r="F1486" s="6"/>
      <c r="G1486" s="7"/>
    </row>
    <row r="1487" spans="1:7" ht="13.2" x14ac:dyDescent="0.25">
      <c r="A1487" s="5"/>
      <c r="B1487" s="5"/>
      <c r="C1487" s="5"/>
      <c r="D1487" s="5"/>
      <c r="E1487" s="5"/>
      <c r="F1487" s="6"/>
      <c r="G1487" s="7"/>
    </row>
    <row r="1488" spans="1:7" ht="13.2" x14ac:dyDescent="0.25">
      <c r="A1488" s="5"/>
      <c r="B1488" s="5"/>
      <c r="C1488" s="5"/>
      <c r="D1488" s="5"/>
      <c r="E1488" s="5"/>
      <c r="F1488" s="6"/>
      <c r="G1488" s="7"/>
    </row>
    <row r="1489" spans="1:7" ht="13.2" x14ac:dyDescent="0.25">
      <c r="A1489" s="5"/>
      <c r="B1489" s="5"/>
      <c r="C1489" s="5"/>
      <c r="D1489" s="5"/>
      <c r="E1489" s="5"/>
      <c r="F1489" s="6"/>
      <c r="G1489" s="7"/>
    </row>
    <row r="1490" spans="1:7" ht="13.2" x14ac:dyDescent="0.25">
      <c r="A1490" s="5"/>
      <c r="B1490" s="5"/>
      <c r="C1490" s="5"/>
      <c r="D1490" s="5"/>
      <c r="E1490" s="5"/>
      <c r="F1490" s="6"/>
      <c r="G1490" s="7"/>
    </row>
    <row r="1491" spans="1:7" ht="13.2" x14ac:dyDescent="0.25">
      <c r="A1491" s="5"/>
      <c r="B1491" s="5"/>
      <c r="C1491" s="5"/>
      <c r="D1491" s="5"/>
      <c r="E1491" s="5"/>
      <c r="F1491" s="6"/>
      <c r="G1491" s="7"/>
    </row>
    <row r="1492" spans="1:7" ht="13.2" x14ac:dyDescent="0.25">
      <c r="A1492" s="5"/>
      <c r="B1492" s="5"/>
      <c r="C1492" s="5"/>
      <c r="D1492" s="5"/>
      <c r="E1492" s="5"/>
      <c r="F1492" s="6"/>
      <c r="G1492" s="7"/>
    </row>
    <row r="1493" spans="1:7" ht="13.2" x14ac:dyDescent="0.25">
      <c r="A1493" s="5"/>
      <c r="B1493" s="5"/>
      <c r="C1493" s="5"/>
      <c r="D1493" s="5"/>
      <c r="E1493" s="5"/>
      <c r="F1493" s="6"/>
      <c r="G1493" s="7"/>
    </row>
    <row r="1494" spans="1:7" ht="13.2" x14ac:dyDescent="0.25">
      <c r="A1494" s="5"/>
      <c r="B1494" s="5"/>
      <c r="C1494" s="5"/>
      <c r="D1494" s="5"/>
      <c r="E1494" s="5"/>
      <c r="F1494" s="6"/>
      <c r="G1494" s="7"/>
    </row>
    <row r="1495" spans="1:7" ht="13.2" x14ac:dyDescent="0.25">
      <c r="A1495" s="5"/>
      <c r="B1495" s="5"/>
      <c r="C1495" s="5"/>
      <c r="D1495" s="5"/>
      <c r="E1495" s="5"/>
      <c r="F1495" s="6"/>
      <c r="G1495" s="7"/>
    </row>
    <row r="1496" spans="1:7" ht="13.2" x14ac:dyDescent="0.25">
      <c r="A1496" s="5"/>
      <c r="B1496" s="5"/>
      <c r="C1496" s="5"/>
      <c r="D1496" s="5"/>
      <c r="E1496" s="5"/>
      <c r="F1496" s="6"/>
      <c r="G1496" s="7"/>
    </row>
    <row r="1497" spans="1:7" ht="13.2" x14ac:dyDescent="0.25">
      <c r="A1497" s="5"/>
      <c r="B1497" s="5"/>
      <c r="C1497" s="5"/>
      <c r="D1497" s="5"/>
      <c r="E1497" s="5"/>
      <c r="F1497" s="6"/>
      <c r="G1497" s="7"/>
    </row>
    <row r="1498" spans="1:7" ht="13.2" x14ac:dyDescent="0.25">
      <c r="A1498" s="5"/>
      <c r="B1498" s="5"/>
      <c r="C1498" s="5"/>
      <c r="D1498" s="5"/>
      <c r="E1498" s="5"/>
      <c r="F1498" s="6"/>
      <c r="G1498" s="7"/>
    </row>
    <row r="1499" spans="1:7" ht="13.2" x14ac:dyDescent="0.25">
      <c r="A1499" s="5"/>
      <c r="B1499" s="5"/>
      <c r="C1499" s="5"/>
      <c r="D1499" s="5"/>
      <c r="E1499" s="5"/>
      <c r="F1499" s="6"/>
      <c r="G1499" s="7"/>
    </row>
    <row r="1500" spans="1:7" ht="13.2" x14ac:dyDescent="0.25">
      <c r="A1500" s="5"/>
      <c r="B1500" s="5"/>
      <c r="C1500" s="5"/>
      <c r="D1500" s="5"/>
      <c r="E1500" s="5"/>
      <c r="F1500" s="6"/>
      <c r="G1500" s="7"/>
    </row>
    <row r="1501" spans="1:7" ht="13.2" x14ac:dyDescent="0.25">
      <c r="A1501" s="5"/>
      <c r="B1501" s="5"/>
      <c r="C1501" s="5"/>
      <c r="D1501" s="5"/>
      <c r="E1501" s="5"/>
      <c r="F1501" s="6"/>
      <c r="G1501" s="7"/>
    </row>
    <row r="1502" spans="1:7" ht="13.2" x14ac:dyDescent="0.25">
      <c r="A1502" s="5"/>
      <c r="B1502" s="5"/>
      <c r="C1502" s="5"/>
      <c r="D1502" s="5"/>
      <c r="E1502" s="5"/>
      <c r="F1502" s="6"/>
      <c r="G1502" s="7"/>
    </row>
    <row r="1503" spans="1:7" ht="13.2" x14ac:dyDescent="0.25">
      <c r="A1503" s="5"/>
      <c r="B1503" s="5"/>
      <c r="C1503" s="5"/>
      <c r="D1503" s="5"/>
      <c r="E1503" s="5"/>
      <c r="F1503" s="6"/>
      <c r="G1503" s="7"/>
    </row>
    <row r="1504" spans="1:7" ht="13.2" x14ac:dyDescent="0.25">
      <c r="A1504" s="5"/>
      <c r="B1504" s="5"/>
      <c r="C1504" s="5"/>
      <c r="D1504" s="5"/>
      <c r="E1504" s="5"/>
      <c r="F1504" s="6"/>
      <c r="G1504" s="7"/>
    </row>
    <row r="1505" spans="1:7" ht="13.2" x14ac:dyDescent="0.25">
      <c r="A1505" s="5"/>
      <c r="B1505" s="5"/>
      <c r="C1505" s="5"/>
      <c r="D1505" s="5"/>
      <c r="E1505" s="5"/>
      <c r="F1505" s="6"/>
      <c r="G1505" s="7"/>
    </row>
    <row r="1506" spans="1:7" ht="13.2" x14ac:dyDescent="0.25">
      <c r="A1506" s="5"/>
      <c r="B1506" s="5"/>
      <c r="C1506" s="5"/>
      <c r="D1506" s="5"/>
      <c r="E1506" s="5"/>
      <c r="F1506" s="6"/>
      <c r="G1506" s="7"/>
    </row>
    <row r="1507" spans="1:7" ht="13.2" x14ac:dyDescent="0.25">
      <c r="A1507" s="5"/>
      <c r="B1507" s="5"/>
      <c r="C1507" s="5"/>
      <c r="D1507" s="5"/>
      <c r="E1507" s="5"/>
      <c r="F1507" s="6"/>
      <c r="G1507" s="7"/>
    </row>
    <row r="1508" spans="1:7" ht="13.2" x14ac:dyDescent="0.25">
      <c r="A1508" s="5"/>
      <c r="B1508" s="5"/>
      <c r="C1508" s="5"/>
      <c r="D1508" s="5"/>
      <c r="E1508" s="5"/>
      <c r="F1508" s="6"/>
      <c r="G1508" s="7"/>
    </row>
    <row r="1509" spans="1:7" ht="13.2" x14ac:dyDescent="0.25">
      <c r="A1509" s="5"/>
      <c r="B1509" s="5"/>
      <c r="C1509" s="5"/>
      <c r="D1509" s="5"/>
      <c r="E1509" s="5"/>
      <c r="F1509" s="6"/>
      <c r="G1509" s="7"/>
    </row>
    <row r="1510" spans="1:7" ht="13.2" x14ac:dyDescent="0.25">
      <c r="A1510" s="5"/>
      <c r="B1510" s="5"/>
      <c r="C1510" s="5"/>
      <c r="D1510" s="5"/>
      <c r="E1510" s="5"/>
      <c r="F1510" s="6"/>
      <c r="G1510" s="7"/>
    </row>
    <row r="1511" spans="1:7" ht="13.2" x14ac:dyDescent="0.25">
      <c r="A1511" s="5"/>
      <c r="B1511" s="5"/>
      <c r="C1511" s="5"/>
      <c r="D1511" s="5"/>
      <c r="E1511" s="5"/>
      <c r="F1511" s="6"/>
      <c r="G1511" s="7"/>
    </row>
    <row r="1512" spans="1:7" ht="13.2" x14ac:dyDescent="0.25">
      <c r="A1512" s="5"/>
      <c r="B1512" s="5"/>
      <c r="C1512" s="5"/>
      <c r="D1512" s="5"/>
      <c r="E1512" s="5"/>
      <c r="F1512" s="6"/>
      <c r="G1512" s="7"/>
    </row>
    <row r="1513" spans="1:7" ht="13.2" x14ac:dyDescent="0.25">
      <c r="A1513" s="5"/>
      <c r="B1513" s="5"/>
      <c r="C1513" s="5"/>
      <c r="D1513" s="5"/>
      <c r="E1513" s="5"/>
      <c r="F1513" s="6"/>
      <c r="G1513" s="7"/>
    </row>
    <row r="1514" spans="1:7" ht="13.2" x14ac:dyDescent="0.25">
      <c r="A1514" s="5"/>
      <c r="B1514" s="5"/>
      <c r="C1514" s="5"/>
      <c r="D1514" s="5"/>
      <c r="E1514" s="5"/>
      <c r="F1514" s="6"/>
      <c r="G1514" s="7"/>
    </row>
    <row r="1515" spans="1:7" ht="13.2" x14ac:dyDescent="0.25">
      <c r="A1515" s="5"/>
      <c r="B1515" s="5"/>
      <c r="C1515" s="5"/>
      <c r="D1515" s="5"/>
      <c r="E1515" s="5"/>
      <c r="F1515" s="6"/>
      <c r="G1515" s="7"/>
    </row>
    <row r="1516" spans="1:7" ht="13.2" x14ac:dyDescent="0.25">
      <c r="A1516" s="5"/>
      <c r="B1516" s="5"/>
      <c r="C1516" s="5"/>
      <c r="D1516" s="5"/>
      <c r="E1516" s="5"/>
      <c r="F1516" s="6"/>
      <c r="G1516" s="7"/>
    </row>
    <row r="1517" spans="1:7" ht="13.2" x14ac:dyDescent="0.25">
      <c r="A1517" s="5"/>
      <c r="B1517" s="5"/>
      <c r="C1517" s="5"/>
      <c r="D1517" s="5"/>
      <c r="E1517" s="5"/>
      <c r="F1517" s="6"/>
      <c r="G1517" s="7"/>
    </row>
    <row r="1518" spans="1:7" ht="13.2" x14ac:dyDescent="0.25">
      <c r="A1518" s="5"/>
      <c r="B1518" s="5"/>
      <c r="C1518" s="5"/>
      <c r="D1518" s="5"/>
      <c r="E1518" s="5"/>
      <c r="F1518" s="6"/>
      <c r="G1518" s="7"/>
    </row>
    <row r="1519" spans="1:7" ht="13.2" x14ac:dyDescent="0.25">
      <c r="A1519" s="5"/>
      <c r="B1519" s="5"/>
      <c r="C1519" s="5"/>
      <c r="D1519" s="5"/>
      <c r="E1519" s="5"/>
      <c r="F1519" s="6"/>
      <c r="G1519" s="7"/>
    </row>
    <row r="1520" spans="1:7" ht="13.2" x14ac:dyDescent="0.25">
      <c r="A1520" s="5"/>
      <c r="B1520" s="5"/>
      <c r="C1520" s="5"/>
      <c r="D1520" s="5"/>
      <c r="E1520" s="5"/>
      <c r="F1520" s="6"/>
      <c r="G1520" s="7"/>
    </row>
    <row r="1521" spans="1:7" ht="13.2" x14ac:dyDescent="0.25">
      <c r="A1521" s="5"/>
      <c r="B1521" s="5"/>
      <c r="C1521" s="5"/>
      <c r="D1521" s="5"/>
      <c r="E1521" s="5"/>
      <c r="F1521" s="6"/>
      <c r="G1521" s="7"/>
    </row>
    <row r="1522" spans="1:7" ht="13.2" x14ac:dyDescent="0.25">
      <c r="A1522" s="5"/>
      <c r="B1522" s="5"/>
      <c r="C1522" s="5"/>
      <c r="D1522" s="5"/>
      <c r="E1522" s="5"/>
      <c r="F1522" s="6"/>
      <c r="G1522" s="7"/>
    </row>
    <row r="1523" spans="1:7" ht="13.2" x14ac:dyDescent="0.25">
      <c r="A1523" s="5"/>
      <c r="B1523" s="5"/>
      <c r="C1523" s="5"/>
      <c r="D1523" s="5"/>
      <c r="E1523" s="5"/>
      <c r="F1523" s="6"/>
      <c r="G1523" s="7"/>
    </row>
    <row r="1524" spans="1:7" ht="13.2" x14ac:dyDescent="0.25">
      <c r="A1524" s="5"/>
      <c r="B1524" s="5"/>
      <c r="C1524" s="5"/>
      <c r="D1524" s="5"/>
      <c r="E1524" s="5"/>
      <c r="F1524" s="6"/>
      <c r="G1524" s="7"/>
    </row>
    <row r="1525" spans="1:7" ht="13.2" x14ac:dyDescent="0.25">
      <c r="A1525" s="5"/>
      <c r="B1525" s="5"/>
      <c r="C1525" s="5"/>
      <c r="D1525" s="5"/>
      <c r="E1525" s="5"/>
      <c r="F1525" s="6"/>
      <c r="G1525" s="7"/>
    </row>
    <row r="1526" spans="1:7" ht="13.2" x14ac:dyDescent="0.25">
      <c r="A1526" s="5"/>
      <c r="B1526" s="5"/>
      <c r="C1526" s="5"/>
      <c r="D1526" s="5"/>
      <c r="E1526" s="5"/>
      <c r="F1526" s="6"/>
      <c r="G1526" s="7"/>
    </row>
    <row r="1527" spans="1:7" ht="13.2" x14ac:dyDescent="0.25">
      <c r="A1527" s="5"/>
      <c r="B1527" s="5"/>
      <c r="C1527" s="5"/>
      <c r="D1527" s="5"/>
      <c r="E1527" s="5"/>
      <c r="F1527" s="6"/>
      <c r="G1527" s="7"/>
    </row>
    <row r="1528" spans="1:7" ht="13.2" x14ac:dyDescent="0.25">
      <c r="A1528" s="5"/>
      <c r="B1528" s="5"/>
      <c r="C1528" s="5"/>
      <c r="D1528" s="5"/>
      <c r="E1528" s="5"/>
      <c r="F1528" s="6"/>
      <c r="G1528" s="7"/>
    </row>
    <row r="1529" spans="1:7" ht="13.2" x14ac:dyDescent="0.25">
      <c r="A1529" s="5"/>
      <c r="B1529" s="5"/>
      <c r="C1529" s="5"/>
      <c r="D1529" s="5"/>
      <c r="E1529" s="5"/>
      <c r="F1529" s="6"/>
      <c r="G1529" s="7"/>
    </row>
    <row r="1530" spans="1:7" ht="13.2" x14ac:dyDescent="0.25">
      <c r="A1530" s="5"/>
      <c r="B1530" s="5"/>
      <c r="C1530" s="5"/>
      <c r="D1530" s="5"/>
      <c r="E1530" s="5"/>
      <c r="F1530" s="6"/>
      <c r="G1530" s="7"/>
    </row>
    <row r="1531" spans="1:7" ht="13.2" x14ac:dyDescent="0.25">
      <c r="A1531" s="5"/>
      <c r="B1531" s="5"/>
      <c r="C1531" s="5"/>
      <c r="D1531" s="5"/>
      <c r="E1531" s="5"/>
      <c r="F1531" s="6"/>
      <c r="G1531" s="7"/>
    </row>
    <row r="1532" spans="1:7" ht="13.2" x14ac:dyDescent="0.25">
      <c r="A1532" s="5"/>
      <c r="B1532" s="5"/>
      <c r="C1532" s="5"/>
      <c r="D1532" s="5"/>
      <c r="E1532" s="5"/>
      <c r="F1532" s="6"/>
      <c r="G1532" s="7"/>
    </row>
    <row r="1533" spans="1:7" ht="13.2" x14ac:dyDescent="0.25">
      <c r="A1533" s="5"/>
      <c r="B1533" s="5"/>
      <c r="C1533" s="5"/>
      <c r="D1533" s="5"/>
      <c r="E1533" s="5"/>
      <c r="F1533" s="6"/>
      <c r="G1533" s="7"/>
    </row>
    <row r="1534" spans="1:7" ht="13.2" x14ac:dyDescent="0.25">
      <c r="A1534" s="5"/>
      <c r="B1534" s="5"/>
      <c r="C1534" s="5"/>
      <c r="D1534" s="5"/>
      <c r="E1534" s="5"/>
      <c r="F1534" s="6"/>
      <c r="G1534" s="7"/>
    </row>
    <row r="1535" spans="1:7" ht="13.2" x14ac:dyDescent="0.25">
      <c r="A1535" s="5"/>
      <c r="B1535" s="5"/>
      <c r="C1535" s="5"/>
      <c r="D1535" s="5"/>
      <c r="E1535" s="5"/>
      <c r="F1535" s="6"/>
      <c r="G1535" s="7"/>
    </row>
    <row r="1536" spans="1:7" ht="13.2" x14ac:dyDescent="0.25">
      <c r="A1536" s="5"/>
      <c r="B1536" s="5"/>
      <c r="C1536" s="5"/>
      <c r="D1536" s="5"/>
      <c r="E1536" s="5"/>
      <c r="F1536" s="6"/>
      <c r="G1536" s="7"/>
    </row>
    <row r="1537" spans="1:7" ht="13.2" x14ac:dyDescent="0.25">
      <c r="A1537" s="5"/>
      <c r="B1537" s="5"/>
      <c r="C1537" s="5"/>
      <c r="D1537" s="5"/>
      <c r="E1537" s="5"/>
      <c r="F1537" s="6"/>
      <c r="G1537" s="7"/>
    </row>
    <row r="1538" spans="1:7" ht="13.2" x14ac:dyDescent="0.25">
      <c r="A1538" s="5"/>
      <c r="B1538" s="5"/>
      <c r="C1538" s="5"/>
      <c r="D1538" s="5"/>
      <c r="E1538" s="5"/>
      <c r="F1538" s="6"/>
      <c r="G1538" s="7"/>
    </row>
    <row r="1539" spans="1:7" ht="13.2" x14ac:dyDescent="0.25">
      <c r="A1539" s="5"/>
      <c r="B1539" s="5"/>
      <c r="C1539" s="5"/>
      <c r="D1539" s="5"/>
      <c r="E1539" s="5"/>
      <c r="F1539" s="6"/>
      <c r="G1539" s="7"/>
    </row>
    <row r="1540" spans="1:7" ht="13.2" x14ac:dyDescent="0.25">
      <c r="A1540" s="5"/>
      <c r="B1540" s="5"/>
      <c r="C1540" s="5"/>
      <c r="D1540" s="5"/>
      <c r="E1540" s="5"/>
      <c r="F1540" s="6"/>
      <c r="G1540" s="7"/>
    </row>
    <row r="1541" spans="1:7" ht="13.2" x14ac:dyDescent="0.25">
      <c r="A1541" s="5"/>
      <c r="B1541" s="5"/>
      <c r="C1541" s="5"/>
      <c r="D1541" s="5"/>
      <c r="E1541" s="5"/>
      <c r="F1541" s="6"/>
      <c r="G1541" s="7"/>
    </row>
    <row r="1542" spans="1:7" ht="13.2" x14ac:dyDescent="0.25">
      <c r="A1542" s="5"/>
      <c r="B1542" s="5"/>
      <c r="C1542" s="5"/>
      <c r="D1542" s="5"/>
      <c r="E1542" s="5"/>
      <c r="F1542" s="6"/>
      <c r="G1542" s="7"/>
    </row>
    <row r="1543" spans="1:7" ht="13.2" x14ac:dyDescent="0.25">
      <c r="A1543" s="5"/>
      <c r="B1543" s="5"/>
      <c r="C1543" s="5"/>
      <c r="D1543" s="5"/>
      <c r="E1543" s="5"/>
      <c r="F1543" s="6"/>
      <c r="G1543" s="7"/>
    </row>
    <row r="1544" spans="1:7" ht="13.2" x14ac:dyDescent="0.25">
      <c r="A1544" s="5"/>
      <c r="B1544" s="5"/>
      <c r="C1544" s="5"/>
      <c r="D1544" s="5"/>
      <c r="E1544" s="5"/>
      <c r="F1544" s="6"/>
      <c r="G1544" s="7"/>
    </row>
    <row r="1545" spans="1:7" ht="13.2" x14ac:dyDescent="0.25">
      <c r="A1545" s="5"/>
      <c r="B1545" s="5"/>
      <c r="C1545" s="5"/>
      <c r="D1545" s="5"/>
      <c r="E1545" s="5"/>
      <c r="F1545" s="6"/>
      <c r="G1545" s="7"/>
    </row>
    <row r="1546" spans="1:7" ht="13.2" x14ac:dyDescent="0.25">
      <c r="A1546" s="5"/>
      <c r="B1546" s="5"/>
      <c r="C1546" s="5"/>
      <c r="D1546" s="5"/>
      <c r="E1546" s="5"/>
      <c r="F1546" s="6"/>
      <c r="G1546" s="7"/>
    </row>
    <row r="1547" spans="1:7" ht="13.2" x14ac:dyDescent="0.25">
      <c r="A1547" s="5"/>
      <c r="B1547" s="5"/>
      <c r="C1547" s="5"/>
      <c r="D1547" s="5"/>
      <c r="E1547" s="5"/>
      <c r="F1547" s="6"/>
      <c r="G1547" s="7"/>
    </row>
    <row r="1548" spans="1:7" ht="13.2" x14ac:dyDescent="0.25">
      <c r="A1548" s="5"/>
      <c r="B1548" s="5"/>
      <c r="C1548" s="5"/>
      <c r="D1548" s="5"/>
      <c r="E1548" s="5"/>
      <c r="F1548" s="6"/>
      <c r="G1548" s="7"/>
    </row>
    <row r="1549" spans="1:7" ht="13.2" x14ac:dyDescent="0.25">
      <c r="A1549" s="5"/>
      <c r="B1549" s="5"/>
      <c r="C1549" s="5"/>
      <c r="D1549" s="5"/>
      <c r="E1549" s="5"/>
      <c r="F1549" s="6"/>
      <c r="G1549" s="7"/>
    </row>
    <row r="1550" spans="1:7" ht="13.2" x14ac:dyDescent="0.25">
      <c r="A1550" s="5"/>
      <c r="B1550" s="5"/>
      <c r="C1550" s="5"/>
      <c r="D1550" s="5"/>
      <c r="E1550" s="5"/>
      <c r="F1550" s="6"/>
      <c r="G1550" s="7"/>
    </row>
    <row r="1551" spans="1:7" ht="13.2" x14ac:dyDescent="0.25">
      <c r="A1551" s="5"/>
      <c r="B1551" s="5"/>
      <c r="C1551" s="5"/>
      <c r="D1551" s="5"/>
      <c r="E1551" s="5"/>
      <c r="F1551" s="6"/>
      <c r="G1551" s="7"/>
    </row>
    <row r="1552" spans="1:7" ht="13.2" x14ac:dyDescent="0.25">
      <c r="A1552" s="5"/>
      <c r="B1552" s="5"/>
      <c r="C1552" s="5"/>
      <c r="D1552" s="5"/>
      <c r="E1552" s="5"/>
      <c r="F1552" s="6"/>
      <c r="G1552" s="7"/>
    </row>
    <row r="1553" spans="1:7" ht="13.2" x14ac:dyDescent="0.25">
      <c r="A1553" s="5"/>
      <c r="B1553" s="5"/>
      <c r="C1553" s="5"/>
      <c r="D1553" s="5"/>
      <c r="E1553" s="5"/>
      <c r="F1553" s="6"/>
      <c r="G1553" s="7"/>
    </row>
    <row r="1554" spans="1:7" ht="13.2" x14ac:dyDescent="0.25">
      <c r="A1554" s="5"/>
      <c r="B1554" s="5"/>
      <c r="C1554" s="5"/>
      <c r="D1554" s="5"/>
      <c r="E1554" s="5"/>
      <c r="F1554" s="6"/>
      <c r="G1554" s="7"/>
    </row>
    <row r="1555" spans="1:7" ht="13.2" x14ac:dyDescent="0.25">
      <c r="A1555" s="5"/>
      <c r="B1555" s="5"/>
      <c r="C1555" s="5"/>
      <c r="D1555" s="5"/>
      <c r="E1555" s="5"/>
      <c r="F1555" s="6"/>
      <c r="G1555" s="7"/>
    </row>
    <row r="1556" spans="1:7" ht="13.2" x14ac:dyDescent="0.25">
      <c r="A1556" s="5"/>
      <c r="B1556" s="5"/>
      <c r="C1556" s="5"/>
      <c r="D1556" s="5"/>
      <c r="E1556" s="5"/>
      <c r="F1556" s="6"/>
      <c r="G1556" s="7"/>
    </row>
    <row r="1557" spans="1:7" ht="13.2" x14ac:dyDescent="0.25">
      <c r="A1557" s="5"/>
      <c r="B1557" s="5"/>
      <c r="C1557" s="5"/>
      <c r="D1557" s="5"/>
      <c r="E1557" s="5"/>
      <c r="F1557" s="6"/>
      <c r="G1557" s="7"/>
    </row>
    <row r="1558" spans="1:7" ht="13.2" x14ac:dyDescent="0.25">
      <c r="A1558" s="5"/>
      <c r="B1558" s="5"/>
      <c r="C1558" s="5"/>
      <c r="D1558" s="5"/>
      <c r="E1558" s="5"/>
      <c r="F1558" s="6"/>
      <c r="G1558" s="7"/>
    </row>
    <row r="1559" spans="1:7" ht="13.2" x14ac:dyDescent="0.25">
      <c r="A1559" s="5"/>
      <c r="B1559" s="5"/>
      <c r="C1559" s="5"/>
      <c r="D1559" s="5"/>
      <c r="E1559" s="5"/>
      <c r="F1559" s="6"/>
      <c r="G1559" s="7"/>
    </row>
    <row r="1560" spans="1:7" ht="13.2" x14ac:dyDescent="0.25">
      <c r="A1560" s="5"/>
      <c r="B1560" s="5"/>
      <c r="C1560" s="5"/>
      <c r="D1560" s="5"/>
      <c r="E1560" s="5"/>
      <c r="F1560" s="6"/>
      <c r="G1560" s="7"/>
    </row>
    <row r="1561" spans="1:7" ht="13.2" x14ac:dyDescent="0.25">
      <c r="A1561" s="5"/>
      <c r="B1561" s="5"/>
      <c r="C1561" s="5"/>
      <c r="D1561" s="5"/>
      <c r="E1561" s="5"/>
      <c r="F1561" s="6"/>
      <c r="G1561" s="7"/>
    </row>
    <row r="1562" spans="1:7" ht="13.2" x14ac:dyDescent="0.25">
      <c r="A1562" s="5"/>
      <c r="B1562" s="5"/>
      <c r="C1562" s="5"/>
      <c r="D1562" s="5"/>
      <c r="E1562" s="5"/>
      <c r="F1562" s="6"/>
      <c r="G1562" s="7"/>
    </row>
    <row r="1563" spans="1:7" ht="13.2" x14ac:dyDescent="0.25">
      <c r="A1563" s="5"/>
      <c r="B1563" s="5"/>
      <c r="C1563" s="5"/>
      <c r="D1563" s="5"/>
      <c r="E1563" s="5"/>
      <c r="F1563" s="6"/>
      <c r="G1563" s="7"/>
    </row>
    <row r="1564" spans="1:7" ht="13.2" x14ac:dyDescent="0.25">
      <c r="A1564" s="5"/>
      <c r="B1564" s="5"/>
      <c r="C1564" s="5"/>
      <c r="D1564" s="5"/>
      <c r="E1564" s="5"/>
      <c r="F1564" s="6"/>
      <c r="G1564" s="7"/>
    </row>
    <row r="1565" spans="1:7" ht="13.2" x14ac:dyDescent="0.25">
      <c r="A1565" s="5"/>
      <c r="B1565" s="5"/>
      <c r="C1565" s="5"/>
      <c r="D1565" s="5"/>
      <c r="E1565" s="5"/>
      <c r="F1565" s="6"/>
      <c r="G1565" s="7"/>
    </row>
    <row r="1566" spans="1:7" ht="13.2" x14ac:dyDescent="0.25">
      <c r="A1566" s="5"/>
      <c r="B1566" s="5"/>
      <c r="C1566" s="5"/>
      <c r="D1566" s="5"/>
      <c r="E1566" s="5"/>
      <c r="F1566" s="6"/>
      <c r="G1566" s="7"/>
    </row>
    <row r="1567" spans="1:7" ht="13.2" x14ac:dyDescent="0.25">
      <c r="A1567" s="5"/>
      <c r="B1567" s="5"/>
      <c r="C1567" s="5"/>
      <c r="D1567" s="5"/>
      <c r="E1567" s="5"/>
      <c r="F1567" s="6"/>
      <c r="G1567" s="7"/>
    </row>
    <row r="1568" spans="1:7" ht="13.2" x14ac:dyDescent="0.25">
      <c r="A1568" s="5"/>
      <c r="B1568" s="5"/>
      <c r="C1568" s="5"/>
      <c r="D1568" s="5"/>
      <c r="E1568" s="5"/>
      <c r="F1568" s="6"/>
      <c r="G1568" s="7"/>
    </row>
    <row r="1569" spans="1:7" ht="13.2" x14ac:dyDescent="0.25">
      <c r="A1569" s="5"/>
      <c r="B1569" s="5"/>
      <c r="C1569" s="5"/>
      <c r="D1569" s="5"/>
      <c r="E1569" s="5"/>
      <c r="F1569" s="6"/>
      <c r="G1569" s="7"/>
    </row>
    <row r="1570" spans="1:7" ht="13.2" x14ac:dyDescent="0.25">
      <c r="A1570" s="5"/>
      <c r="B1570" s="5"/>
      <c r="C1570" s="5"/>
      <c r="D1570" s="5"/>
      <c r="E1570" s="5"/>
      <c r="F1570" s="6"/>
      <c r="G1570" s="7"/>
    </row>
    <row r="1571" spans="1:7" ht="13.2" x14ac:dyDescent="0.25">
      <c r="A1571" s="5"/>
      <c r="B1571" s="5"/>
      <c r="C1571" s="5"/>
      <c r="D1571" s="5"/>
      <c r="E1571" s="5"/>
      <c r="F1571" s="6"/>
      <c r="G1571" s="7"/>
    </row>
    <row r="1572" spans="1:7" ht="13.2" x14ac:dyDescent="0.25">
      <c r="A1572" s="5"/>
      <c r="B1572" s="5"/>
      <c r="C1572" s="5"/>
      <c r="D1572" s="5"/>
      <c r="E1572" s="5"/>
      <c r="F1572" s="6"/>
      <c r="G1572" s="7"/>
    </row>
    <row r="1573" spans="1:7" ht="13.2" x14ac:dyDescent="0.25">
      <c r="A1573" s="5"/>
      <c r="B1573" s="5"/>
      <c r="C1573" s="5"/>
      <c r="D1573" s="5"/>
      <c r="E1573" s="5"/>
      <c r="F1573" s="6"/>
      <c r="G1573" s="7"/>
    </row>
    <row r="1574" spans="1:7" ht="13.2" x14ac:dyDescent="0.25">
      <c r="A1574" s="5"/>
      <c r="B1574" s="5"/>
      <c r="C1574" s="5"/>
      <c r="D1574" s="5"/>
      <c r="E1574" s="5"/>
      <c r="F1574" s="6"/>
      <c r="G1574" s="7"/>
    </row>
    <row r="1575" spans="1:7" ht="13.2" x14ac:dyDescent="0.25">
      <c r="A1575" s="5"/>
      <c r="B1575" s="5"/>
      <c r="C1575" s="5"/>
      <c r="D1575" s="5"/>
      <c r="E1575" s="5"/>
      <c r="F1575" s="6"/>
      <c r="G1575" s="7"/>
    </row>
    <row r="1576" spans="1:7" ht="13.2" x14ac:dyDescent="0.25">
      <c r="A1576" s="5"/>
      <c r="B1576" s="5"/>
      <c r="C1576" s="5"/>
      <c r="D1576" s="5"/>
      <c r="E1576" s="5"/>
      <c r="F1576" s="6"/>
      <c r="G1576" s="7"/>
    </row>
    <row r="1577" spans="1:7" ht="13.2" x14ac:dyDescent="0.25">
      <c r="A1577" s="5"/>
      <c r="B1577" s="5"/>
      <c r="C1577" s="5"/>
      <c r="D1577" s="5"/>
      <c r="E1577" s="5"/>
      <c r="F1577" s="6"/>
      <c r="G1577" s="7"/>
    </row>
    <row r="1578" spans="1:7" ht="13.2" x14ac:dyDescent="0.25">
      <c r="A1578" s="5"/>
      <c r="B1578" s="5"/>
      <c r="C1578" s="5"/>
      <c r="D1578" s="5"/>
      <c r="E1578" s="5"/>
      <c r="F1578" s="6"/>
      <c r="G1578" s="7"/>
    </row>
    <row r="1579" spans="1:7" ht="13.2" x14ac:dyDescent="0.25">
      <c r="A1579" s="5"/>
      <c r="B1579" s="5"/>
      <c r="C1579" s="5"/>
      <c r="D1579" s="5"/>
      <c r="E1579" s="5"/>
      <c r="F1579" s="6"/>
      <c r="G1579" s="7"/>
    </row>
    <row r="1580" spans="1:7" ht="13.2" x14ac:dyDescent="0.25">
      <c r="A1580" s="5"/>
      <c r="B1580" s="5"/>
      <c r="C1580" s="5"/>
      <c r="D1580" s="5"/>
      <c r="E1580" s="5"/>
      <c r="F1580" s="6"/>
      <c r="G1580" s="7"/>
    </row>
    <row r="1581" spans="1:7" ht="13.2" x14ac:dyDescent="0.25">
      <c r="A1581" s="5"/>
      <c r="B1581" s="5"/>
      <c r="C1581" s="5"/>
      <c r="D1581" s="5"/>
      <c r="E1581" s="5"/>
      <c r="F1581" s="6"/>
      <c r="G1581" s="7"/>
    </row>
    <row r="1582" spans="1:7" ht="13.2" x14ac:dyDescent="0.25">
      <c r="A1582" s="5"/>
      <c r="B1582" s="5"/>
      <c r="C1582" s="5"/>
      <c r="D1582" s="5"/>
      <c r="E1582" s="5"/>
      <c r="F1582" s="6"/>
      <c r="G1582" s="7"/>
    </row>
    <row r="1583" spans="1:7" ht="13.2" x14ac:dyDescent="0.25">
      <c r="A1583" s="5"/>
      <c r="B1583" s="5"/>
      <c r="C1583" s="5"/>
      <c r="D1583" s="5"/>
      <c r="E1583" s="5"/>
      <c r="F1583" s="6"/>
      <c r="G1583" s="7"/>
    </row>
    <row r="1584" spans="1:7" ht="13.2" x14ac:dyDescent="0.25">
      <c r="A1584" s="5"/>
      <c r="B1584" s="5"/>
      <c r="C1584" s="5"/>
      <c r="D1584" s="5"/>
      <c r="E1584" s="5"/>
      <c r="F1584" s="6"/>
      <c r="G1584" s="7"/>
    </row>
    <row r="1585" spans="1:7" ht="13.2" x14ac:dyDescent="0.25">
      <c r="A1585" s="5"/>
      <c r="B1585" s="5"/>
      <c r="C1585" s="5"/>
      <c r="D1585" s="5"/>
      <c r="E1585" s="5"/>
      <c r="F1585" s="6"/>
      <c r="G1585" s="7"/>
    </row>
    <row r="1586" spans="1:7" ht="13.2" x14ac:dyDescent="0.25">
      <c r="A1586" s="5"/>
      <c r="B1586" s="5"/>
      <c r="C1586" s="5"/>
      <c r="D1586" s="5"/>
      <c r="E1586" s="5"/>
      <c r="F1586" s="6"/>
      <c r="G1586" s="7"/>
    </row>
    <row r="1587" spans="1:7" ht="13.2" x14ac:dyDescent="0.25">
      <c r="A1587" s="5"/>
      <c r="B1587" s="5"/>
      <c r="C1587" s="5"/>
      <c r="D1587" s="5"/>
      <c r="E1587" s="5"/>
      <c r="F1587" s="6"/>
      <c r="G1587" s="7"/>
    </row>
    <row r="1588" spans="1:7" ht="13.2" x14ac:dyDescent="0.25">
      <c r="A1588" s="5"/>
      <c r="B1588" s="5"/>
      <c r="C1588" s="5"/>
      <c r="D1588" s="5"/>
      <c r="E1588" s="5"/>
      <c r="F1588" s="6"/>
      <c r="G1588" s="7"/>
    </row>
    <row r="1589" spans="1:7" ht="13.2" x14ac:dyDescent="0.25">
      <c r="A1589" s="5"/>
      <c r="B1589" s="5"/>
      <c r="C1589" s="5"/>
      <c r="D1589" s="5"/>
      <c r="E1589" s="5"/>
      <c r="F1589" s="6"/>
      <c r="G1589" s="7"/>
    </row>
    <row r="1590" spans="1:7" ht="13.2" x14ac:dyDescent="0.25">
      <c r="A1590" s="5"/>
      <c r="B1590" s="5"/>
      <c r="C1590" s="5"/>
      <c r="D1590" s="5"/>
      <c r="E1590" s="5"/>
      <c r="F1590" s="6"/>
      <c r="G1590" s="7"/>
    </row>
    <row r="1591" spans="1:7" ht="13.2" x14ac:dyDescent="0.25">
      <c r="A1591" s="5"/>
      <c r="B1591" s="5"/>
      <c r="C1591" s="5"/>
      <c r="D1591" s="5"/>
      <c r="E1591" s="5"/>
      <c r="F1591" s="6"/>
      <c r="G1591" s="7"/>
    </row>
    <row r="1592" spans="1:7" ht="13.2" x14ac:dyDescent="0.25">
      <c r="A1592" s="5"/>
      <c r="B1592" s="5"/>
      <c r="C1592" s="5"/>
      <c r="D1592" s="5"/>
      <c r="E1592" s="5"/>
      <c r="F1592" s="6"/>
      <c r="G1592" s="7"/>
    </row>
    <row r="1593" spans="1:7" ht="13.2" x14ac:dyDescent="0.25">
      <c r="A1593" s="5"/>
      <c r="B1593" s="5"/>
      <c r="C1593" s="5"/>
      <c r="D1593" s="5"/>
      <c r="E1593" s="5"/>
      <c r="F1593" s="6"/>
      <c r="G1593" s="7"/>
    </row>
    <row r="1594" spans="1:7" ht="13.2" x14ac:dyDescent="0.25">
      <c r="A1594" s="5"/>
      <c r="B1594" s="5"/>
      <c r="C1594" s="5"/>
      <c r="D1594" s="5"/>
      <c r="E1594" s="5"/>
      <c r="F1594" s="6"/>
      <c r="G1594" s="7"/>
    </row>
    <row r="1595" spans="1:7" ht="13.2" x14ac:dyDescent="0.25">
      <c r="A1595" s="5"/>
      <c r="B1595" s="5"/>
      <c r="C1595" s="5"/>
      <c r="D1595" s="5"/>
      <c r="E1595" s="5"/>
      <c r="F1595" s="6"/>
      <c r="G1595" s="7"/>
    </row>
    <row r="1596" spans="1:7" ht="13.2" x14ac:dyDescent="0.25">
      <c r="A1596" s="5"/>
      <c r="B1596" s="5"/>
      <c r="C1596" s="5"/>
      <c r="D1596" s="5"/>
      <c r="E1596" s="5"/>
      <c r="F1596" s="6"/>
      <c r="G1596" s="7"/>
    </row>
    <row r="1597" spans="1:7" ht="13.2" x14ac:dyDescent="0.25">
      <c r="A1597" s="5"/>
      <c r="B1597" s="5"/>
      <c r="C1597" s="5"/>
      <c r="D1597" s="5"/>
      <c r="E1597" s="5"/>
      <c r="F1597" s="6"/>
      <c r="G1597" s="7"/>
    </row>
    <row r="1598" spans="1:7" ht="13.2" x14ac:dyDescent="0.25">
      <c r="A1598" s="5"/>
      <c r="B1598" s="5"/>
      <c r="C1598" s="5"/>
      <c r="D1598" s="5"/>
      <c r="E1598" s="5"/>
      <c r="F1598" s="6"/>
      <c r="G1598" s="7"/>
    </row>
    <row r="1599" spans="1:7" ht="13.2" x14ac:dyDescent="0.25">
      <c r="A1599" s="5"/>
      <c r="B1599" s="5"/>
      <c r="C1599" s="5"/>
      <c r="D1599" s="5"/>
      <c r="E1599" s="5"/>
      <c r="F1599" s="6"/>
      <c r="G1599" s="7"/>
    </row>
    <row r="1600" spans="1:7" ht="13.2" x14ac:dyDescent="0.25">
      <c r="A1600" s="5"/>
      <c r="B1600" s="5"/>
      <c r="C1600" s="5"/>
      <c r="D1600" s="5"/>
      <c r="E1600" s="5"/>
      <c r="F1600" s="6"/>
      <c r="G1600" s="7"/>
    </row>
    <row r="1601" spans="1:7" ht="13.2" x14ac:dyDescent="0.25">
      <c r="A1601" s="5"/>
      <c r="B1601" s="5"/>
      <c r="C1601" s="5"/>
      <c r="D1601" s="5"/>
      <c r="E1601" s="5"/>
      <c r="F1601" s="6"/>
      <c r="G1601" s="7"/>
    </row>
    <row r="1602" spans="1:7" ht="13.2" x14ac:dyDescent="0.25">
      <c r="A1602" s="5"/>
      <c r="B1602" s="5"/>
      <c r="C1602" s="5"/>
      <c r="D1602" s="5"/>
      <c r="E1602" s="5"/>
      <c r="F1602" s="6"/>
      <c r="G1602" s="7"/>
    </row>
    <row r="1603" spans="1:7" ht="13.2" x14ac:dyDescent="0.25">
      <c r="A1603" s="5"/>
      <c r="B1603" s="5"/>
      <c r="C1603" s="5"/>
      <c r="D1603" s="5"/>
      <c r="E1603" s="5"/>
      <c r="F1603" s="6"/>
      <c r="G1603" s="7"/>
    </row>
    <row r="1604" spans="1:7" ht="13.2" x14ac:dyDescent="0.25">
      <c r="A1604" s="5"/>
      <c r="B1604" s="5"/>
      <c r="C1604" s="5"/>
      <c r="D1604" s="5"/>
      <c r="E1604" s="5"/>
      <c r="F1604" s="6"/>
      <c r="G1604" s="7"/>
    </row>
    <row r="1605" spans="1:7" ht="13.2" x14ac:dyDescent="0.25">
      <c r="A1605" s="5"/>
      <c r="B1605" s="5"/>
      <c r="C1605" s="5"/>
      <c r="D1605" s="5"/>
      <c r="E1605" s="5"/>
      <c r="F1605" s="6"/>
      <c r="G1605" s="7"/>
    </row>
    <row r="1606" spans="1:7" ht="13.2" x14ac:dyDescent="0.25">
      <c r="A1606" s="5"/>
      <c r="B1606" s="5"/>
      <c r="C1606" s="5"/>
      <c r="D1606" s="5"/>
      <c r="E1606" s="5"/>
      <c r="F1606" s="6"/>
      <c r="G1606" s="7"/>
    </row>
    <row r="1607" spans="1:7" ht="13.2" x14ac:dyDescent="0.25">
      <c r="A1607" s="5"/>
      <c r="B1607" s="5"/>
      <c r="C1607" s="5"/>
      <c r="D1607" s="5"/>
      <c r="E1607" s="5"/>
      <c r="F1607" s="6"/>
      <c r="G1607" s="7"/>
    </row>
    <row r="1608" spans="1:7" ht="13.2" x14ac:dyDescent="0.25">
      <c r="A1608" s="5"/>
      <c r="B1608" s="5"/>
      <c r="C1608" s="5"/>
      <c r="D1608" s="5"/>
      <c r="E1608" s="5"/>
      <c r="F1608" s="6"/>
      <c r="G1608" s="7"/>
    </row>
    <row r="1609" spans="1:7" ht="13.2" x14ac:dyDescent="0.25">
      <c r="A1609" s="5"/>
      <c r="B1609" s="5"/>
      <c r="C1609" s="5"/>
      <c r="D1609" s="5"/>
      <c r="E1609" s="5"/>
      <c r="F1609" s="6"/>
      <c r="G1609" s="7"/>
    </row>
    <row r="1610" spans="1:7" ht="13.2" x14ac:dyDescent="0.25">
      <c r="A1610" s="5"/>
      <c r="B1610" s="5"/>
      <c r="C1610" s="5"/>
      <c r="D1610" s="5"/>
      <c r="E1610" s="5"/>
      <c r="F1610" s="6"/>
      <c r="G1610" s="7"/>
    </row>
    <row r="1611" spans="1:7" ht="13.2" x14ac:dyDescent="0.25">
      <c r="A1611" s="5"/>
      <c r="B1611" s="5"/>
      <c r="C1611" s="5"/>
      <c r="D1611" s="5"/>
      <c r="E1611" s="5"/>
      <c r="F1611" s="6"/>
      <c r="G1611" s="7"/>
    </row>
    <row r="1612" spans="1:7" ht="13.2" x14ac:dyDescent="0.25">
      <c r="A1612" s="5"/>
      <c r="B1612" s="5"/>
      <c r="C1612" s="5"/>
      <c r="D1612" s="5"/>
      <c r="E1612" s="5"/>
      <c r="F1612" s="6"/>
      <c r="G1612" s="7"/>
    </row>
    <row r="1613" spans="1:7" ht="13.2" x14ac:dyDescent="0.25">
      <c r="A1613" s="5"/>
      <c r="B1613" s="5"/>
      <c r="C1613" s="5"/>
      <c r="D1613" s="5"/>
      <c r="E1613" s="5"/>
      <c r="F1613" s="6"/>
      <c r="G1613" s="7"/>
    </row>
    <row r="1614" spans="1:7" ht="13.2" x14ac:dyDescent="0.25">
      <c r="A1614" s="5"/>
      <c r="B1614" s="5"/>
      <c r="C1614" s="5"/>
      <c r="D1614" s="5"/>
      <c r="E1614" s="5"/>
      <c r="F1614" s="6"/>
      <c r="G1614" s="7"/>
    </row>
    <row r="1615" spans="1:7" ht="13.2" x14ac:dyDescent="0.25">
      <c r="A1615" s="5"/>
      <c r="B1615" s="5"/>
      <c r="C1615" s="5"/>
      <c r="D1615" s="5"/>
      <c r="E1615" s="5"/>
      <c r="F1615" s="6"/>
      <c r="G1615" s="7"/>
    </row>
    <row r="1616" spans="1:7" ht="13.2" x14ac:dyDescent="0.25">
      <c r="A1616" s="5"/>
      <c r="B1616" s="5"/>
      <c r="C1616" s="5"/>
      <c r="D1616" s="5"/>
      <c r="E1616" s="5"/>
      <c r="F1616" s="6"/>
      <c r="G1616" s="7"/>
    </row>
    <row r="1617" spans="1:7" ht="13.2" x14ac:dyDescent="0.25">
      <c r="A1617" s="5"/>
      <c r="B1617" s="5"/>
      <c r="C1617" s="5"/>
      <c r="D1617" s="5"/>
      <c r="E1617" s="5"/>
      <c r="F1617" s="6"/>
      <c r="G1617" s="7"/>
    </row>
    <row r="1618" spans="1:7" ht="13.2" x14ac:dyDescent="0.25">
      <c r="A1618" s="5"/>
      <c r="B1618" s="5"/>
      <c r="C1618" s="5"/>
      <c r="D1618" s="5"/>
      <c r="E1618" s="5"/>
      <c r="F1618" s="6"/>
      <c r="G1618" s="7"/>
    </row>
    <row r="1619" spans="1:7" ht="13.2" x14ac:dyDescent="0.25">
      <c r="A1619" s="5"/>
      <c r="B1619" s="5"/>
      <c r="C1619" s="5"/>
      <c r="D1619" s="5"/>
      <c r="E1619" s="5"/>
      <c r="F1619" s="6"/>
      <c r="G1619" s="7"/>
    </row>
    <row r="1620" spans="1:7" ht="13.2" x14ac:dyDescent="0.25">
      <c r="A1620" s="5"/>
      <c r="B1620" s="5"/>
      <c r="C1620" s="5"/>
      <c r="D1620" s="5"/>
      <c r="E1620" s="5"/>
      <c r="F1620" s="6"/>
      <c r="G1620" s="7"/>
    </row>
    <row r="1621" spans="1:7" ht="13.2" x14ac:dyDescent="0.25">
      <c r="A1621" s="5"/>
      <c r="B1621" s="5"/>
      <c r="C1621" s="5"/>
      <c r="D1621" s="5"/>
      <c r="E1621" s="5"/>
      <c r="F1621" s="6"/>
      <c r="G1621" s="7"/>
    </row>
    <row r="1622" spans="1:7" ht="13.2" x14ac:dyDescent="0.25">
      <c r="A1622" s="5"/>
      <c r="B1622" s="5"/>
      <c r="C1622" s="5"/>
      <c r="D1622" s="5"/>
      <c r="E1622" s="5"/>
      <c r="F1622" s="6"/>
      <c r="G1622" s="7"/>
    </row>
    <row r="1623" spans="1:7" ht="13.2" x14ac:dyDescent="0.25">
      <c r="A1623" s="5"/>
      <c r="B1623" s="5"/>
      <c r="C1623" s="5"/>
      <c r="D1623" s="5"/>
      <c r="E1623" s="5"/>
      <c r="F1623" s="6"/>
      <c r="G1623" s="7"/>
    </row>
    <row r="1624" spans="1:7" ht="13.2" x14ac:dyDescent="0.25">
      <c r="A1624" s="5"/>
      <c r="B1624" s="5"/>
      <c r="C1624" s="5"/>
      <c r="D1624" s="5"/>
      <c r="E1624" s="5"/>
      <c r="F1624" s="6"/>
      <c r="G1624" s="7"/>
    </row>
    <row r="1625" spans="1:7" ht="13.2" x14ac:dyDescent="0.25">
      <c r="A1625" s="5"/>
      <c r="B1625" s="5"/>
      <c r="C1625" s="5"/>
      <c r="D1625" s="5"/>
      <c r="E1625" s="5"/>
      <c r="F1625" s="6"/>
      <c r="G1625" s="7"/>
    </row>
    <row r="1626" spans="1:7" ht="13.2" x14ac:dyDescent="0.25">
      <c r="A1626" s="5"/>
      <c r="B1626" s="5"/>
      <c r="C1626" s="5"/>
      <c r="D1626" s="5"/>
      <c r="E1626" s="5"/>
      <c r="F1626" s="6"/>
      <c r="G1626" s="7"/>
    </row>
    <row r="1627" spans="1:7" ht="13.2" x14ac:dyDescent="0.25">
      <c r="A1627" s="5"/>
      <c r="B1627" s="5"/>
      <c r="C1627" s="5"/>
      <c r="D1627" s="5"/>
      <c r="E1627" s="5"/>
      <c r="F1627" s="6"/>
      <c r="G1627" s="7"/>
    </row>
    <row r="1628" spans="1:7" ht="13.2" x14ac:dyDescent="0.25">
      <c r="A1628" s="5"/>
      <c r="B1628" s="5"/>
      <c r="C1628" s="5"/>
      <c r="D1628" s="5"/>
      <c r="E1628" s="5"/>
      <c r="F1628" s="6"/>
      <c r="G1628" s="7"/>
    </row>
    <row r="1629" spans="1:7" ht="13.2" x14ac:dyDescent="0.25">
      <c r="A1629" s="5"/>
      <c r="B1629" s="5"/>
      <c r="C1629" s="5"/>
      <c r="D1629" s="5"/>
      <c r="E1629" s="5"/>
      <c r="F1629" s="6"/>
      <c r="G1629" s="7"/>
    </row>
    <row r="1630" spans="1:7" ht="13.2" x14ac:dyDescent="0.25">
      <c r="A1630" s="5"/>
      <c r="B1630" s="5"/>
      <c r="C1630" s="5"/>
      <c r="D1630" s="5"/>
      <c r="E1630" s="5"/>
      <c r="F1630" s="6"/>
      <c r="G1630" s="7"/>
    </row>
    <row r="1631" spans="1:7" ht="13.2" x14ac:dyDescent="0.25">
      <c r="A1631" s="5"/>
      <c r="B1631" s="5"/>
      <c r="C1631" s="5"/>
      <c r="D1631" s="5"/>
      <c r="E1631" s="5"/>
      <c r="F1631" s="6"/>
      <c r="G1631" s="7"/>
    </row>
    <row r="1632" spans="1:7" ht="13.2" x14ac:dyDescent="0.25">
      <c r="A1632" s="5"/>
      <c r="B1632" s="5"/>
      <c r="C1632" s="5"/>
      <c r="D1632" s="5"/>
      <c r="E1632" s="5"/>
      <c r="F1632" s="6"/>
      <c r="G1632" s="7"/>
    </row>
    <row r="1633" spans="1:7" ht="13.2" x14ac:dyDescent="0.25">
      <c r="A1633" s="5"/>
      <c r="B1633" s="5"/>
      <c r="C1633" s="5"/>
      <c r="D1633" s="5"/>
      <c r="E1633" s="5"/>
      <c r="F1633" s="6"/>
      <c r="G1633" s="7"/>
    </row>
    <row r="1634" spans="1:7" ht="13.2" x14ac:dyDescent="0.25">
      <c r="A1634" s="5"/>
      <c r="B1634" s="5"/>
      <c r="C1634" s="5"/>
      <c r="D1634" s="5"/>
      <c r="E1634" s="5"/>
      <c r="F1634" s="6"/>
      <c r="G1634" s="7"/>
    </row>
    <row r="1635" spans="1:7" ht="13.2" x14ac:dyDescent="0.25">
      <c r="A1635" s="5"/>
      <c r="B1635" s="5"/>
      <c r="C1635" s="5"/>
      <c r="D1635" s="5"/>
      <c r="E1635" s="5"/>
      <c r="F1635" s="6"/>
      <c r="G1635" s="7"/>
    </row>
    <row r="1636" spans="1:7" ht="13.2" x14ac:dyDescent="0.25">
      <c r="A1636" s="5"/>
      <c r="B1636" s="5"/>
      <c r="C1636" s="5"/>
      <c r="D1636" s="5"/>
      <c r="E1636" s="5"/>
      <c r="F1636" s="6"/>
      <c r="G1636" s="7"/>
    </row>
    <row r="1637" spans="1:7" ht="13.2" x14ac:dyDescent="0.25">
      <c r="A1637" s="5"/>
      <c r="B1637" s="5"/>
      <c r="C1637" s="5"/>
      <c r="D1637" s="5"/>
      <c r="E1637" s="5"/>
      <c r="F1637" s="6"/>
      <c r="G1637" s="7"/>
    </row>
    <row r="1638" spans="1:7" ht="13.2" x14ac:dyDescent="0.25">
      <c r="A1638" s="5"/>
      <c r="B1638" s="5"/>
      <c r="C1638" s="5"/>
      <c r="D1638" s="5"/>
      <c r="E1638" s="5"/>
      <c r="F1638" s="6"/>
      <c r="G1638" s="7"/>
    </row>
    <row r="1639" spans="1:7" ht="13.2" x14ac:dyDescent="0.25">
      <c r="A1639" s="5"/>
      <c r="B1639" s="5"/>
      <c r="C1639" s="5"/>
      <c r="D1639" s="5"/>
      <c r="E1639" s="5"/>
      <c r="F1639" s="6"/>
      <c r="G1639" s="7"/>
    </row>
    <row r="1640" spans="1:7" ht="13.2" x14ac:dyDescent="0.25">
      <c r="A1640" s="5"/>
      <c r="B1640" s="5"/>
      <c r="C1640" s="5"/>
      <c r="D1640" s="5"/>
      <c r="E1640" s="5"/>
      <c r="F1640" s="6"/>
      <c r="G1640" s="7"/>
    </row>
    <row r="1641" spans="1:7" ht="13.2" x14ac:dyDescent="0.25">
      <c r="A1641" s="5"/>
      <c r="B1641" s="5"/>
      <c r="C1641" s="5"/>
      <c r="D1641" s="5"/>
      <c r="E1641" s="5"/>
      <c r="F1641" s="6"/>
      <c r="G1641" s="7"/>
    </row>
    <row r="1642" spans="1:7" ht="13.2" x14ac:dyDescent="0.25">
      <c r="A1642" s="5"/>
      <c r="B1642" s="5"/>
      <c r="C1642" s="5"/>
      <c r="D1642" s="5"/>
      <c r="E1642" s="5"/>
      <c r="F1642" s="6"/>
      <c r="G1642" s="7"/>
    </row>
    <row r="1643" spans="1:7" ht="13.2" x14ac:dyDescent="0.25">
      <c r="A1643" s="5"/>
      <c r="B1643" s="5"/>
      <c r="C1643" s="5"/>
      <c r="D1643" s="5"/>
      <c r="E1643" s="5"/>
      <c r="F1643" s="6"/>
      <c r="G1643" s="7"/>
    </row>
    <row r="1644" spans="1:7" ht="13.2" x14ac:dyDescent="0.25">
      <c r="A1644" s="5"/>
      <c r="B1644" s="5"/>
      <c r="C1644" s="5"/>
      <c r="D1644" s="5"/>
      <c r="E1644" s="5"/>
      <c r="F1644" s="6"/>
      <c r="G1644" s="7"/>
    </row>
    <row r="1645" spans="1:7" ht="13.2" x14ac:dyDescent="0.25">
      <c r="A1645" s="5"/>
      <c r="B1645" s="5"/>
      <c r="C1645" s="5"/>
      <c r="D1645" s="5"/>
      <c r="E1645" s="5"/>
      <c r="F1645" s="6"/>
      <c r="G1645" s="7"/>
    </row>
    <row r="1646" spans="1:7" ht="13.2" x14ac:dyDescent="0.25">
      <c r="A1646" s="5"/>
      <c r="B1646" s="5"/>
      <c r="C1646" s="5"/>
      <c r="D1646" s="5"/>
      <c r="E1646" s="5"/>
      <c r="F1646" s="6"/>
      <c r="G1646" s="7"/>
    </row>
    <row r="1647" spans="1:7" ht="13.2" x14ac:dyDescent="0.25">
      <c r="A1647" s="5"/>
      <c r="B1647" s="5"/>
      <c r="C1647" s="5"/>
      <c r="D1647" s="5"/>
      <c r="E1647" s="5"/>
      <c r="F1647" s="6"/>
      <c r="G1647" s="7"/>
    </row>
    <row r="1648" spans="1:7" ht="13.2" x14ac:dyDescent="0.25">
      <c r="A1648" s="5"/>
      <c r="B1648" s="5"/>
      <c r="C1648" s="5"/>
      <c r="D1648" s="5"/>
      <c r="E1648" s="5"/>
      <c r="F1648" s="6"/>
      <c r="G1648" s="7"/>
    </row>
    <row r="1649" spans="1:7" ht="13.2" x14ac:dyDescent="0.25">
      <c r="A1649" s="5"/>
      <c r="B1649" s="5"/>
      <c r="C1649" s="5"/>
      <c r="D1649" s="5"/>
      <c r="E1649" s="5"/>
      <c r="F1649" s="6"/>
      <c r="G1649" s="7"/>
    </row>
    <row r="1650" spans="1:7" ht="13.2" x14ac:dyDescent="0.25">
      <c r="A1650" s="5"/>
      <c r="B1650" s="5"/>
      <c r="C1650" s="5"/>
      <c r="D1650" s="5"/>
      <c r="E1650" s="5"/>
      <c r="F1650" s="6"/>
      <c r="G1650" s="7"/>
    </row>
    <row r="1651" spans="1:7" ht="13.2" x14ac:dyDescent="0.25">
      <c r="A1651" s="5"/>
      <c r="B1651" s="5"/>
      <c r="C1651" s="5"/>
      <c r="D1651" s="5"/>
      <c r="E1651" s="5"/>
      <c r="F1651" s="6"/>
      <c r="G1651" s="7"/>
    </row>
    <row r="1652" spans="1:7" ht="13.2" x14ac:dyDescent="0.25">
      <c r="A1652" s="5"/>
      <c r="B1652" s="5"/>
      <c r="C1652" s="5"/>
      <c r="D1652" s="5"/>
      <c r="E1652" s="5"/>
      <c r="F1652" s="6"/>
      <c r="G1652" s="7"/>
    </row>
    <row r="1653" spans="1:7" ht="13.2" x14ac:dyDescent="0.25">
      <c r="A1653" s="5"/>
      <c r="B1653" s="5"/>
      <c r="C1653" s="5"/>
      <c r="D1653" s="5"/>
      <c r="E1653" s="5"/>
      <c r="F1653" s="6"/>
      <c r="G1653" s="7"/>
    </row>
    <row r="1654" spans="1:7" ht="13.2" x14ac:dyDescent="0.25">
      <c r="A1654" s="5"/>
      <c r="B1654" s="5"/>
      <c r="C1654" s="5"/>
      <c r="D1654" s="5"/>
      <c r="E1654" s="5"/>
      <c r="F1654" s="6"/>
      <c r="G1654" s="7"/>
    </row>
    <row r="1655" spans="1:7" ht="13.2" x14ac:dyDescent="0.25">
      <c r="A1655" s="5"/>
      <c r="B1655" s="5"/>
      <c r="C1655" s="5"/>
      <c r="D1655" s="5"/>
      <c r="E1655" s="5"/>
      <c r="F1655" s="6"/>
      <c r="G1655" s="7"/>
    </row>
    <row r="1656" spans="1:7" ht="13.2" x14ac:dyDescent="0.25">
      <c r="A1656" s="5"/>
      <c r="B1656" s="5"/>
      <c r="C1656" s="5"/>
      <c r="D1656" s="5"/>
      <c r="E1656" s="5"/>
      <c r="F1656" s="6"/>
      <c r="G1656" s="7"/>
    </row>
    <row r="1657" spans="1:7" ht="13.2" x14ac:dyDescent="0.25">
      <c r="A1657" s="5"/>
      <c r="B1657" s="5"/>
      <c r="C1657" s="5"/>
      <c r="D1657" s="5"/>
      <c r="E1657" s="5"/>
      <c r="F1657" s="6"/>
      <c r="G1657" s="7"/>
    </row>
    <row r="1658" spans="1:7" ht="13.2" x14ac:dyDescent="0.25">
      <c r="A1658" s="5"/>
      <c r="B1658" s="5"/>
      <c r="C1658" s="5"/>
      <c r="D1658" s="5"/>
      <c r="E1658" s="5"/>
      <c r="F1658" s="6"/>
      <c r="G1658" s="7"/>
    </row>
    <row r="1659" spans="1:7" ht="13.2" x14ac:dyDescent="0.25">
      <c r="A1659" s="5"/>
      <c r="B1659" s="5"/>
      <c r="C1659" s="5"/>
      <c r="D1659" s="5"/>
      <c r="E1659" s="5"/>
      <c r="F1659" s="6"/>
      <c r="G1659" s="7"/>
    </row>
    <row r="1660" spans="1:7" ht="13.2" x14ac:dyDescent="0.25">
      <c r="A1660" s="5"/>
      <c r="B1660" s="5"/>
      <c r="C1660" s="5"/>
      <c r="D1660" s="5"/>
      <c r="E1660" s="5"/>
      <c r="F1660" s="6"/>
      <c r="G1660" s="7"/>
    </row>
    <row r="1661" spans="1:7" ht="13.2" x14ac:dyDescent="0.25">
      <c r="A1661" s="5"/>
      <c r="B1661" s="5"/>
      <c r="C1661" s="5"/>
      <c r="D1661" s="5"/>
      <c r="E1661" s="5"/>
      <c r="F1661" s="6"/>
      <c r="G1661" s="7"/>
    </row>
    <row r="1662" spans="1:7" ht="13.2" x14ac:dyDescent="0.25">
      <c r="A1662" s="5"/>
      <c r="B1662" s="5"/>
      <c r="C1662" s="5"/>
      <c r="D1662" s="5"/>
      <c r="E1662" s="5"/>
      <c r="F1662" s="6"/>
      <c r="G1662" s="7"/>
    </row>
    <row r="1663" spans="1:7" ht="13.2" x14ac:dyDescent="0.25">
      <c r="A1663" s="5"/>
      <c r="B1663" s="5"/>
      <c r="C1663" s="5"/>
      <c r="D1663" s="5"/>
      <c r="E1663" s="5"/>
      <c r="F1663" s="6"/>
      <c r="G1663" s="7"/>
    </row>
    <row r="1664" spans="1:7" ht="13.2" x14ac:dyDescent="0.25">
      <c r="A1664" s="5"/>
      <c r="B1664" s="5"/>
      <c r="C1664" s="5"/>
      <c r="D1664" s="5"/>
      <c r="E1664" s="5"/>
      <c r="F1664" s="6"/>
      <c r="G1664" s="7"/>
    </row>
    <row r="1665" spans="1:7" ht="13.2" x14ac:dyDescent="0.25">
      <c r="A1665" s="5"/>
      <c r="B1665" s="5"/>
      <c r="C1665" s="5"/>
      <c r="D1665" s="5"/>
      <c r="E1665" s="5"/>
      <c r="F1665" s="6"/>
      <c r="G1665" s="7"/>
    </row>
    <row r="1666" spans="1:7" ht="13.2" x14ac:dyDescent="0.25">
      <c r="A1666" s="5"/>
      <c r="B1666" s="5"/>
      <c r="C1666" s="5"/>
      <c r="D1666" s="5"/>
      <c r="E1666" s="5"/>
      <c r="F1666" s="6"/>
      <c r="G1666" s="7"/>
    </row>
    <row r="1667" spans="1:7" ht="13.2" x14ac:dyDescent="0.25">
      <c r="A1667" s="5"/>
      <c r="B1667" s="5"/>
      <c r="C1667" s="5"/>
      <c r="D1667" s="5"/>
      <c r="E1667" s="5"/>
      <c r="F1667" s="6"/>
      <c r="G1667" s="7"/>
    </row>
    <row r="1668" spans="1:7" ht="13.2" x14ac:dyDescent="0.25">
      <c r="A1668" s="5"/>
      <c r="B1668" s="5"/>
      <c r="C1668" s="5"/>
      <c r="D1668" s="5"/>
      <c r="E1668" s="5"/>
      <c r="F1668" s="6"/>
      <c r="G1668" s="7"/>
    </row>
    <row r="1669" spans="1:7" ht="13.2" x14ac:dyDescent="0.25">
      <c r="A1669" s="5"/>
      <c r="B1669" s="5"/>
      <c r="C1669" s="5"/>
      <c r="D1669" s="5"/>
      <c r="E1669" s="5"/>
      <c r="F1669" s="6"/>
      <c r="G1669" s="7"/>
    </row>
    <row r="1670" spans="1:7" ht="13.2" x14ac:dyDescent="0.25">
      <c r="A1670" s="5"/>
      <c r="B1670" s="5"/>
      <c r="C1670" s="5"/>
      <c r="D1670" s="5"/>
      <c r="E1670" s="5"/>
      <c r="F1670" s="6"/>
      <c r="G1670" s="7"/>
    </row>
    <row r="1671" spans="1:7" ht="13.2" x14ac:dyDescent="0.25">
      <c r="A1671" s="5"/>
      <c r="B1671" s="5"/>
      <c r="C1671" s="5"/>
      <c r="D1671" s="5"/>
      <c r="E1671" s="5"/>
      <c r="F1671" s="6"/>
      <c r="G1671" s="7"/>
    </row>
    <row r="1672" spans="1:7" ht="13.2" x14ac:dyDescent="0.25">
      <c r="A1672" s="5"/>
      <c r="B1672" s="5"/>
      <c r="C1672" s="5"/>
      <c r="D1672" s="5"/>
      <c r="E1672" s="5"/>
      <c r="F1672" s="6"/>
      <c r="G1672" s="7"/>
    </row>
    <row r="1673" spans="1:7" ht="13.2" x14ac:dyDescent="0.25">
      <c r="A1673" s="5"/>
      <c r="B1673" s="5"/>
      <c r="C1673" s="5"/>
      <c r="D1673" s="5"/>
      <c r="E1673" s="5"/>
      <c r="F1673" s="6"/>
      <c r="G1673" s="7"/>
    </row>
    <row r="1674" spans="1:7" ht="13.2" x14ac:dyDescent="0.25">
      <c r="A1674" s="5"/>
      <c r="B1674" s="5"/>
      <c r="C1674" s="5"/>
      <c r="D1674" s="5"/>
      <c r="E1674" s="5"/>
      <c r="F1674" s="6"/>
      <c r="G1674" s="7"/>
    </row>
    <row r="1675" spans="1:7" ht="13.2" x14ac:dyDescent="0.25">
      <c r="A1675" s="5"/>
      <c r="B1675" s="5"/>
      <c r="C1675" s="5"/>
      <c r="D1675" s="5"/>
      <c r="E1675" s="5"/>
      <c r="F1675" s="6"/>
      <c r="G1675" s="7"/>
    </row>
    <row r="1676" spans="1:7" ht="13.2" x14ac:dyDescent="0.25">
      <c r="A1676" s="5"/>
      <c r="B1676" s="5"/>
      <c r="C1676" s="5"/>
      <c r="D1676" s="5"/>
      <c r="E1676" s="5"/>
      <c r="F1676" s="6"/>
      <c r="G1676" s="7"/>
    </row>
    <row r="1677" spans="1:7" ht="13.2" x14ac:dyDescent="0.25">
      <c r="A1677" s="5"/>
      <c r="B1677" s="5"/>
      <c r="C1677" s="5"/>
      <c r="D1677" s="5"/>
      <c r="E1677" s="5"/>
      <c r="F1677" s="6"/>
      <c r="G1677" s="7"/>
    </row>
    <row r="1678" spans="1:7" ht="13.2" x14ac:dyDescent="0.25">
      <c r="A1678" s="5"/>
      <c r="B1678" s="5"/>
      <c r="C1678" s="5"/>
      <c r="D1678" s="5"/>
      <c r="E1678" s="5"/>
      <c r="F1678" s="6"/>
      <c r="G1678" s="7"/>
    </row>
    <row r="1679" spans="1:7" ht="13.2" x14ac:dyDescent="0.25">
      <c r="A1679" s="5"/>
      <c r="B1679" s="5"/>
      <c r="C1679" s="5"/>
      <c r="D1679" s="5"/>
      <c r="E1679" s="5"/>
      <c r="F1679" s="6"/>
      <c r="G1679" s="7"/>
    </row>
    <row r="1680" spans="1:7" ht="13.2" x14ac:dyDescent="0.25">
      <c r="A1680" s="5"/>
      <c r="B1680" s="5"/>
      <c r="C1680" s="5"/>
      <c r="D1680" s="5"/>
      <c r="E1680" s="5"/>
      <c r="F1680" s="6"/>
      <c r="G1680" s="7"/>
    </row>
    <row r="1681" spans="1:7" ht="13.2" x14ac:dyDescent="0.25">
      <c r="A1681" s="5"/>
      <c r="B1681" s="5"/>
      <c r="C1681" s="5"/>
      <c r="D1681" s="5"/>
      <c r="E1681" s="5"/>
      <c r="F1681" s="6"/>
      <c r="G1681" s="7"/>
    </row>
    <row r="1682" spans="1:7" ht="13.2" x14ac:dyDescent="0.25">
      <c r="A1682" s="5"/>
      <c r="B1682" s="5"/>
      <c r="C1682" s="5"/>
      <c r="D1682" s="5"/>
      <c r="E1682" s="5"/>
      <c r="F1682" s="6"/>
      <c r="G1682" s="7"/>
    </row>
    <row r="1683" spans="1:7" ht="13.2" x14ac:dyDescent="0.25">
      <c r="A1683" s="5"/>
      <c r="B1683" s="5"/>
      <c r="C1683" s="5"/>
      <c r="D1683" s="5"/>
      <c r="E1683" s="5"/>
      <c r="F1683" s="6"/>
      <c r="G1683" s="7"/>
    </row>
    <row r="1684" spans="1:7" ht="13.2" x14ac:dyDescent="0.25">
      <c r="A1684" s="5"/>
      <c r="B1684" s="5"/>
      <c r="C1684" s="5"/>
      <c r="D1684" s="5"/>
      <c r="E1684" s="5"/>
      <c r="F1684" s="6"/>
      <c r="G1684" s="7"/>
    </row>
    <row r="1685" spans="1:7" ht="13.2" x14ac:dyDescent="0.25">
      <c r="A1685" s="5"/>
      <c r="B1685" s="5"/>
      <c r="C1685" s="5"/>
      <c r="D1685" s="5"/>
      <c r="E1685" s="5"/>
      <c r="F1685" s="6"/>
      <c r="G1685" s="7"/>
    </row>
    <row r="1686" spans="1:7" ht="13.2" x14ac:dyDescent="0.25">
      <c r="A1686" s="5"/>
      <c r="B1686" s="5"/>
      <c r="C1686" s="5"/>
      <c r="D1686" s="5"/>
      <c r="E1686" s="5"/>
      <c r="F1686" s="6"/>
      <c r="G1686" s="7"/>
    </row>
    <row r="1687" spans="1:7" ht="13.2" x14ac:dyDescent="0.25">
      <c r="A1687" s="5"/>
      <c r="B1687" s="5"/>
      <c r="C1687" s="5"/>
      <c r="D1687" s="5"/>
      <c r="E1687" s="5"/>
      <c r="F1687" s="6"/>
      <c r="G1687" s="7"/>
    </row>
    <row r="1688" spans="1:7" ht="13.2" x14ac:dyDescent="0.25">
      <c r="A1688" s="5"/>
      <c r="B1688" s="5"/>
      <c r="C1688" s="5"/>
      <c r="D1688" s="5"/>
      <c r="E1688" s="5"/>
      <c r="F1688" s="6"/>
      <c r="G1688" s="7"/>
    </row>
    <row r="1689" spans="1:7" ht="13.2" x14ac:dyDescent="0.25">
      <c r="A1689" s="5"/>
      <c r="B1689" s="5"/>
      <c r="C1689" s="5"/>
      <c r="D1689" s="5"/>
      <c r="E1689" s="5"/>
      <c r="F1689" s="6"/>
      <c r="G1689" s="7"/>
    </row>
    <row r="1690" spans="1:7" ht="13.2" x14ac:dyDescent="0.25">
      <c r="A1690" s="5"/>
      <c r="B1690" s="5"/>
      <c r="C1690" s="5"/>
      <c r="D1690" s="5"/>
      <c r="E1690" s="5"/>
      <c r="F1690" s="6"/>
      <c r="G1690" s="7"/>
    </row>
    <row r="1691" spans="1:7" ht="13.2" x14ac:dyDescent="0.25">
      <c r="A1691" s="5"/>
      <c r="B1691" s="5"/>
      <c r="C1691" s="5"/>
      <c r="D1691" s="5"/>
      <c r="E1691" s="5"/>
      <c r="F1691" s="6"/>
      <c r="G1691" s="7"/>
    </row>
    <row r="1692" spans="1:7" ht="13.2" x14ac:dyDescent="0.25">
      <c r="A1692" s="5"/>
      <c r="B1692" s="5"/>
      <c r="C1692" s="5"/>
      <c r="D1692" s="5"/>
      <c r="E1692" s="5"/>
      <c r="F1692" s="6"/>
      <c r="G1692" s="7"/>
    </row>
    <row r="1693" spans="1:7" ht="13.2" x14ac:dyDescent="0.25">
      <c r="A1693" s="5"/>
      <c r="B1693" s="5"/>
      <c r="C1693" s="5"/>
      <c r="D1693" s="5"/>
      <c r="E1693" s="5"/>
      <c r="F1693" s="6"/>
      <c r="G1693" s="7"/>
    </row>
    <row r="1694" spans="1:7" ht="13.2" x14ac:dyDescent="0.25">
      <c r="A1694" s="5"/>
      <c r="B1694" s="5"/>
      <c r="C1694" s="5"/>
      <c r="D1694" s="5"/>
      <c r="E1694" s="5"/>
      <c r="F1694" s="6"/>
      <c r="G1694" s="7"/>
    </row>
    <row r="1695" spans="1:7" ht="13.2" x14ac:dyDescent="0.25">
      <c r="A1695" s="5"/>
      <c r="B1695" s="5"/>
      <c r="C1695" s="5"/>
      <c r="D1695" s="5"/>
      <c r="E1695" s="5"/>
      <c r="F1695" s="6"/>
      <c r="G1695" s="7"/>
    </row>
    <row r="1696" spans="1:7" ht="13.2" x14ac:dyDescent="0.25">
      <c r="A1696" s="5"/>
      <c r="B1696" s="5"/>
      <c r="C1696" s="5"/>
      <c r="D1696" s="5"/>
      <c r="E1696" s="5"/>
      <c r="F1696" s="6"/>
      <c r="G1696" s="7"/>
    </row>
    <row r="1697" spans="1:7" ht="13.2" x14ac:dyDescent="0.25">
      <c r="A1697" s="5"/>
      <c r="B1697" s="5"/>
      <c r="C1697" s="5"/>
      <c r="D1697" s="5"/>
      <c r="E1697" s="5"/>
      <c r="F1697" s="6"/>
      <c r="G1697" s="7"/>
    </row>
    <row r="1698" spans="1:7" ht="13.2" x14ac:dyDescent="0.25">
      <c r="A1698" s="5"/>
      <c r="B1698" s="5"/>
      <c r="C1698" s="5"/>
      <c r="D1698" s="5"/>
      <c r="E1698" s="5"/>
      <c r="F1698" s="6"/>
      <c r="G1698" s="7"/>
    </row>
    <row r="1699" spans="1:7" ht="13.2" x14ac:dyDescent="0.25">
      <c r="A1699" s="5"/>
      <c r="B1699" s="5"/>
      <c r="C1699" s="5"/>
      <c r="D1699" s="5"/>
      <c r="E1699" s="5"/>
      <c r="F1699" s="6"/>
      <c r="G1699" s="7"/>
    </row>
    <row r="1700" spans="1:7" ht="13.2" x14ac:dyDescent="0.25">
      <c r="A1700" s="5"/>
      <c r="B1700" s="5"/>
      <c r="C1700" s="5"/>
      <c r="D1700" s="5"/>
      <c r="E1700" s="5"/>
      <c r="F1700" s="6"/>
      <c r="G1700" s="7"/>
    </row>
    <row r="1701" spans="1:7" ht="13.2" x14ac:dyDescent="0.25">
      <c r="A1701" s="5"/>
      <c r="B1701" s="5"/>
      <c r="C1701" s="5"/>
      <c r="D1701" s="5"/>
      <c r="E1701" s="5"/>
      <c r="F1701" s="6"/>
      <c r="G1701" s="7"/>
    </row>
    <row r="1702" spans="1:7" ht="13.2" x14ac:dyDescent="0.25">
      <c r="A1702" s="5"/>
      <c r="B1702" s="5"/>
      <c r="C1702" s="5"/>
      <c r="D1702" s="5"/>
      <c r="E1702" s="5"/>
      <c r="F1702" s="6"/>
      <c r="G1702" s="7"/>
    </row>
    <row r="1703" spans="1:7" ht="13.2" x14ac:dyDescent="0.25">
      <c r="A1703" s="5"/>
      <c r="B1703" s="5"/>
      <c r="C1703" s="5"/>
      <c r="D1703" s="5"/>
      <c r="E1703" s="5"/>
      <c r="F1703" s="6"/>
      <c r="G1703" s="7"/>
    </row>
    <row r="1704" spans="1:7" ht="13.2" x14ac:dyDescent="0.25">
      <c r="A1704" s="5"/>
      <c r="B1704" s="5"/>
      <c r="C1704" s="5"/>
      <c r="D1704" s="5"/>
      <c r="E1704" s="5"/>
      <c r="F1704" s="6"/>
      <c r="G1704" s="7"/>
    </row>
    <row r="1705" spans="1:7" ht="13.2" x14ac:dyDescent="0.25">
      <c r="A1705" s="5"/>
      <c r="B1705" s="5"/>
      <c r="C1705" s="5"/>
      <c r="D1705" s="5"/>
      <c r="E1705" s="5"/>
      <c r="F1705" s="6"/>
      <c r="G1705" s="7"/>
    </row>
    <row r="1706" spans="1:7" ht="13.2" x14ac:dyDescent="0.25">
      <c r="A1706" s="5"/>
      <c r="B1706" s="5"/>
      <c r="C1706" s="5"/>
      <c r="D1706" s="5"/>
      <c r="E1706" s="5"/>
      <c r="F1706" s="6"/>
      <c r="G1706" s="7"/>
    </row>
    <row r="1707" spans="1:7" ht="13.2" x14ac:dyDescent="0.25">
      <c r="A1707" s="5"/>
      <c r="B1707" s="5"/>
      <c r="C1707" s="5"/>
      <c r="D1707" s="5"/>
      <c r="E1707" s="5"/>
      <c r="F1707" s="6"/>
      <c r="G1707" s="7"/>
    </row>
    <row r="1708" spans="1:7" ht="13.2" x14ac:dyDescent="0.25">
      <c r="A1708" s="5"/>
      <c r="B1708" s="5"/>
      <c r="C1708" s="5"/>
      <c r="D1708" s="5"/>
      <c r="E1708" s="5"/>
      <c r="F1708" s="6"/>
      <c r="G1708" s="7"/>
    </row>
    <row r="1709" spans="1:7" ht="13.2" x14ac:dyDescent="0.25">
      <c r="A1709" s="5"/>
      <c r="B1709" s="5"/>
      <c r="C1709" s="5"/>
      <c r="D1709" s="5"/>
      <c r="E1709" s="5"/>
      <c r="F1709" s="6"/>
      <c r="G1709" s="7"/>
    </row>
    <row r="1710" spans="1:7" ht="13.2" x14ac:dyDescent="0.25">
      <c r="A1710" s="5"/>
      <c r="B1710" s="5"/>
      <c r="C1710" s="5"/>
      <c r="D1710" s="5"/>
      <c r="E1710" s="5"/>
      <c r="F1710" s="6"/>
      <c r="G1710" s="7"/>
    </row>
    <row r="1711" spans="1:7" ht="13.2" x14ac:dyDescent="0.25">
      <c r="A1711" s="5"/>
      <c r="B1711" s="5"/>
      <c r="C1711" s="5"/>
      <c r="D1711" s="5"/>
      <c r="E1711" s="5"/>
      <c r="F1711" s="6"/>
      <c r="G1711" s="7"/>
    </row>
    <row r="1712" spans="1:7" ht="13.2" x14ac:dyDescent="0.25">
      <c r="A1712" s="5"/>
      <c r="B1712" s="5"/>
      <c r="C1712" s="5"/>
      <c r="D1712" s="5"/>
      <c r="E1712" s="5"/>
      <c r="F1712" s="6"/>
      <c r="G1712" s="7"/>
    </row>
    <row r="1713" spans="1:7" ht="13.2" x14ac:dyDescent="0.25">
      <c r="A1713" s="5"/>
      <c r="B1713" s="5"/>
      <c r="C1713" s="5"/>
      <c r="D1713" s="5"/>
      <c r="E1713" s="5"/>
      <c r="F1713" s="6"/>
      <c r="G1713" s="7"/>
    </row>
    <row r="1714" spans="1:7" ht="13.2" x14ac:dyDescent="0.25">
      <c r="A1714" s="5"/>
      <c r="B1714" s="5"/>
      <c r="C1714" s="5"/>
      <c r="D1714" s="5"/>
      <c r="E1714" s="5"/>
      <c r="F1714" s="6"/>
      <c r="G1714" s="7"/>
    </row>
    <row r="1715" spans="1:7" ht="13.2" x14ac:dyDescent="0.25">
      <c r="A1715" s="5"/>
      <c r="B1715" s="5"/>
      <c r="C1715" s="5"/>
      <c r="D1715" s="5"/>
      <c r="E1715" s="5"/>
      <c r="F1715" s="6"/>
      <c r="G1715" s="7"/>
    </row>
    <row r="1716" spans="1:7" ht="13.2" x14ac:dyDescent="0.25">
      <c r="A1716" s="5"/>
      <c r="B1716" s="5"/>
      <c r="C1716" s="5"/>
      <c r="D1716" s="5"/>
      <c r="E1716" s="5"/>
      <c r="F1716" s="6"/>
      <c r="G1716" s="7"/>
    </row>
    <row r="1717" spans="1:7" ht="13.2" x14ac:dyDescent="0.25">
      <c r="A1717" s="5"/>
      <c r="B1717" s="5"/>
      <c r="C1717" s="5"/>
      <c r="D1717" s="5"/>
      <c r="E1717" s="5"/>
      <c r="F1717" s="6"/>
      <c r="G1717" s="7"/>
    </row>
    <row r="1718" spans="1:7" ht="13.2" x14ac:dyDescent="0.25">
      <c r="A1718" s="5"/>
      <c r="B1718" s="5"/>
      <c r="C1718" s="5"/>
      <c r="D1718" s="5"/>
      <c r="E1718" s="5"/>
      <c r="F1718" s="6"/>
      <c r="G1718" s="7"/>
    </row>
    <row r="1719" spans="1:7" ht="13.2" x14ac:dyDescent="0.25">
      <c r="A1719" s="5"/>
      <c r="B1719" s="5"/>
      <c r="C1719" s="5"/>
      <c r="D1719" s="5"/>
      <c r="E1719" s="5"/>
      <c r="F1719" s="6"/>
      <c r="G1719" s="7"/>
    </row>
    <row r="1720" spans="1:7" ht="13.2" x14ac:dyDescent="0.25">
      <c r="A1720" s="5"/>
      <c r="B1720" s="5"/>
      <c r="C1720" s="5"/>
      <c r="D1720" s="5"/>
      <c r="E1720" s="5"/>
      <c r="F1720" s="6"/>
      <c r="G1720" s="7"/>
    </row>
    <row r="1721" spans="1:7" ht="13.2" x14ac:dyDescent="0.25">
      <c r="A1721" s="5"/>
      <c r="B1721" s="5"/>
      <c r="C1721" s="5"/>
      <c r="D1721" s="5"/>
      <c r="E1721" s="5"/>
      <c r="F1721" s="6"/>
      <c r="G1721" s="7"/>
    </row>
    <row r="1722" spans="1:7" ht="13.2" x14ac:dyDescent="0.25">
      <c r="A1722" s="5"/>
      <c r="B1722" s="5"/>
      <c r="C1722" s="5"/>
      <c r="D1722" s="5"/>
      <c r="E1722" s="5"/>
      <c r="F1722" s="6"/>
      <c r="G1722" s="7"/>
    </row>
    <row r="1723" spans="1:7" ht="13.2" x14ac:dyDescent="0.25">
      <c r="A1723" s="5"/>
      <c r="B1723" s="5"/>
      <c r="C1723" s="5"/>
      <c r="D1723" s="5"/>
      <c r="E1723" s="5"/>
      <c r="F1723" s="6"/>
      <c r="G1723" s="7"/>
    </row>
    <row r="1724" spans="1:7" ht="13.2" x14ac:dyDescent="0.25">
      <c r="A1724" s="5"/>
      <c r="B1724" s="5"/>
      <c r="C1724" s="5"/>
      <c r="D1724" s="5"/>
      <c r="E1724" s="5"/>
      <c r="F1724" s="6"/>
      <c r="G1724" s="7"/>
    </row>
    <row r="1725" spans="1:7" ht="13.2" x14ac:dyDescent="0.25">
      <c r="A1725" s="5"/>
      <c r="B1725" s="5"/>
      <c r="C1725" s="5"/>
      <c r="D1725" s="5"/>
      <c r="E1725" s="5"/>
      <c r="F1725" s="6"/>
      <c r="G1725" s="7"/>
    </row>
    <row r="1726" spans="1:7" ht="13.2" x14ac:dyDescent="0.25">
      <c r="A1726" s="5"/>
      <c r="B1726" s="5"/>
      <c r="C1726" s="5"/>
      <c r="D1726" s="5"/>
      <c r="E1726" s="5"/>
      <c r="F1726" s="6"/>
      <c r="G1726" s="7"/>
    </row>
    <row r="1727" spans="1:7" ht="13.2" x14ac:dyDescent="0.25">
      <c r="A1727" s="5"/>
      <c r="B1727" s="5"/>
      <c r="C1727" s="5"/>
      <c r="D1727" s="5"/>
      <c r="E1727" s="5"/>
      <c r="F1727" s="6"/>
      <c r="G1727" s="7"/>
    </row>
    <row r="1728" spans="1:7" ht="13.2" x14ac:dyDescent="0.25">
      <c r="A1728" s="5"/>
      <c r="B1728" s="5"/>
      <c r="C1728" s="5"/>
      <c r="D1728" s="5"/>
      <c r="E1728" s="5"/>
      <c r="F1728" s="6"/>
      <c r="G1728" s="7"/>
    </row>
    <row r="1729" spans="1:7" ht="13.2" x14ac:dyDescent="0.25">
      <c r="A1729" s="5"/>
      <c r="B1729" s="5"/>
      <c r="C1729" s="5"/>
      <c r="D1729" s="5"/>
      <c r="E1729" s="5"/>
      <c r="F1729" s="6"/>
      <c r="G1729" s="7"/>
    </row>
    <row r="1730" spans="1:7" ht="13.2" x14ac:dyDescent="0.25">
      <c r="A1730" s="5"/>
      <c r="B1730" s="5"/>
      <c r="C1730" s="5"/>
      <c r="D1730" s="5"/>
      <c r="E1730" s="5"/>
      <c r="F1730" s="6"/>
      <c r="G1730" s="7"/>
    </row>
    <row r="1731" spans="1:7" ht="13.2" x14ac:dyDescent="0.25">
      <c r="A1731" s="5"/>
      <c r="B1731" s="5"/>
      <c r="C1731" s="5"/>
      <c r="D1731" s="5"/>
      <c r="E1731" s="5"/>
      <c r="F1731" s="6"/>
      <c r="G1731" s="7"/>
    </row>
    <row r="1732" spans="1:7" ht="13.2" x14ac:dyDescent="0.25">
      <c r="A1732" s="5"/>
      <c r="B1732" s="5"/>
      <c r="C1732" s="5"/>
      <c r="D1732" s="5"/>
      <c r="E1732" s="5"/>
      <c r="F1732" s="6"/>
      <c r="G1732" s="7"/>
    </row>
    <row r="1733" spans="1:7" ht="13.2" x14ac:dyDescent="0.25">
      <c r="A1733" s="5"/>
      <c r="B1733" s="5"/>
      <c r="C1733" s="5"/>
      <c r="D1733" s="5"/>
      <c r="E1733" s="5"/>
      <c r="F1733" s="6"/>
      <c r="G1733" s="7"/>
    </row>
    <row r="1734" spans="1:7" ht="13.2" x14ac:dyDescent="0.25">
      <c r="A1734" s="5"/>
      <c r="B1734" s="5"/>
      <c r="C1734" s="5"/>
      <c r="D1734" s="5"/>
      <c r="E1734" s="5"/>
      <c r="F1734" s="6"/>
      <c r="G1734" s="7"/>
    </row>
    <row r="1735" spans="1:7" ht="13.2" x14ac:dyDescent="0.25">
      <c r="A1735" s="5"/>
      <c r="B1735" s="5"/>
      <c r="C1735" s="5"/>
      <c r="D1735" s="5"/>
      <c r="E1735" s="5"/>
      <c r="F1735" s="6"/>
      <c r="G1735" s="7"/>
    </row>
    <row r="1736" spans="1:7" ht="13.2" x14ac:dyDescent="0.25">
      <c r="A1736" s="5"/>
      <c r="B1736" s="5"/>
      <c r="C1736" s="5"/>
      <c r="D1736" s="5"/>
      <c r="E1736" s="5"/>
      <c r="F1736" s="6"/>
      <c r="G1736" s="7"/>
    </row>
    <row r="1737" spans="1:7" ht="13.2" x14ac:dyDescent="0.25">
      <c r="A1737" s="5"/>
      <c r="B1737" s="5"/>
      <c r="C1737" s="5"/>
      <c r="D1737" s="5"/>
      <c r="E1737" s="5"/>
      <c r="F1737" s="6"/>
      <c r="G1737" s="7"/>
    </row>
    <row r="1738" spans="1:7" ht="13.2" x14ac:dyDescent="0.25">
      <c r="A1738" s="5"/>
      <c r="B1738" s="5"/>
      <c r="C1738" s="5"/>
      <c r="D1738" s="5"/>
      <c r="E1738" s="5"/>
      <c r="F1738" s="6"/>
      <c r="G1738" s="7"/>
    </row>
    <row r="1739" spans="1:7" ht="13.2" x14ac:dyDescent="0.25">
      <c r="A1739" s="5"/>
      <c r="B1739" s="5"/>
      <c r="C1739" s="5"/>
      <c r="D1739" s="5"/>
      <c r="E1739" s="5"/>
      <c r="F1739" s="6"/>
      <c r="G1739" s="7"/>
    </row>
    <row r="1740" spans="1:7" ht="13.2" x14ac:dyDescent="0.25">
      <c r="A1740" s="5"/>
      <c r="B1740" s="5"/>
      <c r="C1740" s="5"/>
      <c r="D1740" s="5"/>
      <c r="E1740" s="5"/>
      <c r="F1740" s="6"/>
      <c r="G1740" s="7"/>
    </row>
    <row r="1741" spans="1:7" ht="13.2" x14ac:dyDescent="0.25">
      <c r="A1741" s="5"/>
      <c r="B1741" s="5"/>
      <c r="C1741" s="5"/>
      <c r="D1741" s="5"/>
      <c r="E1741" s="5"/>
      <c r="F1741" s="6"/>
      <c r="G1741" s="7"/>
    </row>
    <row r="1742" spans="1:7" ht="13.2" x14ac:dyDescent="0.25">
      <c r="A1742" s="5"/>
      <c r="B1742" s="5"/>
      <c r="C1742" s="5"/>
      <c r="D1742" s="5"/>
      <c r="E1742" s="5"/>
      <c r="F1742" s="6"/>
      <c r="G1742" s="7"/>
    </row>
    <row r="1743" spans="1:7" ht="13.2" x14ac:dyDescent="0.25">
      <c r="A1743" s="5"/>
      <c r="B1743" s="5"/>
      <c r="C1743" s="5"/>
      <c r="D1743" s="5"/>
      <c r="E1743" s="5"/>
      <c r="F1743" s="6"/>
      <c r="G1743" s="7"/>
    </row>
    <row r="1744" spans="1:7" ht="13.2" x14ac:dyDescent="0.25">
      <c r="A1744" s="5"/>
      <c r="B1744" s="5"/>
      <c r="C1744" s="5"/>
      <c r="D1744" s="5"/>
      <c r="E1744" s="5"/>
      <c r="F1744" s="6"/>
      <c r="G1744" s="7"/>
    </row>
    <row r="1745" spans="1:7" ht="13.2" x14ac:dyDescent="0.25">
      <c r="A1745" s="5"/>
      <c r="B1745" s="5"/>
      <c r="C1745" s="5"/>
      <c r="D1745" s="5"/>
      <c r="E1745" s="5"/>
      <c r="F1745" s="6"/>
      <c r="G1745" s="7"/>
    </row>
    <row r="1746" spans="1:7" ht="13.2" x14ac:dyDescent="0.25">
      <c r="A1746" s="5"/>
      <c r="B1746" s="5"/>
      <c r="C1746" s="5"/>
      <c r="D1746" s="5"/>
      <c r="E1746" s="5"/>
      <c r="F1746" s="6"/>
      <c r="G1746" s="7"/>
    </row>
    <row r="1747" spans="1:7" ht="13.2" x14ac:dyDescent="0.25">
      <c r="A1747" s="5"/>
      <c r="B1747" s="5"/>
      <c r="C1747" s="5"/>
      <c r="D1747" s="5"/>
      <c r="E1747" s="5"/>
      <c r="F1747" s="6"/>
      <c r="G1747" s="7"/>
    </row>
    <row r="1748" spans="1:7" ht="13.2" x14ac:dyDescent="0.25">
      <c r="A1748" s="5"/>
      <c r="B1748" s="5"/>
      <c r="C1748" s="5"/>
      <c r="D1748" s="5"/>
      <c r="E1748" s="5"/>
      <c r="F1748" s="6"/>
      <c r="G1748" s="7"/>
    </row>
    <row r="1749" spans="1:7" ht="13.2" x14ac:dyDescent="0.25">
      <c r="A1749" s="5"/>
      <c r="B1749" s="5"/>
      <c r="C1749" s="5"/>
      <c r="D1749" s="5"/>
      <c r="E1749" s="5"/>
      <c r="F1749" s="6"/>
      <c r="G1749" s="7"/>
    </row>
    <row r="1750" spans="1:7" ht="13.2" x14ac:dyDescent="0.25">
      <c r="A1750" s="5"/>
      <c r="B1750" s="5"/>
      <c r="C1750" s="5"/>
      <c r="D1750" s="5"/>
      <c r="E1750" s="5"/>
      <c r="F1750" s="6"/>
      <c r="G1750" s="7"/>
    </row>
    <row r="1751" spans="1:7" ht="13.2" x14ac:dyDescent="0.25">
      <c r="A1751" s="5"/>
      <c r="B1751" s="5"/>
      <c r="C1751" s="5"/>
      <c r="D1751" s="5"/>
      <c r="E1751" s="5"/>
      <c r="F1751" s="6"/>
      <c r="G1751" s="7"/>
    </row>
    <row r="1752" spans="1:7" ht="13.2" x14ac:dyDescent="0.25">
      <c r="A1752" s="5"/>
      <c r="B1752" s="5"/>
      <c r="C1752" s="5"/>
      <c r="D1752" s="5"/>
      <c r="E1752" s="5"/>
      <c r="F1752" s="6"/>
      <c r="G1752" s="7"/>
    </row>
    <row r="1753" spans="1:7" ht="13.2" x14ac:dyDescent="0.25">
      <c r="A1753" s="5"/>
      <c r="B1753" s="5"/>
      <c r="C1753" s="5"/>
      <c r="D1753" s="5"/>
      <c r="E1753" s="5"/>
      <c r="F1753" s="6"/>
      <c r="G1753" s="7"/>
    </row>
    <row r="1754" spans="1:7" ht="13.2" x14ac:dyDescent="0.25">
      <c r="A1754" s="5"/>
      <c r="B1754" s="5"/>
      <c r="C1754" s="5"/>
      <c r="D1754" s="5"/>
      <c r="E1754" s="5"/>
      <c r="F1754" s="6"/>
      <c r="G1754" s="7"/>
    </row>
    <row r="1755" spans="1:7" ht="13.2" x14ac:dyDescent="0.25">
      <c r="A1755" s="5"/>
      <c r="B1755" s="5"/>
      <c r="C1755" s="5"/>
      <c r="D1755" s="5"/>
      <c r="E1755" s="5"/>
      <c r="F1755" s="6"/>
      <c r="G1755" s="7"/>
    </row>
    <row r="1756" spans="1:7" ht="13.2" x14ac:dyDescent="0.25">
      <c r="A1756" s="5"/>
      <c r="B1756" s="5"/>
      <c r="C1756" s="5"/>
      <c r="D1756" s="5"/>
      <c r="E1756" s="5"/>
      <c r="F1756" s="6"/>
      <c r="G1756" s="7"/>
    </row>
    <row r="1757" spans="1:7" ht="13.2" x14ac:dyDescent="0.25">
      <c r="A1757" s="5"/>
      <c r="B1757" s="5"/>
      <c r="C1757" s="5"/>
      <c r="D1757" s="5"/>
      <c r="E1757" s="5"/>
      <c r="F1757" s="6"/>
      <c r="G1757" s="7"/>
    </row>
    <row r="1758" spans="1:7" ht="13.2" x14ac:dyDescent="0.25">
      <c r="A1758" s="5"/>
      <c r="B1758" s="5"/>
      <c r="C1758" s="5"/>
      <c r="D1758" s="5"/>
      <c r="E1758" s="5"/>
      <c r="F1758" s="6"/>
      <c r="G1758" s="7"/>
    </row>
    <row r="1759" spans="1:7" ht="13.2" x14ac:dyDescent="0.25">
      <c r="A1759" s="5"/>
      <c r="B1759" s="5"/>
      <c r="C1759" s="5"/>
      <c r="D1759" s="5"/>
      <c r="E1759" s="5"/>
      <c r="F1759" s="6"/>
      <c r="G1759" s="7"/>
    </row>
    <row r="1760" spans="1:7" ht="13.2" x14ac:dyDescent="0.25">
      <c r="A1760" s="5"/>
      <c r="B1760" s="5"/>
      <c r="C1760" s="5"/>
      <c r="D1760" s="5"/>
      <c r="E1760" s="5"/>
      <c r="F1760" s="6"/>
      <c r="G1760" s="7"/>
    </row>
    <row r="1761" spans="1:7" ht="13.2" x14ac:dyDescent="0.25">
      <c r="A1761" s="5"/>
      <c r="B1761" s="5"/>
      <c r="C1761" s="5"/>
      <c r="D1761" s="5"/>
      <c r="E1761" s="5"/>
      <c r="F1761" s="6"/>
      <c r="G1761" s="7"/>
    </row>
    <row r="1762" spans="1:7" ht="13.2" x14ac:dyDescent="0.25">
      <c r="A1762" s="5"/>
      <c r="B1762" s="5"/>
      <c r="C1762" s="5"/>
      <c r="D1762" s="5"/>
      <c r="E1762" s="5"/>
      <c r="F1762" s="6"/>
      <c r="G1762" s="7"/>
    </row>
    <row r="1763" spans="1:7" ht="13.2" x14ac:dyDescent="0.25">
      <c r="A1763" s="5"/>
      <c r="B1763" s="5"/>
      <c r="C1763" s="5"/>
      <c r="D1763" s="5"/>
      <c r="E1763" s="5"/>
      <c r="F1763" s="6"/>
      <c r="G1763" s="7"/>
    </row>
    <row r="1764" spans="1:7" ht="13.2" x14ac:dyDescent="0.25">
      <c r="A1764" s="5"/>
      <c r="B1764" s="5"/>
      <c r="C1764" s="5"/>
      <c r="D1764" s="5"/>
      <c r="E1764" s="5"/>
      <c r="F1764" s="6"/>
      <c r="G1764" s="7"/>
    </row>
    <row r="1765" spans="1:7" ht="13.2" x14ac:dyDescent="0.25">
      <c r="A1765" s="5"/>
      <c r="B1765" s="5"/>
      <c r="C1765" s="5"/>
      <c r="D1765" s="5"/>
      <c r="E1765" s="5"/>
      <c r="F1765" s="6"/>
      <c r="G1765" s="7"/>
    </row>
    <row r="1766" spans="1:7" ht="13.2" x14ac:dyDescent="0.25">
      <c r="A1766" s="5"/>
      <c r="B1766" s="5"/>
      <c r="C1766" s="5"/>
      <c r="D1766" s="5"/>
      <c r="E1766" s="5"/>
      <c r="F1766" s="6"/>
      <c r="G1766" s="7"/>
    </row>
    <row r="1767" spans="1:7" ht="13.2" x14ac:dyDescent="0.25">
      <c r="A1767" s="5"/>
      <c r="B1767" s="5"/>
      <c r="C1767" s="5"/>
      <c r="D1767" s="5"/>
      <c r="E1767" s="5"/>
      <c r="F1767" s="6"/>
      <c r="G1767" s="7"/>
    </row>
    <row r="1768" spans="1:7" ht="13.2" x14ac:dyDescent="0.25">
      <c r="A1768" s="5"/>
      <c r="B1768" s="5"/>
      <c r="C1768" s="5"/>
      <c r="D1768" s="5"/>
      <c r="E1768" s="5"/>
      <c r="F1768" s="6"/>
      <c r="G1768" s="7"/>
    </row>
    <row r="1769" spans="1:7" ht="13.2" x14ac:dyDescent="0.25">
      <c r="A1769" s="5"/>
      <c r="B1769" s="5"/>
      <c r="C1769" s="5"/>
      <c r="D1769" s="5"/>
      <c r="E1769" s="5"/>
      <c r="F1769" s="6"/>
      <c r="G1769" s="7"/>
    </row>
    <row r="1770" spans="1:7" ht="13.2" x14ac:dyDescent="0.25">
      <c r="A1770" s="5"/>
      <c r="B1770" s="5"/>
      <c r="C1770" s="5"/>
      <c r="D1770" s="5"/>
      <c r="E1770" s="5"/>
      <c r="F1770" s="6"/>
      <c r="G1770" s="7"/>
    </row>
    <row r="1771" spans="1:7" ht="13.2" x14ac:dyDescent="0.25">
      <c r="A1771" s="5"/>
      <c r="B1771" s="5"/>
      <c r="C1771" s="5"/>
      <c r="D1771" s="5"/>
      <c r="E1771" s="5"/>
      <c r="F1771" s="6"/>
      <c r="G1771" s="7"/>
    </row>
    <row r="1772" spans="1:7" ht="13.2" x14ac:dyDescent="0.25">
      <c r="A1772" s="5"/>
      <c r="B1772" s="5"/>
      <c r="C1772" s="5"/>
      <c r="D1772" s="5"/>
      <c r="E1772" s="5"/>
      <c r="F1772" s="6"/>
      <c r="G1772" s="7"/>
    </row>
    <row r="1773" spans="1:7" ht="13.2" x14ac:dyDescent="0.25">
      <c r="A1773" s="5"/>
      <c r="B1773" s="5"/>
      <c r="C1773" s="5"/>
      <c r="D1773" s="5"/>
      <c r="E1773" s="5"/>
      <c r="F1773" s="6"/>
      <c r="G1773" s="7"/>
    </row>
    <row r="1774" spans="1:7" ht="13.2" x14ac:dyDescent="0.25">
      <c r="A1774" s="5"/>
      <c r="B1774" s="5"/>
      <c r="C1774" s="5"/>
      <c r="D1774" s="5"/>
      <c r="E1774" s="5"/>
      <c r="F1774" s="6"/>
      <c r="G1774" s="7"/>
    </row>
    <row r="1775" spans="1:7" ht="13.2" x14ac:dyDescent="0.25">
      <c r="A1775" s="5"/>
      <c r="B1775" s="5"/>
      <c r="C1775" s="5"/>
      <c r="D1775" s="5"/>
      <c r="E1775" s="5"/>
      <c r="F1775" s="6"/>
      <c r="G1775" s="7"/>
    </row>
    <row r="1776" spans="1:7" ht="13.2" x14ac:dyDescent="0.25">
      <c r="A1776" s="5"/>
      <c r="B1776" s="5"/>
      <c r="C1776" s="5"/>
      <c r="D1776" s="5"/>
      <c r="E1776" s="5"/>
      <c r="F1776" s="6"/>
      <c r="G1776" s="7"/>
    </row>
    <row r="1777" spans="1:7" ht="13.2" x14ac:dyDescent="0.25">
      <c r="A1777" s="5"/>
      <c r="B1777" s="5"/>
      <c r="C1777" s="5"/>
      <c r="D1777" s="5"/>
      <c r="E1777" s="5"/>
      <c r="F1777" s="6"/>
      <c r="G1777" s="7"/>
    </row>
    <row r="1778" spans="1:7" ht="13.2" x14ac:dyDescent="0.25">
      <c r="A1778" s="5"/>
      <c r="B1778" s="5"/>
      <c r="C1778" s="5"/>
      <c r="D1778" s="5"/>
      <c r="E1778" s="5"/>
      <c r="F1778" s="6"/>
      <c r="G1778" s="7"/>
    </row>
    <row r="1779" spans="1:7" ht="13.2" x14ac:dyDescent="0.25">
      <c r="A1779" s="5"/>
      <c r="B1779" s="5"/>
      <c r="C1779" s="5"/>
      <c r="D1779" s="5"/>
      <c r="E1779" s="5"/>
      <c r="F1779" s="6"/>
      <c r="G1779" s="7"/>
    </row>
    <row r="1780" spans="1:7" ht="13.2" x14ac:dyDescent="0.25">
      <c r="A1780" s="5"/>
      <c r="B1780" s="5"/>
      <c r="C1780" s="5"/>
      <c r="D1780" s="5"/>
      <c r="E1780" s="5"/>
      <c r="F1780" s="6"/>
      <c r="G1780" s="7"/>
    </row>
    <row r="1781" spans="1:7" ht="13.2" x14ac:dyDescent="0.25">
      <c r="A1781" s="5"/>
      <c r="B1781" s="5"/>
      <c r="C1781" s="5"/>
      <c r="D1781" s="5"/>
      <c r="E1781" s="5"/>
      <c r="F1781" s="6"/>
      <c r="G1781" s="7"/>
    </row>
    <row r="1782" spans="1:7" ht="13.2" x14ac:dyDescent="0.25">
      <c r="A1782" s="5"/>
      <c r="B1782" s="5"/>
      <c r="C1782" s="5"/>
      <c r="D1782" s="5"/>
      <c r="E1782" s="5"/>
      <c r="F1782" s="6"/>
      <c r="G1782" s="7"/>
    </row>
    <row r="1783" spans="1:7" ht="13.2" x14ac:dyDescent="0.25">
      <c r="A1783" s="5"/>
      <c r="B1783" s="5"/>
      <c r="C1783" s="5"/>
      <c r="D1783" s="5"/>
      <c r="E1783" s="5"/>
      <c r="F1783" s="6"/>
      <c r="G1783" s="7"/>
    </row>
    <row r="1784" spans="1:7" ht="13.2" x14ac:dyDescent="0.25">
      <c r="A1784" s="5"/>
      <c r="B1784" s="5"/>
      <c r="C1784" s="5"/>
      <c r="D1784" s="5"/>
      <c r="E1784" s="5"/>
      <c r="F1784" s="6"/>
      <c r="G1784" s="7"/>
    </row>
    <row r="1785" spans="1:7" ht="13.2" x14ac:dyDescent="0.25">
      <c r="A1785" s="5"/>
      <c r="B1785" s="5"/>
      <c r="C1785" s="5"/>
      <c r="D1785" s="5"/>
      <c r="E1785" s="5"/>
      <c r="F1785" s="6"/>
      <c r="G1785" s="7"/>
    </row>
    <row r="1786" spans="1:7" ht="13.2" x14ac:dyDescent="0.25">
      <c r="A1786" s="5"/>
      <c r="B1786" s="5"/>
      <c r="C1786" s="5"/>
      <c r="D1786" s="5"/>
      <c r="E1786" s="5"/>
      <c r="F1786" s="6"/>
      <c r="G1786" s="7"/>
    </row>
    <row r="1787" spans="1:7" ht="13.2" x14ac:dyDescent="0.25">
      <c r="A1787" s="5"/>
      <c r="B1787" s="5"/>
      <c r="C1787" s="5"/>
      <c r="D1787" s="5"/>
      <c r="E1787" s="5"/>
      <c r="F1787" s="6"/>
      <c r="G1787" s="7"/>
    </row>
    <row r="1788" spans="1:7" ht="13.2" x14ac:dyDescent="0.25">
      <c r="A1788" s="5"/>
      <c r="B1788" s="5"/>
      <c r="C1788" s="5"/>
      <c r="D1788" s="5"/>
      <c r="E1788" s="5"/>
      <c r="F1788" s="6"/>
      <c r="G1788" s="7"/>
    </row>
    <row r="1789" spans="1:7" ht="13.2" x14ac:dyDescent="0.25">
      <c r="A1789" s="5"/>
      <c r="B1789" s="5"/>
      <c r="C1789" s="5"/>
      <c r="D1789" s="5"/>
      <c r="E1789" s="5"/>
      <c r="F1789" s="6"/>
      <c r="G1789" s="7"/>
    </row>
    <row r="1790" spans="1:7" ht="13.2" x14ac:dyDescent="0.25">
      <c r="A1790" s="5"/>
      <c r="B1790" s="5"/>
      <c r="C1790" s="5"/>
      <c r="D1790" s="5"/>
      <c r="E1790" s="5"/>
      <c r="F1790" s="6"/>
      <c r="G1790" s="7"/>
    </row>
    <row r="1791" spans="1:7" ht="13.2" x14ac:dyDescent="0.25">
      <c r="A1791" s="5"/>
      <c r="B1791" s="5"/>
      <c r="C1791" s="5"/>
      <c r="D1791" s="5"/>
      <c r="E1791" s="5"/>
      <c r="F1791" s="6"/>
      <c r="G1791" s="7"/>
    </row>
    <row r="1792" spans="1:7" ht="13.2" x14ac:dyDescent="0.25">
      <c r="A1792" s="5"/>
      <c r="B1792" s="5"/>
      <c r="C1792" s="5"/>
      <c r="D1792" s="5"/>
      <c r="E1792" s="5"/>
      <c r="F1792" s="6"/>
      <c r="G1792" s="7"/>
    </row>
    <row r="1793" spans="1:7" ht="13.2" x14ac:dyDescent="0.25">
      <c r="A1793" s="5"/>
      <c r="B1793" s="5"/>
      <c r="C1793" s="5"/>
      <c r="D1793" s="5"/>
      <c r="E1793" s="5"/>
      <c r="F1793" s="6"/>
      <c r="G1793" s="7"/>
    </row>
    <row r="1794" spans="1:7" ht="13.2" x14ac:dyDescent="0.25">
      <c r="A1794" s="5"/>
      <c r="B1794" s="5"/>
      <c r="C1794" s="5"/>
      <c r="D1794" s="5"/>
      <c r="E1794" s="5"/>
      <c r="F1794" s="6"/>
      <c r="G1794" s="7"/>
    </row>
    <row r="1795" spans="1:7" ht="13.2" x14ac:dyDescent="0.25">
      <c r="A1795" s="5"/>
      <c r="B1795" s="5"/>
      <c r="C1795" s="5"/>
      <c r="D1795" s="5"/>
      <c r="E1795" s="5"/>
      <c r="F1795" s="6"/>
      <c r="G1795" s="7"/>
    </row>
    <row r="1796" spans="1:7" ht="13.2" x14ac:dyDescent="0.25">
      <c r="A1796" s="5"/>
      <c r="B1796" s="5"/>
      <c r="C1796" s="5"/>
      <c r="D1796" s="5"/>
      <c r="E1796" s="5"/>
      <c r="F1796" s="6"/>
      <c r="G1796" s="7"/>
    </row>
    <row r="1797" spans="1:7" ht="13.2" x14ac:dyDescent="0.25">
      <c r="A1797" s="5"/>
      <c r="B1797" s="5"/>
      <c r="C1797" s="5"/>
      <c r="D1797" s="5"/>
      <c r="E1797" s="5"/>
      <c r="F1797" s="6"/>
      <c r="G1797" s="7"/>
    </row>
    <row r="1798" spans="1:7" ht="13.2" x14ac:dyDescent="0.25">
      <c r="A1798" s="5"/>
      <c r="B1798" s="5"/>
      <c r="C1798" s="5"/>
      <c r="D1798" s="5"/>
      <c r="E1798" s="5"/>
      <c r="F1798" s="6"/>
      <c r="G1798" s="7"/>
    </row>
    <row r="1799" spans="1:7" ht="13.2" x14ac:dyDescent="0.25">
      <c r="A1799" s="5"/>
      <c r="B1799" s="5"/>
      <c r="C1799" s="5"/>
      <c r="D1799" s="5"/>
      <c r="E1799" s="5"/>
      <c r="F1799" s="6"/>
      <c r="G1799" s="7"/>
    </row>
    <row r="1800" spans="1:7" ht="13.2" x14ac:dyDescent="0.25">
      <c r="A1800" s="5"/>
      <c r="B1800" s="5"/>
      <c r="C1800" s="5"/>
      <c r="D1800" s="5"/>
      <c r="E1800" s="5"/>
      <c r="F1800" s="6"/>
      <c r="G1800" s="7"/>
    </row>
    <row r="1801" spans="1:7" ht="13.2" x14ac:dyDescent="0.25">
      <c r="A1801" s="5"/>
      <c r="B1801" s="5"/>
      <c r="C1801" s="5"/>
      <c r="D1801" s="5"/>
      <c r="E1801" s="5"/>
      <c r="F1801" s="6"/>
      <c r="G1801" s="7"/>
    </row>
    <row r="1802" spans="1:7" ht="13.2" x14ac:dyDescent="0.25">
      <c r="A1802" s="5"/>
      <c r="B1802" s="5"/>
      <c r="C1802" s="5"/>
      <c r="D1802" s="5"/>
      <c r="E1802" s="5"/>
      <c r="F1802" s="6"/>
      <c r="G1802" s="7"/>
    </row>
    <row r="1803" spans="1:7" ht="13.2" x14ac:dyDescent="0.25">
      <c r="A1803" s="5"/>
      <c r="B1803" s="5"/>
      <c r="C1803" s="5"/>
      <c r="D1803" s="5"/>
      <c r="E1803" s="5"/>
      <c r="F1803" s="6"/>
      <c r="G1803" s="7"/>
    </row>
    <row r="1804" spans="1:7" ht="13.2" x14ac:dyDescent="0.25">
      <c r="A1804" s="5"/>
      <c r="B1804" s="5"/>
      <c r="C1804" s="5"/>
      <c r="D1804" s="5"/>
      <c r="E1804" s="5"/>
      <c r="F1804" s="6"/>
      <c r="G1804" s="7"/>
    </row>
    <row r="1805" spans="1:7" ht="13.2" x14ac:dyDescent="0.25">
      <c r="A1805" s="5"/>
      <c r="B1805" s="5"/>
      <c r="C1805" s="5"/>
      <c r="D1805" s="5"/>
      <c r="E1805" s="5"/>
      <c r="F1805" s="6"/>
      <c r="G1805" s="7"/>
    </row>
    <row r="1806" spans="1:7" ht="13.2" x14ac:dyDescent="0.25">
      <c r="A1806" s="5"/>
      <c r="B1806" s="5"/>
      <c r="C1806" s="5"/>
      <c r="D1806" s="5"/>
      <c r="E1806" s="5"/>
      <c r="F1806" s="6"/>
      <c r="G1806" s="7"/>
    </row>
    <row r="1807" spans="1:7" ht="13.2" x14ac:dyDescent="0.25">
      <c r="A1807" s="5"/>
      <c r="B1807" s="5"/>
      <c r="C1807" s="5"/>
      <c r="D1807" s="5"/>
      <c r="E1807" s="5"/>
      <c r="F1807" s="6"/>
      <c r="G1807" s="7"/>
    </row>
    <row r="1808" spans="1:7" ht="13.2" x14ac:dyDescent="0.25">
      <c r="A1808" s="5"/>
      <c r="B1808" s="5"/>
      <c r="C1808" s="5"/>
      <c r="D1808" s="5"/>
      <c r="E1808" s="5"/>
      <c r="F1808" s="6"/>
      <c r="G1808" s="7"/>
    </row>
    <row r="1809" spans="1:7" ht="13.2" x14ac:dyDescent="0.25">
      <c r="A1809" s="5"/>
      <c r="B1809" s="5"/>
      <c r="C1809" s="5"/>
      <c r="D1809" s="5"/>
      <c r="E1809" s="5"/>
      <c r="F1809" s="6"/>
      <c r="G1809" s="7"/>
    </row>
    <row r="1810" spans="1:7" ht="13.2" x14ac:dyDescent="0.25">
      <c r="A1810" s="5"/>
      <c r="B1810" s="5"/>
      <c r="C1810" s="5"/>
      <c r="D1810" s="5"/>
      <c r="E1810" s="5"/>
      <c r="F1810" s="6"/>
      <c r="G1810" s="7"/>
    </row>
    <row r="1811" spans="1:7" ht="13.2" x14ac:dyDescent="0.25">
      <c r="A1811" s="5"/>
      <c r="B1811" s="5"/>
      <c r="C1811" s="5"/>
      <c r="D1811" s="5"/>
      <c r="E1811" s="5"/>
      <c r="F1811" s="6"/>
      <c r="G1811" s="7"/>
    </row>
    <row r="1812" spans="1:7" ht="13.2" x14ac:dyDescent="0.25">
      <c r="A1812" s="5"/>
      <c r="B1812" s="5"/>
      <c r="C1812" s="5"/>
      <c r="D1812" s="5"/>
      <c r="E1812" s="5"/>
      <c r="F1812" s="6"/>
      <c r="G1812" s="7"/>
    </row>
    <row r="1813" spans="1:7" ht="13.2" x14ac:dyDescent="0.25">
      <c r="A1813" s="5"/>
      <c r="B1813" s="5"/>
      <c r="C1813" s="5"/>
      <c r="D1813" s="5"/>
      <c r="E1813" s="5"/>
      <c r="F1813" s="6"/>
      <c r="G1813" s="7"/>
    </row>
    <row r="1814" spans="1:7" ht="13.2" x14ac:dyDescent="0.25">
      <c r="A1814" s="5"/>
      <c r="B1814" s="5"/>
      <c r="C1814" s="5"/>
      <c r="D1814" s="5"/>
      <c r="E1814" s="5"/>
      <c r="F1814" s="6"/>
      <c r="G1814" s="7"/>
    </row>
    <row r="1815" spans="1:7" ht="13.2" x14ac:dyDescent="0.25">
      <c r="A1815" s="5"/>
      <c r="B1815" s="5"/>
      <c r="C1815" s="5"/>
      <c r="D1815" s="5"/>
      <c r="E1815" s="5"/>
      <c r="F1815" s="6"/>
      <c r="G1815" s="7"/>
    </row>
    <row r="1816" spans="1:7" ht="13.2" x14ac:dyDescent="0.25">
      <c r="A1816" s="5"/>
      <c r="B1816" s="5"/>
      <c r="C1816" s="5"/>
      <c r="D1816" s="5"/>
      <c r="E1816" s="5"/>
      <c r="F1816" s="6"/>
      <c r="G1816" s="7"/>
    </row>
    <row r="1817" spans="1:7" ht="13.2" x14ac:dyDescent="0.25">
      <c r="A1817" s="5"/>
      <c r="B1817" s="5"/>
      <c r="C1817" s="5"/>
      <c r="D1817" s="5"/>
      <c r="E1817" s="5"/>
      <c r="F1817" s="6"/>
      <c r="G1817" s="7"/>
    </row>
    <row r="1818" spans="1:7" ht="13.2" x14ac:dyDescent="0.25">
      <c r="A1818" s="5"/>
      <c r="B1818" s="5"/>
      <c r="C1818" s="5"/>
      <c r="D1818" s="5"/>
      <c r="E1818" s="5"/>
      <c r="F1818" s="6"/>
      <c r="G1818" s="7"/>
    </row>
    <row r="1819" spans="1:7" ht="13.2" x14ac:dyDescent="0.25">
      <c r="A1819" s="5"/>
      <c r="B1819" s="5"/>
      <c r="C1819" s="5"/>
      <c r="D1819" s="5"/>
      <c r="E1819" s="5"/>
      <c r="F1819" s="6"/>
      <c r="G1819" s="7"/>
    </row>
    <row r="1820" spans="1:7" ht="13.2" x14ac:dyDescent="0.25">
      <c r="A1820" s="5"/>
      <c r="B1820" s="5"/>
      <c r="C1820" s="5"/>
      <c r="D1820" s="5"/>
      <c r="E1820" s="5"/>
      <c r="F1820" s="6"/>
      <c r="G1820" s="7"/>
    </row>
    <row r="1821" spans="1:7" ht="13.2" x14ac:dyDescent="0.25">
      <c r="A1821" s="5"/>
      <c r="B1821" s="5"/>
      <c r="C1821" s="5"/>
      <c r="D1821" s="5"/>
      <c r="E1821" s="5"/>
      <c r="F1821" s="6"/>
      <c r="G1821" s="7"/>
    </row>
    <row r="1822" spans="1:7" ht="13.2" x14ac:dyDescent="0.25">
      <c r="A1822" s="5"/>
      <c r="B1822" s="5"/>
      <c r="C1822" s="5"/>
      <c r="D1822" s="5"/>
      <c r="E1822" s="5"/>
      <c r="F1822" s="6"/>
      <c r="G1822" s="7"/>
    </row>
    <row r="1823" spans="1:7" ht="13.2" x14ac:dyDescent="0.25">
      <c r="A1823" s="5"/>
      <c r="B1823" s="5"/>
      <c r="C1823" s="5"/>
      <c r="D1823" s="5"/>
      <c r="E1823" s="5"/>
      <c r="F1823" s="6"/>
      <c r="G1823" s="7"/>
    </row>
    <row r="1824" spans="1:7" ht="13.2" x14ac:dyDescent="0.25">
      <c r="A1824" s="5"/>
      <c r="B1824" s="5"/>
      <c r="C1824" s="5"/>
      <c r="D1824" s="5"/>
      <c r="E1824" s="5"/>
      <c r="F1824" s="6"/>
      <c r="G1824" s="7"/>
    </row>
    <row r="1825" spans="1:7" ht="13.2" x14ac:dyDescent="0.25">
      <c r="A1825" s="5"/>
      <c r="B1825" s="5"/>
      <c r="C1825" s="5"/>
      <c r="D1825" s="5"/>
      <c r="E1825" s="5"/>
      <c r="F1825" s="6"/>
      <c r="G1825" s="7"/>
    </row>
    <row r="1826" spans="1:7" ht="13.2" x14ac:dyDescent="0.25">
      <c r="A1826" s="5"/>
      <c r="B1826" s="5"/>
      <c r="C1826" s="5"/>
      <c r="D1826" s="5"/>
      <c r="E1826" s="5"/>
      <c r="F1826" s="6"/>
      <c r="G1826" s="7"/>
    </row>
    <row r="1827" spans="1:7" ht="13.2" x14ac:dyDescent="0.25">
      <c r="A1827" s="5"/>
      <c r="B1827" s="5"/>
      <c r="C1827" s="5"/>
      <c r="D1827" s="5"/>
      <c r="E1827" s="5"/>
      <c r="F1827" s="6"/>
      <c r="G1827" s="7"/>
    </row>
    <row r="1828" spans="1:7" ht="13.2" x14ac:dyDescent="0.25">
      <c r="A1828" s="5"/>
      <c r="B1828" s="5"/>
      <c r="C1828" s="5"/>
      <c r="D1828" s="5"/>
      <c r="E1828" s="5"/>
      <c r="F1828" s="6"/>
      <c r="G1828" s="7"/>
    </row>
    <row r="1829" spans="1:7" ht="13.2" x14ac:dyDescent="0.25">
      <c r="A1829" s="5"/>
      <c r="B1829" s="5"/>
      <c r="C1829" s="5"/>
      <c r="D1829" s="5"/>
      <c r="E1829" s="5"/>
      <c r="F1829" s="6"/>
      <c r="G1829" s="7"/>
    </row>
    <row r="1830" spans="1:7" ht="13.2" x14ac:dyDescent="0.25">
      <c r="A1830" s="5"/>
      <c r="B1830" s="5"/>
      <c r="C1830" s="5"/>
      <c r="D1830" s="5"/>
      <c r="E1830" s="5"/>
      <c r="F1830" s="6"/>
      <c r="G1830" s="7"/>
    </row>
    <row r="1831" spans="1:7" ht="13.2" x14ac:dyDescent="0.25">
      <c r="A1831" s="5"/>
      <c r="B1831" s="5"/>
      <c r="C1831" s="5"/>
      <c r="D1831" s="5"/>
      <c r="E1831" s="5"/>
      <c r="F1831" s="6"/>
      <c r="G1831" s="7"/>
    </row>
    <row r="1832" spans="1:7" ht="13.2" x14ac:dyDescent="0.25">
      <c r="A1832" s="5"/>
      <c r="B1832" s="5"/>
      <c r="C1832" s="5"/>
      <c r="D1832" s="5"/>
      <c r="E1832" s="5"/>
      <c r="F1832" s="6"/>
      <c r="G1832" s="7"/>
    </row>
    <row r="1833" spans="1:7" ht="13.2" x14ac:dyDescent="0.25">
      <c r="A1833" s="5"/>
      <c r="B1833" s="5"/>
      <c r="C1833" s="5"/>
      <c r="D1833" s="5"/>
      <c r="E1833" s="5"/>
      <c r="F1833" s="6"/>
      <c r="G1833" s="7"/>
    </row>
    <row r="1834" spans="1:7" ht="13.2" x14ac:dyDescent="0.25">
      <c r="A1834" s="5"/>
      <c r="B1834" s="5"/>
      <c r="C1834" s="5"/>
      <c r="D1834" s="5"/>
      <c r="E1834" s="5"/>
      <c r="F1834" s="6"/>
      <c r="G1834" s="7"/>
    </row>
    <row r="1835" spans="1:7" ht="13.2" x14ac:dyDescent="0.25">
      <c r="A1835" s="5"/>
      <c r="B1835" s="5"/>
      <c r="C1835" s="5"/>
      <c r="D1835" s="5"/>
      <c r="E1835" s="5"/>
      <c r="F1835" s="6"/>
      <c r="G1835" s="7"/>
    </row>
    <row r="1836" spans="1:7" ht="13.2" x14ac:dyDescent="0.25">
      <c r="A1836" s="5"/>
      <c r="B1836" s="5"/>
      <c r="C1836" s="5"/>
      <c r="D1836" s="5"/>
      <c r="E1836" s="5"/>
      <c r="F1836" s="6"/>
      <c r="G1836" s="7"/>
    </row>
    <row r="1837" spans="1:7" ht="13.2" x14ac:dyDescent="0.25">
      <c r="A1837" s="5"/>
      <c r="B1837" s="5"/>
      <c r="C1837" s="5"/>
      <c r="D1837" s="5"/>
      <c r="E1837" s="5"/>
      <c r="F1837" s="6"/>
      <c r="G1837" s="7"/>
    </row>
    <row r="1838" spans="1:7" ht="13.2" x14ac:dyDescent="0.25">
      <c r="A1838" s="5"/>
      <c r="B1838" s="5"/>
      <c r="C1838" s="5"/>
      <c r="D1838" s="5"/>
      <c r="E1838" s="5"/>
      <c r="F1838" s="6"/>
      <c r="G1838" s="7"/>
    </row>
    <row r="1839" spans="1:7" ht="13.2" x14ac:dyDescent="0.25">
      <c r="A1839" s="5"/>
      <c r="B1839" s="5"/>
      <c r="C1839" s="5"/>
      <c r="D1839" s="5"/>
      <c r="E1839" s="5"/>
      <c r="F1839" s="6"/>
      <c r="G1839" s="7"/>
    </row>
    <row r="1840" spans="1:7" ht="13.2" x14ac:dyDescent="0.25">
      <c r="A1840" s="5"/>
      <c r="B1840" s="5"/>
      <c r="C1840" s="5"/>
      <c r="D1840" s="5"/>
      <c r="E1840" s="5"/>
      <c r="F1840" s="6"/>
      <c r="G1840" s="7"/>
    </row>
    <row r="1841" spans="1:7" ht="13.2" x14ac:dyDescent="0.25">
      <c r="A1841" s="5"/>
      <c r="B1841" s="5"/>
      <c r="C1841" s="5"/>
      <c r="D1841" s="5"/>
      <c r="E1841" s="5"/>
      <c r="F1841" s="6"/>
      <c r="G1841" s="7"/>
    </row>
    <row r="1842" spans="1:7" ht="13.2" x14ac:dyDescent="0.25">
      <c r="A1842" s="5"/>
      <c r="B1842" s="5"/>
      <c r="C1842" s="5"/>
      <c r="D1842" s="5"/>
      <c r="E1842" s="5"/>
      <c r="F1842" s="6"/>
      <c r="G1842" s="7"/>
    </row>
    <row r="1843" spans="1:7" ht="13.2" x14ac:dyDescent="0.25">
      <c r="A1843" s="5"/>
      <c r="B1843" s="5"/>
      <c r="C1843" s="5"/>
      <c r="D1843" s="5"/>
      <c r="E1843" s="5"/>
      <c r="F1843" s="6"/>
      <c r="G1843" s="7"/>
    </row>
    <row r="1844" spans="1:7" ht="13.2" x14ac:dyDescent="0.25">
      <c r="A1844" s="5"/>
      <c r="B1844" s="5"/>
      <c r="C1844" s="5"/>
      <c r="D1844" s="5"/>
      <c r="E1844" s="5"/>
      <c r="F1844" s="6"/>
      <c r="G1844" s="7"/>
    </row>
    <row r="1845" spans="1:7" ht="13.2" x14ac:dyDescent="0.25">
      <c r="A1845" s="5"/>
      <c r="B1845" s="5"/>
      <c r="C1845" s="5"/>
      <c r="D1845" s="5"/>
      <c r="E1845" s="5"/>
      <c r="F1845" s="6"/>
      <c r="G1845" s="7"/>
    </row>
    <row r="1846" spans="1:7" ht="13.2" x14ac:dyDescent="0.25">
      <c r="A1846" s="5"/>
      <c r="B1846" s="5"/>
      <c r="C1846" s="5"/>
      <c r="D1846" s="5"/>
      <c r="E1846" s="5"/>
      <c r="F1846" s="6"/>
      <c r="G1846" s="7"/>
    </row>
    <row r="1847" spans="1:7" ht="13.2" x14ac:dyDescent="0.25">
      <c r="A1847" s="5"/>
      <c r="B1847" s="5"/>
      <c r="C1847" s="5"/>
      <c r="D1847" s="5"/>
      <c r="E1847" s="5"/>
      <c r="F1847" s="6"/>
      <c r="G1847" s="7"/>
    </row>
    <row r="1848" spans="1:7" ht="13.2" x14ac:dyDescent="0.25">
      <c r="A1848" s="5"/>
      <c r="B1848" s="5"/>
      <c r="C1848" s="5"/>
      <c r="D1848" s="5"/>
      <c r="E1848" s="5"/>
      <c r="F1848" s="6"/>
      <c r="G1848" s="7"/>
    </row>
    <row r="1849" spans="1:7" ht="13.2" x14ac:dyDescent="0.25">
      <c r="A1849" s="5"/>
      <c r="B1849" s="5"/>
      <c r="C1849" s="5"/>
      <c r="D1849" s="5"/>
      <c r="E1849" s="5"/>
      <c r="F1849" s="6"/>
      <c r="G1849" s="7"/>
    </row>
    <row r="1850" spans="1:7" ht="13.2" x14ac:dyDescent="0.25">
      <c r="A1850" s="5"/>
      <c r="B1850" s="5"/>
      <c r="C1850" s="5"/>
      <c r="D1850" s="5"/>
      <c r="E1850" s="5"/>
      <c r="F1850" s="6"/>
      <c r="G1850" s="7"/>
    </row>
    <row r="1851" spans="1:7" ht="13.2" x14ac:dyDescent="0.25">
      <c r="A1851" s="5"/>
      <c r="B1851" s="5"/>
      <c r="C1851" s="5"/>
      <c r="D1851" s="5"/>
      <c r="E1851" s="5"/>
      <c r="F1851" s="6"/>
      <c r="G1851" s="7"/>
    </row>
    <row r="1852" spans="1:7" ht="13.2" x14ac:dyDescent="0.25">
      <c r="A1852" s="5"/>
      <c r="B1852" s="5"/>
      <c r="C1852" s="5"/>
      <c r="D1852" s="5"/>
      <c r="E1852" s="5"/>
      <c r="F1852" s="6"/>
      <c r="G1852" s="7"/>
    </row>
    <row r="1853" spans="1:7" ht="13.2" x14ac:dyDescent="0.25">
      <c r="A1853" s="5"/>
      <c r="B1853" s="5"/>
      <c r="C1853" s="5"/>
      <c r="D1853" s="5"/>
      <c r="E1853" s="5"/>
      <c r="F1853" s="6"/>
      <c r="G1853" s="7"/>
    </row>
    <row r="1854" spans="1:7" ht="13.2" x14ac:dyDescent="0.25">
      <c r="A1854" s="5"/>
      <c r="B1854" s="5"/>
      <c r="C1854" s="5"/>
      <c r="D1854" s="5"/>
      <c r="E1854" s="5"/>
      <c r="F1854" s="6"/>
      <c r="G1854" s="7"/>
    </row>
    <row r="1855" spans="1:7" ht="13.2" x14ac:dyDescent="0.25">
      <c r="A1855" s="5"/>
      <c r="B1855" s="5"/>
      <c r="C1855" s="5"/>
      <c r="D1855" s="5"/>
      <c r="E1855" s="5"/>
      <c r="F1855" s="6"/>
      <c r="G1855" s="7"/>
    </row>
    <row r="1856" spans="1:7" ht="13.2" x14ac:dyDescent="0.25">
      <c r="A1856" s="5"/>
      <c r="B1856" s="5"/>
      <c r="C1856" s="5"/>
      <c r="D1856" s="5"/>
      <c r="E1856" s="5"/>
      <c r="F1856" s="6"/>
      <c r="G1856" s="7"/>
    </row>
    <row r="1857" spans="1:7" ht="13.2" x14ac:dyDescent="0.25">
      <c r="A1857" s="5"/>
      <c r="B1857" s="5"/>
      <c r="C1857" s="5"/>
      <c r="D1857" s="5"/>
      <c r="E1857" s="5"/>
      <c r="F1857" s="6"/>
      <c r="G1857" s="7"/>
    </row>
    <row r="1858" spans="1:7" ht="13.2" x14ac:dyDescent="0.25">
      <c r="A1858" s="5"/>
      <c r="B1858" s="5"/>
      <c r="C1858" s="5"/>
      <c r="D1858" s="5"/>
      <c r="E1858" s="5"/>
      <c r="F1858" s="6"/>
      <c r="G1858" s="7"/>
    </row>
    <row r="1859" spans="1:7" ht="13.2" x14ac:dyDescent="0.25">
      <c r="A1859" s="5"/>
      <c r="B1859" s="5"/>
      <c r="C1859" s="5"/>
      <c r="D1859" s="5"/>
      <c r="E1859" s="5"/>
      <c r="F1859" s="6"/>
      <c r="G1859" s="7"/>
    </row>
    <row r="1860" spans="1:7" ht="13.2" x14ac:dyDescent="0.25">
      <c r="A1860" s="5"/>
      <c r="B1860" s="5"/>
      <c r="C1860" s="5"/>
      <c r="D1860" s="5"/>
      <c r="E1860" s="5"/>
      <c r="F1860" s="6"/>
      <c r="G1860" s="7"/>
    </row>
    <row r="1861" spans="1:7" ht="13.2" x14ac:dyDescent="0.25">
      <c r="A1861" s="5"/>
      <c r="B1861" s="5"/>
      <c r="C1861" s="5"/>
      <c r="D1861" s="5"/>
      <c r="E1861" s="5"/>
      <c r="F1861" s="6"/>
      <c r="G1861" s="7"/>
    </row>
    <row r="1862" spans="1:7" ht="13.2" x14ac:dyDescent="0.25">
      <c r="A1862" s="5"/>
      <c r="B1862" s="5"/>
      <c r="C1862" s="5"/>
      <c r="D1862" s="5"/>
      <c r="E1862" s="5"/>
      <c r="F1862" s="6"/>
      <c r="G1862" s="7"/>
    </row>
    <row r="1863" spans="1:7" ht="13.2" x14ac:dyDescent="0.25">
      <c r="A1863" s="5"/>
      <c r="B1863" s="5"/>
      <c r="C1863" s="5"/>
      <c r="D1863" s="5"/>
      <c r="E1863" s="5"/>
      <c r="F1863" s="6"/>
      <c r="G1863" s="7"/>
    </row>
    <row r="1864" spans="1:7" ht="13.2" x14ac:dyDescent="0.25">
      <c r="A1864" s="5"/>
      <c r="B1864" s="5"/>
      <c r="C1864" s="5"/>
      <c r="D1864" s="5"/>
      <c r="E1864" s="5"/>
      <c r="F1864" s="6"/>
      <c r="G1864" s="7"/>
    </row>
    <row r="1865" spans="1:7" ht="13.2" x14ac:dyDescent="0.25">
      <c r="A1865" s="5"/>
      <c r="B1865" s="5"/>
      <c r="C1865" s="5"/>
      <c r="D1865" s="5"/>
      <c r="E1865" s="5"/>
      <c r="F1865" s="6"/>
      <c r="G1865" s="7"/>
    </row>
    <row r="1866" spans="1:7" ht="13.2" x14ac:dyDescent="0.25">
      <c r="A1866" s="5"/>
      <c r="B1866" s="5"/>
      <c r="C1866" s="5"/>
      <c r="D1866" s="5"/>
      <c r="E1866" s="5"/>
      <c r="F1866" s="6"/>
      <c r="G1866" s="7"/>
    </row>
    <row r="1867" spans="1:7" ht="13.2" x14ac:dyDescent="0.25">
      <c r="A1867" s="5"/>
      <c r="B1867" s="5"/>
      <c r="C1867" s="5"/>
      <c r="D1867" s="5"/>
      <c r="E1867" s="5"/>
      <c r="F1867" s="6"/>
      <c r="G1867" s="7"/>
    </row>
    <row r="1868" spans="1:7" ht="13.2" x14ac:dyDescent="0.25">
      <c r="A1868" s="5"/>
      <c r="B1868" s="5"/>
      <c r="C1868" s="5"/>
      <c r="D1868" s="5"/>
      <c r="E1868" s="5"/>
      <c r="F1868" s="6"/>
      <c r="G1868" s="7"/>
    </row>
    <row r="1869" spans="1:7" ht="13.2" x14ac:dyDescent="0.25">
      <c r="A1869" s="5"/>
      <c r="B1869" s="5"/>
      <c r="C1869" s="5"/>
      <c r="D1869" s="5"/>
      <c r="E1869" s="5"/>
      <c r="F1869" s="6"/>
      <c r="G1869" s="7"/>
    </row>
    <row r="1870" spans="1:7" ht="13.2" x14ac:dyDescent="0.25">
      <c r="A1870" s="5"/>
      <c r="B1870" s="5"/>
      <c r="C1870" s="5"/>
      <c r="D1870" s="5"/>
      <c r="E1870" s="5"/>
      <c r="F1870" s="6"/>
      <c r="G1870" s="7"/>
    </row>
    <row r="1871" spans="1:7" ht="13.2" x14ac:dyDescent="0.25">
      <c r="A1871" s="5"/>
      <c r="B1871" s="5"/>
      <c r="C1871" s="5"/>
      <c r="D1871" s="5"/>
      <c r="E1871" s="5"/>
      <c r="F1871" s="6"/>
      <c r="G1871" s="7"/>
    </row>
    <row r="1872" spans="1:7" ht="13.2" x14ac:dyDescent="0.25">
      <c r="A1872" s="5"/>
      <c r="B1872" s="5"/>
      <c r="C1872" s="5"/>
      <c r="D1872" s="5"/>
      <c r="E1872" s="5"/>
      <c r="F1872" s="6"/>
      <c r="G1872" s="7"/>
    </row>
    <row r="1873" spans="1:7" ht="13.2" x14ac:dyDescent="0.25">
      <c r="A1873" s="5"/>
      <c r="B1873" s="5"/>
      <c r="C1873" s="5"/>
      <c r="D1873" s="5"/>
      <c r="E1873" s="5"/>
      <c r="F1873" s="6"/>
      <c r="G1873" s="7"/>
    </row>
    <row r="1874" spans="1:7" ht="13.2" x14ac:dyDescent="0.25">
      <c r="A1874" s="5"/>
      <c r="B1874" s="5"/>
      <c r="C1874" s="5"/>
      <c r="D1874" s="5"/>
      <c r="E1874" s="5"/>
      <c r="F1874" s="6"/>
      <c r="G1874" s="7"/>
    </row>
    <row r="1875" spans="1:7" ht="13.2" x14ac:dyDescent="0.25">
      <c r="A1875" s="5"/>
      <c r="B1875" s="5"/>
      <c r="C1875" s="5"/>
      <c r="D1875" s="5"/>
      <c r="E1875" s="5"/>
      <c r="F1875" s="6"/>
      <c r="G1875" s="7"/>
    </row>
    <row r="1876" spans="1:7" ht="13.2" x14ac:dyDescent="0.25">
      <c r="A1876" s="5"/>
      <c r="B1876" s="5"/>
      <c r="C1876" s="5"/>
      <c r="D1876" s="5"/>
      <c r="E1876" s="5"/>
      <c r="F1876" s="6"/>
      <c r="G1876" s="7"/>
    </row>
    <row r="1877" spans="1:7" ht="13.2" x14ac:dyDescent="0.25">
      <c r="A1877" s="5"/>
      <c r="B1877" s="5"/>
      <c r="C1877" s="5"/>
      <c r="D1877" s="5"/>
      <c r="E1877" s="5"/>
      <c r="F1877" s="6"/>
      <c r="G1877" s="7"/>
    </row>
    <row r="1878" spans="1:7" ht="13.2" x14ac:dyDescent="0.25">
      <c r="A1878" s="5"/>
      <c r="B1878" s="5"/>
      <c r="C1878" s="5"/>
      <c r="D1878" s="5"/>
      <c r="E1878" s="5"/>
      <c r="F1878" s="6"/>
      <c r="G1878" s="7"/>
    </row>
    <row r="1879" spans="1:7" ht="13.2" x14ac:dyDescent="0.25">
      <c r="A1879" s="5"/>
      <c r="B1879" s="5"/>
      <c r="C1879" s="5"/>
      <c r="D1879" s="5"/>
      <c r="E1879" s="5"/>
      <c r="F1879" s="6"/>
      <c r="G1879" s="7"/>
    </row>
    <row r="1880" spans="1:7" ht="13.2" x14ac:dyDescent="0.25">
      <c r="A1880" s="5"/>
      <c r="B1880" s="5"/>
      <c r="C1880" s="5"/>
      <c r="D1880" s="5"/>
      <c r="E1880" s="5"/>
      <c r="F1880" s="6"/>
      <c r="G1880" s="7"/>
    </row>
    <row r="1881" spans="1:7" ht="13.2" x14ac:dyDescent="0.25">
      <c r="A1881" s="5"/>
      <c r="B1881" s="5"/>
      <c r="C1881" s="5"/>
      <c r="D1881" s="5"/>
      <c r="E1881" s="5"/>
      <c r="F1881" s="6"/>
      <c r="G1881" s="7"/>
    </row>
    <row r="1882" spans="1:7" ht="13.2" x14ac:dyDescent="0.25">
      <c r="A1882" s="5"/>
      <c r="B1882" s="5"/>
      <c r="C1882" s="5"/>
      <c r="D1882" s="5"/>
      <c r="E1882" s="5"/>
      <c r="F1882" s="6"/>
      <c r="G1882" s="7"/>
    </row>
    <row r="1883" spans="1:7" ht="13.2" x14ac:dyDescent="0.25">
      <c r="A1883" s="5"/>
      <c r="B1883" s="5"/>
      <c r="C1883" s="5"/>
      <c r="D1883" s="5"/>
      <c r="E1883" s="5"/>
      <c r="F1883" s="6"/>
      <c r="G1883" s="7"/>
    </row>
    <row r="1884" spans="1:7" ht="13.2" x14ac:dyDescent="0.25">
      <c r="A1884" s="5"/>
      <c r="B1884" s="5"/>
      <c r="C1884" s="5"/>
      <c r="D1884" s="5"/>
      <c r="E1884" s="5"/>
      <c r="F1884" s="6"/>
      <c r="G1884" s="7"/>
    </row>
    <row r="1885" spans="1:7" ht="13.2" x14ac:dyDescent="0.25">
      <c r="A1885" s="5"/>
      <c r="B1885" s="5"/>
      <c r="C1885" s="5"/>
      <c r="D1885" s="5"/>
      <c r="E1885" s="5"/>
      <c r="F1885" s="6"/>
      <c r="G1885" s="7"/>
    </row>
    <row r="1886" spans="1:7" ht="13.2" x14ac:dyDescent="0.25">
      <c r="A1886" s="5"/>
      <c r="B1886" s="5"/>
      <c r="C1886" s="5"/>
      <c r="D1886" s="5"/>
      <c r="E1886" s="5"/>
      <c r="F1886" s="6"/>
      <c r="G1886" s="7"/>
    </row>
    <row r="1887" spans="1:7" ht="13.2" x14ac:dyDescent="0.25">
      <c r="A1887" s="5"/>
      <c r="B1887" s="5"/>
      <c r="C1887" s="5"/>
      <c r="D1887" s="5"/>
      <c r="E1887" s="5"/>
      <c r="F1887" s="6"/>
      <c r="G1887" s="7"/>
    </row>
    <row r="1888" spans="1:7" ht="13.2" x14ac:dyDescent="0.25">
      <c r="A1888" s="5"/>
      <c r="B1888" s="5"/>
      <c r="C1888" s="5"/>
      <c r="D1888" s="5"/>
      <c r="E1888" s="5"/>
      <c r="F1888" s="6"/>
      <c r="G1888" s="7"/>
    </row>
    <row r="1889" spans="1:7" ht="13.2" x14ac:dyDescent="0.25">
      <c r="A1889" s="5"/>
      <c r="B1889" s="5"/>
      <c r="C1889" s="5"/>
      <c r="D1889" s="5"/>
      <c r="E1889" s="5"/>
      <c r="F1889" s="6"/>
      <c r="G1889" s="7"/>
    </row>
    <row r="1890" spans="1:7" ht="13.2" x14ac:dyDescent="0.25">
      <c r="A1890" s="5"/>
      <c r="B1890" s="5"/>
      <c r="C1890" s="5"/>
      <c r="D1890" s="5"/>
      <c r="E1890" s="5"/>
      <c r="F1890" s="6"/>
      <c r="G1890" s="7"/>
    </row>
    <row r="1891" spans="1:7" ht="13.2" x14ac:dyDescent="0.25">
      <c r="A1891" s="5"/>
      <c r="B1891" s="5"/>
      <c r="C1891" s="5"/>
      <c r="D1891" s="5"/>
      <c r="E1891" s="5"/>
      <c r="F1891" s="6"/>
      <c r="G1891" s="7"/>
    </row>
    <row r="1892" spans="1:7" ht="13.2" x14ac:dyDescent="0.25">
      <c r="A1892" s="5"/>
      <c r="B1892" s="5"/>
      <c r="C1892" s="5"/>
      <c r="D1892" s="5"/>
      <c r="E1892" s="5"/>
      <c r="F1892" s="6"/>
      <c r="G1892" s="7"/>
    </row>
    <row r="1893" spans="1:7" ht="13.2" x14ac:dyDescent="0.25">
      <c r="A1893" s="5"/>
      <c r="B1893" s="5"/>
      <c r="C1893" s="5"/>
      <c r="D1893" s="5"/>
      <c r="E1893" s="5"/>
      <c r="F1893" s="6"/>
      <c r="G1893" s="7"/>
    </row>
    <row r="1894" spans="1:7" ht="13.2" x14ac:dyDescent="0.25">
      <c r="A1894" s="5"/>
      <c r="B1894" s="5"/>
      <c r="C1894" s="5"/>
      <c r="D1894" s="5"/>
      <c r="E1894" s="5"/>
      <c r="F1894" s="6"/>
      <c r="G1894" s="7"/>
    </row>
    <row r="1895" spans="1:7" ht="13.2" x14ac:dyDescent="0.25">
      <c r="A1895" s="5"/>
      <c r="B1895" s="5"/>
      <c r="C1895" s="5"/>
      <c r="D1895" s="5"/>
      <c r="E1895" s="5"/>
      <c r="F1895" s="6"/>
      <c r="G1895" s="7"/>
    </row>
    <row r="1896" spans="1:7" ht="13.2" x14ac:dyDescent="0.25">
      <c r="A1896" s="5"/>
      <c r="B1896" s="5"/>
      <c r="C1896" s="5"/>
      <c r="D1896" s="5"/>
      <c r="E1896" s="5"/>
      <c r="F1896" s="6"/>
      <c r="G1896" s="7"/>
    </row>
    <row r="1897" spans="1:7" ht="13.2" x14ac:dyDescent="0.25">
      <c r="A1897" s="5"/>
      <c r="B1897" s="5"/>
      <c r="C1897" s="5"/>
      <c r="D1897" s="5"/>
      <c r="E1897" s="5"/>
      <c r="F1897" s="6"/>
      <c r="G1897" s="7"/>
    </row>
  </sheetData>
  <sortState xmlns:xlrd2="http://schemas.microsoft.com/office/spreadsheetml/2017/richdata2" ref="A3:G1397">
    <sortCondition ref="E2:E1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Команды</vt:lpstr>
      <vt:lpstr>Студенты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Alena N</cp:lastModifiedBy>
  <dcterms:modified xsi:type="dcterms:W3CDTF">2023-05-22T15:49:09Z</dcterms:modified>
</cp:coreProperties>
</file>