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upuestos" sheetId="2" state="visible" r:id="rId2"/>
    <sheet name="Médano - Cabo San Lucas (Pos" sheetId="3" state="visible" r:id="rId3"/>
    <sheet name="Fairfield Inn Vallejo (F-159" sheetId="4" state="visible" r:id="rId4"/>
    <sheet name="Fiesta Americana Condesa Can" sheetId="5" state="visible" r:id="rId5"/>
    <sheet name="Fiesta Inn Periférico Sur (C" sheetId="6" state="visible" r:id="rId6"/>
    <sheet name="Fiesta Americana Viaducto Ae" sheetId="7" state="visible" r:id="rId7"/>
    <sheet name="Comparativo Comercial" sheetId="8" state="visible" r:id="rId8"/>
    <sheet name="Proyección 20 añ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0"/>
  </numFmts>
  <fonts count="11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color rgb="001F4E5F"/>
      <sz val="9"/>
    </font>
    <font>
      <b val="1"/>
      <color rgb="00FFFFFF"/>
    </font>
    <font>
      <b val="1"/>
    </font>
    <font>
      <i val="1"/>
      <sz val="8"/>
    </font>
    <font>
      <sz val="9"/>
    </font>
    <font>
      <b val="1"/>
      <sz val="8"/>
    </font>
    <font>
      <sz val="8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DCE6F1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F1DD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4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5" fillId="4" borderId="0" applyAlignment="1" pivotButton="0" quotePrefix="0" xfId="0">
      <alignment vertical="center" wrapText="1"/>
    </xf>
    <xf numFmtId="3" fontId="0" fillId="7" borderId="1" pivotButton="0" quotePrefix="0" xfId="0"/>
    <xf numFmtId="0" fontId="0" fillId="7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4" borderId="0" applyAlignment="1" pivotButton="0" quotePrefix="0" xfId="0">
      <alignment wrapText="1"/>
    </xf>
    <xf numFmtId="3" fontId="5" fillId="5" borderId="0" pivotButton="0" quotePrefix="0" xfId="0"/>
    <xf numFmtId="164" fontId="5" fillId="5" borderId="0" pivotButton="0" quotePrefix="0" xfId="0"/>
    <xf numFmtId="165" fontId="0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center" wrapText="1"/>
    </xf>
    <xf numFmtId="4" fontId="9" fillId="6" borderId="1" pivotButton="0" quotePrefix="0" xfId="0"/>
    <xf numFmtId="3" fontId="9" fillId="6" borderId="1" pivotButton="0" quotePrefix="0" xfId="0"/>
    <xf numFmtId="2" fontId="9" fillId="6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94</row>
      <rowOff>0</rowOff>
    </from>
    <ext cx="3238500" cy="3238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94</row>
      <rowOff>0</rowOff>
    </from>
    <ext cx="3238500" cy="3238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94</row>
      <rowOff>0</rowOff>
    </from>
    <ext cx="3238500" cy="3238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94</row>
      <rowOff>0</rowOff>
    </from>
    <ext cx="3238500" cy="3238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94</row>
      <rowOff>0</rowOff>
    </from>
    <ext cx="3238500" cy="3238500"/>
    <pic>
      <nvPicPr>
        <cNvPr id="3" name="Image 3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Solución Energética — GRUPO POSADAS / FIDEICOMISO F/1596 (FIBRAHOTEL)</t>
        </is>
      </c>
    </row>
    <row r="2">
      <c r="A2" t="inlineStr">
        <is>
          <t>Resumen ejecutivo · pre-IVA · valores del motor CFE Brain (verificado sin errores) · finanzas 100% en vivo desde Supuestos</t>
        </is>
      </c>
    </row>
    <row r="4">
      <c r="A4" t="inlineStr">
        <is>
          <t>RECOMENDACIÓN POR PROYECTO</t>
        </is>
      </c>
    </row>
    <row r="5">
      <c r="A5" t="inlineStr">
        <is>
          <t>Sitio</t>
        </is>
      </c>
      <c r="B5" t="inlineStr">
        <is>
          <t>Tarifa Actual $/año</t>
        </is>
      </c>
      <c r="C5" t="inlineStr">
        <is>
          <t>Ahorro bruto $/año</t>
        </is>
      </c>
      <c r="D5" t="inlineStr">
        <is>
          <t>Ahorro %</t>
        </is>
      </c>
      <c r="E5" t="inlineStr">
        <is>
          <t>Inversión $</t>
        </is>
      </c>
      <c r="F5" t="inlineStr">
        <is>
          <t>TIR compra</t>
        </is>
      </c>
      <c r="G5" t="inlineStr">
        <is>
          <t>PPA $/kWh</t>
        </is>
      </c>
      <c r="H5" t="inlineStr">
        <is>
          <t>Benef. cliente PPA a1 $</t>
        </is>
      </c>
      <c r="I5" t="inlineStr">
        <is>
          <t>Ahorro cliente % (PPA a1)</t>
        </is>
      </c>
    </row>
    <row r="6">
      <c r="A6" t="inlineStr">
        <is>
          <t>Médano / Cabo San Lucas (Posadas F/1596)</t>
        </is>
      </c>
      <c r="B6" s="1">
        <f>'Médano - Cabo San Lucas (Pos'!$E$38*'Médano - Cabo San Lucas (Pos'!$B$39</f>
        <v/>
      </c>
      <c r="C6" s="1">
        <f>'Médano - Cabo San Lucas (Pos'!$J$38*'Médano - Cabo San Lucas (Pos'!$B$39</f>
        <v/>
      </c>
      <c r="D6" s="2">
        <f>C6/B6</f>
        <v/>
      </c>
      <c r="E6" s="1">
        <f>'Médano - Cabo San Lucas (Pos'!$B$22</f>
        <v/>
      </c>
      <c r="F6" s="2">
        <f>'Médano - Cabo San Lucas (Pos'!$B$64</f>
        <v/>
      </c>
      <c r="G6" s="3">
        <f>Supuestos!$I$26</f>
        <v/>
      </c>
      <c r="H6" s="1">
        <f>'Médano - Cabo San Lucas (Pos'!$J$43</f>
        <v/>
      </c>
      <c r="I6" s="2">
        <f>'Médano - Cabo San Lucas (Pos'!$J$43/'Médano - Cabo San Lucas (Pos'!$B$43</f>
        <v/>
      </c>
    </row>
    <row r="7">
      <c r="A7" t="inlineStr">
        <is>
          <t>Fairfield Inn Vallejo (F/1596)</t>
        </is>
      </c>
      <c r="B7" s="1">
        <f>'Fairfield Inn Vallejo (F-159'!$E$38*'Fairfield Inn Vallejo (F-159'!$B$39</f>
        <v/>
      </c>
      <c r="C7" s="1">
        <f>'Fairfield Inn Vallejo (F-159'!$J$38*'Fairfield Inn Vallejo (F-159'!$B$39</f>
        <v/>
      </c>
      <c r="D7" s="2">
        <f>C7/B7</f>
        <v/>
      </c>
      <c r="E7" s="1">
        <f>'Fairfield Inn Vallejo (F-159'!$B$22</f>
        <v/>
      </c>
      <c r="F7" s="2">
        <f>'Fairfield Inn Vallejo (F-159'!$B$64</f>
        <v/>
      </c>
      <c r="G7" s="3">
        <f>Supuestos!$I$27</f>
        <v/>
      </c>
      <c r="H7" s="1">
        <f>'Fairfield Inn Vallejo (F-159'!$J$43</f>
        <v/>
      </c>
      <c r="I7" s="2">
        <f>'Fairfield Inn Vallejo (F-159'!$J$43/'Fairfield Inn Vallejo (F-159'!$B$43</f>
        <v/>
      </c>
    </row>
    <row r="8">
      <c r="A8" t="inlineStr">
        <is>
          <t>Fiesta Americana Condesa Cancún</t>
        </is>
      </c>
      <c r="B8" s="1">
        <f>'Fiesta Americana Condesa Can'!$E$38*'Fiesta Americana Condesa Can'!$B$39</f>
        <v/>
      </c>
      <c r="C8" s="1">
        <f>'Fiesta Americana Condesa Can'!$J$38*'Fiesta Americana Condesa Can'!$B$39</f>
        <v/>
      </c>
      <c r="D8" s="2">
        <f>C8/B8</f>
        <v/>
      </c>
      <c r="E8" s="1">
        <f>'Fiesta Americana Condesa Can'!$B$22</f>
        <v/>
      </c>
      <c r="F8" s="2">
        <f>'Fiesta Americana Condesa Can'!$B$64</f>
        <v/>
      </c>
      <c r="G8" s="3">
        <f>Supuestos!$I$28</f>
        <v/>
      </c>
      <c r="H8" s="1">
        <f>'Fiesta Americana Condesa Can'!$J$43</f>
        <v/>
      </c>
      <c r="I8" s="2">
        <f>'Fiesta Americana Condesa Can'!$J$43/'Fiesta Americana Condesa Can'!$B$43</f>
        <v/>
      </c>
    </row>
    <row r="9">
      <c r="A9" t="inlineStr">
        <is>
          <t>Fiesta Inn Periférico Sur (CDMX)</t>
        </is>
      </c>
      <c r="B9" s="1">
        <f>'Fiesta Inn Periférico Sur (C'!$E$38*'Fiesta Inn Periférico Sur (C'!$B$39</f>
        <v/>
      </c>
      <c r="C9" s="1">
        <f>'Fiesta Inn Periférico Sur (C'!$J$38*'Fiesta Inn Periférico Sur (C'!$B$39</f>
        <v/>
      </c>
      <c r="D9" s="2">
        <f>C9/B9</f>
        <v/>
      </c>
      <c r="E9" s="1">
        <f>'Fiesta Inn Periférico Sur (C'!$B$22</f>
        <v/>
      </c>
      <c r="F9" s="2">
        <f>'Fiesta Inn Periférico Sur (C'!$B$64</f>
        <v/>
      </c>
      <c r="G9" s="3">
        <f>Supuestos!$I$29</f>
        <v/>
      </c>
      <c r="H9" s="1">
        <f>'Fiesta Inn Periférico Sur (C'!$J$43</f>
        <v/>
      </c>
      <c r="I9" s="2">
        <f>'Fiesta Inn Periférico Sur (C'!$J$43/'Fiesta Inn Periférico Sur (C'!$B$43</f>
        <v/>
      </c>
    </row>
    <row r="10">
      <c r="A10" t="inlineStr">
        <is>
          <t>Fiesta Americana Viaducto Aeropuerto (CDMX)</t>
        </is>
      </c>
      <c r="B10" s="1">
        <f>'Fiesta Americana Viaducto Ae'!$E$38*'Fiesta Americana Viaducto Ae'!$B$39</f>
        <v/>
      </c>
      <c r="C10" s="1">
        <f>'Fiesta Americana Viaducto Ae'!$J$38*'Fiesta Americana Viaducto Ae'!$B$39</f>
        <v/>
      </c>
      <c r="D10" s="2">
        <f>C10/B10</f>
        <v/>
      </c>
      <c r="E10" s="1">
        <f>'Fiesta Americana Viaducto Ae'!$B$22</f>
        <v/>
      </c>
      <c r="F10" s="2">
        <f>'Fiesta Americana Viaducto Ae'!$B$64</f>
        <v/>
      </c>
      <c r="G10" s="3">
        <f>Supuestos!$I$30</f>
        <v/>
      </c>
      <c r="H10" s="1">
        <f>'Fiesta Americana Viaducto Ae'!$J$43</f>
        <v/>
      </c>
      <c r="I10" s="2">
        <f>'Fiesta Americana Viaducto Ae'!$J$43/'Fiesta Americana Viaducto Ae'!$B$43</f>
        <v/>
      </c>
    </row>
    <row r="11">
      <c r="A11" t="inlineStr">
        <is>
          <t>PORTAFOLIO</t>
        </is>
      </c>
      <c r="B11" s="1">
        <f>SUM(B6:B10)</f>
        <v/>
      </c>
      <c r="C11" s="1">
        <f>SUM(C6:C10)</f>
        <v/>
      </c>
      <c r="D11" s="2">
        <f>C11/B11</f>
        <v/>
      </c>
      <c r="E11" s="1">
        <f>SUM(E6:E10)</f>
        <v/>
      </c>
      <c r="F11" s="2" t="n"/>
      <c r="H11" s="1">
        <f>SUM(H6:H10)</f>
        <v/>
      </c>
      <c r="I11" s="2">
        <f>H11/('Médano - Cabo San Lucas (Pos'!$B$43+'Fairfield Inn Vallejo (F-159'!$B$43+'Fiesta Americana Condesa Can'!$B$43+'Fiesta Inn Periférico Sur (C'!$B$43+'Fiesta Americana Viaducto Ae'!$B$43)</f>
        <v/>
      </c>
    </row>
    <row r="13">
      <c r="A13" t="inlineStr">
        <is>
          <t>INDICADORES CLAVE</t>
        </is>
      </c>
    </row>
    <row r="14">
      <c r="A14" t="inlineStr">
        <is>
          <t>Gasto eléctrico actual $/año</t>
        </is>
      </c>
      <c r="C14" t="inlineStr">
        <is>
          <t>Ahorro proyecto $/año</t>
        </is>
      </c>
      <c r="E14" t="inlineStr">
        <is>
          <t>Ahorro % del gasto</t>
        </is>
      </c>
      <c r="G14" t="inlineStr">
        <is>
          <t>Ahorro cliente % (PPA a1)</t>
        </is>
      </c>
      <c r="I14" t="inlineStr">
        <is>
          <t>Inversión total (compra) $</t>
        </is>
      </c>
    </row>
    <row r="15">
      <c r="A15">
        <f>B11</f>
        <v/>
      </c>
      <c r="B15" s="1" t="n"/>
      <c r="C15" s="1">
        <f>C11</f>
        <v/>
      </c>
      <c r="E15" s="2">
        <f>C11/B11</f>
        <v/>
      </c>
      <c r="G15" s="2">
        <f>I11</f>
        <v/>
      </c>
      <c r="I15" s="1">
        <f>E11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4" t="inlineStr">
        <is>
          <t>SUPUESTOS — Panel de control en vivo</t>
        </is>
      </c>
    </row>
    <row r="2">
      <c r="A2" s="5" t="inlineStr">
        <is>
          <t>LIBRO 100% EN VIVO: financieras (AZUL) y dimensionamiento (ÁMBAR) recalculan todo — el motor mensual de cada hoja es fórmula sobre sus datos de recibo (§6).</t>
        </is>
      </c>
    </row>
    <row r="3">
      <c r="A3" s="6" t="inlineStr">
        <is>
          <t>A. SUPUESTOS GLOBALES</t>
        </is>
      </c>
      <c r="B3" s="7" t="n"/>
      <c r="C3" s="7" t="n"/>
    </row>
    <row r="4">
      <c r="A4" t="inlineStr">
        <is>
          <t>EPC PV (USD/Wp)</t>
        </is>
      </c>
      <c r="B4" s="8" t="n">
        <v>0.75</v>
      </c>
    </row>
    <row r="5">
      <c r="A5" t="inlineStr">
        <is>
          <t>Tipo de cambio (MXN/USD)</t>
        </is>
      </c>
      <c r="B5" s="8" t="n">
        <v>17.55</v>
      </c>
    </row>
    <row r="6">
      <c r="A6" t="inlineStr">
        <is>
          <t>EPC BESS (USD/kWh)</t>
        </is>
      </c>
      <c r="B6" s="9" t="n">
        <v>280</v>
      </c>
    </row>
    <row r="7">
      <c r="A7" t="inlineStr">
        <is>
          <t>WACC / descuento</t>
        </is>
      </c>
      <c r="B7" s="10" t="n">
        <v>0.12</v>
      </c>
    </row>
    <row r="8">
      <c r="A8" t="inlineStr">
        <is>
          <t>Escalación CFE / año</t>
        </is>
      </c>
      <c r="B8" s="10" t="n">
        <v>0.05</v>
      </c>
    </row>
    <row r="9">
      <c r="A9" t="inlineStr">
        <is>
          <t>Escalación PPA / año</t>
        </is>
      </c>
      <c r="B9" s="10" t="n">
        <v>0.05</v>
      </c>
    </row>
    <row r="10">
      <c r="A10" t="inlineStr">
        <is>
          <t>Disponibilidad (factor SaaS)</t>
        </is>
      </c>
      <c r="B10" s="10" t="n">
        <v>0.75</v>
      </c>
    </row>
    <row r="11">
      <c r="A11" t="inlineStr">
        <is>
          <t>Degradación PV año 1</t>
        </is>
      </c>
      <c r="B11" s="10" t="n">
        <v>0.01</v>
      </c>
    </row>
    <row r="12">
      <c r="A12" t="inlineStr">
        <is>
          <t>Degradación PV año 2+</t>
        </is>
      </c>
      <c r="B12" s="10" t="n">
        <v>0.004</v>
      </c>
    </row>
    <row r="13">
      <c r="A13" t="inlineStr">
        <is>
          <t>Degradación BESS / año</t>
        </is>
      </c>
      <c r="B13" s="10" t="n">
        <v>0.0125</v>
      </c>
    </row>
    <row r="14">
      <c r="A14" t="inlineStr">
        <is>
          <t>Comisión BESS financiador</t>
        </is>
      </c>
      <c r="B14" s="10" t="n">
        <v>0.5</v>
      </c>
    </row>
    <row r="15">
      <c r="A15" t="inlineStr">
        <is>
          <t>Horizonte (años)</t>
        </is>
      </c>
      <c r="B15" s="9" t="n">
        <v>20</v>
      </c>
    </row>
    <row r="16">
      <c r="A16" t="inlineStr">
        <is>
          <t>FC umbral (demanda facturable)</t>
        </is>
      </c>
      <c r="B16" s="11" t="n">
        <v>0.57</v>
      </c>
    </row>
    <row r="17">
      <c r="A17" t="inlineStr">
        <is>
          <t>DoD batería</t>
        </is>
      </c>
      <c r="B17" s="10" t="n">
        <v>0.96</v>
      </c>
    </row>
    <row r="18">
      <c r="A18" t="inlineStr">
        <is>
          <t>RTE batería (round-trip)</t>
        </is>
      </c>
      <c r="B18" s="10" t="n">
        <v>0.96</v>
      </c>
    </row>
    <row r="19">
      <c r="A19" t="inlineStr">
        <is>
          <t>O&amp;M PV (MXN/kWp-año)</t>
        </is>
      </c>
      <c r="B19" s="9" t="n">
        <v>310</v>
      </c>
    </row>
    <row r="20">
      <c r="A20" t="inlineStr">
        <is>
          <t>O&amp;M BESS (MXN/kWh-año)</t>
        </is>
      </c>
      <c r="B20" s="9" t="n">
        <v>180</v>
      </c>
    </row>
    <row r="21">
      <c r="A21" t="inlineStr">
        <is>
          <t>Fianza (sobre pago PPA)</t>
        </is>
      </c>
      <c r="B21" s="10" t="n">
        <v>0.139</v>
      </c>
    </row>
    <row r="22">
      <c r="A22" t="inlineStr">
        <is>
          <t>Plazo BESS / comisión (años)</t>
        </is>
      </c>
      <c r="B22" s="9" t="n">
        <v>15</v>
      </c>
    </row>
    <row r="24">
      <c r="A24" s="6" t="inlineStr">
        <is>
          <t>B. VARIABLES POR PROYECTO  (AZUL = financiero · ÁMBAR = dimensionamiento)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>
      <c r="A25" s="12" t="inlineStr">
        <is>
          <t>Proyecto</t>
        </is>
      </c>
      <c r="B25" s="12" t="inlineStr">
        <is>
          <t>PV kWp</t>
        </is>
      </c>
      <c r="C25" s="12" t="inlineStr">
        <is>
          <t>BESS kW</t>
        </is>
      </c>
      <c r="D25" s="12" t="inlineStr">
        <is>
          <t>BESS kWh</t>
        </is>
      </c>
      <c r="E25" s="12" t="inlineStr">
        <is>
          <t>FP corr</t>
        </is>
      </c>
      <c r="F25" s="12" t="inlineStr">
        <is>
          <t>PV USD/Wp</t>
        </is>
      </c>
      <c r="G25" s="12" t="inlineStr">
        <is>
          <t>BESS USD/kWh</t>
        </is>
      </c>
      <c r="H25" s="12" t="inlineStr">
        <is>
          <t>Capacitor $</t>
        </is>
      </c>
      <c r="I25" s="12" t="inlineStr">
        <is>
          <t>PPA $/kWh</t>
        </is>
      </c>
      <c r="J25" s="12" t="inlineStr">
        <is>
          <t>PPA plazo</t>
        </is>
      </c>
      <c r="K25" s="12" t="inlineStr">
        <is>
          <t>Comisión %</t>
        </is>
      </c>
      <c r="L25" s="12" t="inlineStr">
        <is>
          <t>TIR compra</t>
        </is>
      </c>
      <c r="M25" s="12" t="inlineStr">
        <is>
          <t>TIR financiador</t>
        </is>
      </c>
      <c r="N25" s="12" t="inlineStr">
        <is>
          <t>Ahorro bruto/año $</t>
        </is>
      </c>
      <c r="O25" s="12" t="inlineStr">
        <is>
          <t>Ahorro bruto %</t>
        </is>
      </c>
      <c r="P25" s="12" t="inlineStr">
        <is>
          <t>Ahorro cliente % (PPA a1)</t>
        </is>
      </c>
    </row>
    <row r="26">
      <c r="A26" t="inlineStr">
        <is>
          <t>Médano / Cabo San Lucas (Posadas F/1596)</t>
        </is>
      </c>
      <c r="B26" s="13" t="n">
        <v>290.6</v>
      </c>
      <c r="C26" s="13" t="n">
        <v>0</v>
      </c>
      <c r="D26" s="13" t="n">
        <v>0</v>
      </c>
      <c r="E26" s="14" t="inlineStr">
        <is>
          <t>Sí</t>
        </is>
      </c>
      <c r="F26" s="8" t="n">
        <v>0.75</v>
      </c>
      <c r="G26" s="9" t="n">
        <v>280</v>
      </c>
      <c r="H26" s="9" t="n">
        <v>0</v>
      </c>
      <c r="I26" s="8" t="n">
        <v>1.5543</v>
      </c>
      <c r="J26" s="9" t="n">
        <v>15</v>
      </c>
      <c r="K26" s="10" t="n">
        <v>0.5</v>
      </c>
      <c r="L26" s="10">
        <f>'Médano - Cabo San Lucas (Pos'!$B$64</f>
        <v/>
      </c>
      <c r="M26" s="10">
        <f>'Médano - Cabo San Lucas (Pos'!$B$65</f>
        <v/>
      </c>
      <c r="N26" s="10">
        <f>'Médano - Cabo San Lucas (Pos'!$J$38</f>
        <v/>
      </c>
      <c r="O26" s="10">
        <f>'Médano - Cabo San Lucas (Pos'!$J$38/'Médano - Cabo San Lucas (Pos'!$E$38</f>
        <v/>
      </c>
      <c r="P26" s="10">
        <f>'Médano - Cabo San Lucas (Pos'!$J$43/'Médano - Cabo San Lucas (Pos'!$B$43</f>
        <v/>
      </c>
    </row>
    <row r="27">
      <c r="A27" t="inlineStr">
        <is>
          <t>Fairfield Inn Vallejo (F/1596)</t>
        </is>
      </c>
      <c r="B27" s="13" t="n">
        <v>96.90000000000001</v>
      </c>
      <c r="C27" s="13" t="n">
        <v>186</v>
      </c>
      <c r="D27" s="13" t="n">
        <v>743</v>
      </c>
      <c r="E27" s="14" t="inlineStr">
        <is>
          <t>Sí</t>
        </is>
      </c>
      <c r="F27" s="8" t="n">
        <v>0.75</v>
      </c>
      <c r="G27" s="9" t="n">
        <v>280</v>
      </c>
      <c r="H27" s="9" t="n">
        <v>0</v>
      </c>
      <c r="I27" s="8" t="n">
        <v>4.4867</v>
      </c>
      <c r="J27" s="9" t="n">
        <v>15</v>
      </c>
      <c r="K27" s="10" t="n">
        <v>0.5</v>
      </c>
      <c r="L27" s="10">
        <f>'Fairfield Inn Vallejo (F-159'!$B$64</f>
        <v/>
      </c>
      <c r="M27" s="10">
        <f>'Fairfield Inn Vallejo (F-159'!$B$65</f>
        <v/>
      </c>
      <c r="N27" s="10">
        <f>'Fairfield Inn Vallejo (F-159'!$J$38</f>
        <v/>
      </c>
      <c r="O27" s="10">
        <f>'Fairfield Inn Vallejo (F-159'!$J$38/'Fairfield Inn Vallejo (F-159'!$E$38</f>
        <v/>
      </c>
      <c r="P27" s="10">
        <f>'Fairfield Inn Vallejo (F-159'!$J$43/'Fairfield Inn Vallejo (F-159'!$B$43</f>
        <v/>
      </c>
    </row>
    <row r="28">
      <c r="A28" t="inlineStr">
        <is>
          <t>Fiesta Americana Condesa Cancún</t>
        </is>
      </c>
      <c r="B28" s="13" t="n">
        <v>194.48</v>
      </c>
      <c r="C28" s="13" t="n">
        <v>1503</v>
      </c>
      <c r="D28" s="13" t="n">
        <v>2940</v>
      </c>
      <c r="E28" s="14" t="inlineStr">
        <is>
          <t>Sí</t>
        </is>
      </c>
      <c r="F28" s="8" t="n">
        <v>0.75</v>
      </c>
      <c r="G28" s="9" t="n">
        <v>280</v>
      </c>
      <c r="H28" s="9" t="n">
        <v>0</v>
      </c>
      <c r="I28" s="8" t="n">
        <v>4.352</v>
      </c>
      <c r="J28" s="9" t="n">
        <v>15</v>
      </c>
      <c r="K28" s="10" t="n">
        <v>0.5</v>
      </c>
      <c r="L28" s="10">
        <f>'Fiesta Americana Condesa Can'!$B$64</f>
        <v/>
      </c>
      <c r="M28" s="10">
        <f>'Fiesta Americana Condesa Can'!$B$65</f>
        <v/>
      </c>
      <c r="N28" s="10">
        <f>'Fiesta Americana Condesa Can'!$J$38</f>
        <v/>
      </c>
      <c r="O28" s="10">
        <f>'Fiesta Americana Condesa Can'!$J$38/'Fiesta Americana Condesa Can'!$E$38</f>
        <v/>
      </c>
      <c r="P28" s="10">
        <f>'Fiesta Americana Condesa Can'!$J$43/'Fiesta Americana Condesa Can'!$B$43</f>
        <v/>
      </c>
    </row>
    <row r="29">
      <c r="A29" t="inlineStr">
        <is>
          <t>Fiesta Inn Periférico Sur (CDMX)</t>
        </is>
      </c>
      <c r="B29" s="13" t="n">
        <v>348.8</v>
      </c>
      <c r="C29" s="13" t="n">
        <v>207</v>
      </c>
      <c r="D29" s="13" t="n">
        <v>827</v>
      </c>
      <c r="E29" s="14" t="inlineStr">
        <is>
          <t>Sí</t>
        </is>
      </c>
      <c r="F29" s="8" t="n">
        <v>0.75</v>
      </c>
      <c r="G29" s="9" t="n">
        <v>280</v>
      </c>
      <c r="H29" s="9" t="n">
        <v>0</v>
      </c>
      <c r="I29" s="8" t="n">
        <v>2.8194</v>
      </c>
      <c r="J29" s="9" t="n">
        <v>15</v>
      </c>
      <c r="K29" s="10" t="n">
        <v>0.5</v>
      </c>
      <c r="L29" s="10">
        <f>'Fiesta Inn Periférico Sur (C'!$B$64</f>
        <v/>
      </c>
      <c r="M29" s="10">
        <f>'Fiesta Inn Periférico Sur (C'!$B$65</f>
        <v/>
      </c>
      <c r="N29" s="10">
        <f>'Fiesta Inn Periférico Sur (C'!$J$38</f>
        <v/>
      </c>
      <c r="O29" s="10">
        <f>'Fiesta Inn Periférico Sur (C'!$J$38/'Fiesta Inn Periférico Sur (C'!$E$38</f>
        <v/>
      </c>
      <c r="P29" s="10">
        <f>'Fiesta Inn Periférico Sur (C'!$J$43/'Fiesta Inn Periférico Sur (C'!$B$43</f>
        <v/>
      </c>
    </row>
    <row r="30">
      <c r="A30" t="inlineStr">
        <is>
          <t>Fiesta Americana Viaducto Aeropuerto (CDMX)</t>
        </is>
      </c>
      <c r="B30" s="13" t="n">
        <v>233.9</v>
      </c>
      <c r="C30" s="13" t="n">
        <v>254</v>
      </c>
      <c r="D30" s="13" t="n">
        <v>1017</v>
      </c>
      <c r="E30" s="14" t="inlineStr">
        <is>
          <t>Sí</t>
        </is>
      </c>
      <c r="F30" s="8" t="n">
        <v>0.75</v>
      </c>
      <c r="G30" s="9" t="n">
        <v>280</v>
      </c>
      <c r="H30" s="9" t="n">
        <v>0</v>
      </c>
      <c r="I30" s="8" t="n">
        <v>3.3408</v>
      </c>
      <c r="J30" s="9" t="n">
        <v>15</v>
      </c>
      <c r="K30" s="10" t="n">
        <v>0.5</v>
      </c>
      <c r="L30" s="10">
        <f>'Fiesta Americana Viaducto Ae'!$B$64</f>
        <v/>
      </c>
      <c r="M30" s="10">
        <f>'Fiesta Americana Viaducto Ae'!$B$65</f>
        <v/>
      </c>
      <c r="N30" s="10">
        <f>'Fiesta Americana Viaducto Ae'!$J$38</f>
        <v/>
      </c>
      <c r="O30" s="10">
        <f>'Fiesta Americana Viaducto Ae'!$J$38/'Fiesta Americana Viaducto Ae'!$E$38</f>
        <v/>
      </c>
      <c r="P30" s="10">
        <f>'Fiesta Americana Viaducto Ae'!$J$43/'Fiesta Americana Viaducto Ae'!$B$43</f>
        <v/>
      </c>
    </row>
    <row r="31">
      <c r="A31" t="inlineStr">
        <is>
          <t>PORTAFOLIO</t>
        </is>
      </c>
      <c r="B31">
        <f>SUM(B26:B30)</f>
        <v/>
      </c>
      <c r="C31">
        <f>SUM(C26:C30)</f>
        <v/>
      </c>
      <c r="D31">
        <f>SUM(D26:D30)</f>
        <v/>
      </c>
      <c r="H31">
        <f>SUM(H26:H30)</f>
        <v/>
      </c>
      <c r="N31">
        <f>SUM(N26:N30)</f>
        <v/>
      </c>
      <c r="O31">
        <f>N31/('Médano - Cabo San Lucas (Pos'!$E$38+'Fairfield Inn Vallejo (F-159'!$E$38+'Fiesta Americana Condesa Can'!$E$38+'Fiesta Inn Periférico Sur (C'!$E$38+'Fiesta Americana Viaducto Ae'!$E$38)</f>
        <v/>
      </c>
      <c r="P31">
        <f>('Médano - Cabo San Lucas (Pos'!$J$43+'Fairfield Inn Vallejo (F-159'!$J$43+'Fiesta Americana Condesa Can'!$J$43+'Fiesta Inn Periférico Sur (C'!$J$43+'Fiesta Americana Viaducto Ae'!$J$43)/('Médano - Cabo San Lucas (Pos'!$B$43+'Fairfield Inn Vallejo (F-159'!$B$43+'Fiesta Americana Condesa Can'!$B$43+'Fiesta Inn Periférico Sur (C'!$B$43+'Fiesta Americana Viaducto Ae'!$B$43)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5" t="inlineStr">
        <is>
          <t>Médano / Cabo San Lucas (Posadas F/1596) — Memoria de cálculo y propuesta energética</t>
        </is>
      </c>
    </row>
    <row r="2">
      <c r="A2" s="5" t="inlineStr">
        <is>
          <t>RPU 008111000167 · GDMTH BCS · Demanda contratada 326 kW · 12 meses de recibo</t>
        </is>
      </c>
    </row>
    <row r="3">
      <c r="A3" s="16" t="inlineStr">
        <is>
          <t>Régimen: GENERADOR EXENTO — Medición Neta (sin permiso; Art. 30 LSE; RES/142/2017)</t>
        </is>
      </c>
    </row>
    <row r="5">
      <c r="A5" s="6" t="inlineStr">
        <is>
          <t>PARÁMETROS (desde Supuestos — edítalos ahí)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7" t="inlineStr">
        <is>
          <t>PV kWp</t>
        </is>
      </c>
      <c r="B6" s="1">
        <f>Supuestos!$B$26</f>
        <v/>
      </c>
      <c r="C6" s="17" t="inlineStr">
        <is>
          <t>BESS kW</t>
        </is>
      </c>
      <c r="D6" s="1">
        <f>Supuestos!$C$26</f>
        <v/>
      </c>
      <c r="E6" s="17" t="inlineStr">
        <is>
          <t>BESS kWh</t>
        </is>
      </c>
      <c r="F6" s="1">
        <f>Supuestos!$D$26</f>
        <v/>
      </c>
      <c r="G6" s="17" t="inlineStr">
        <is>
          <t>FP corrección</t>
        </is>
      </c>
      <c r="H6">
        <f>Supuestos!$E$26</f>
        <v/>
      </c>
      <c r="I6" s="17" t="inlineStr">
        <is>
          <t>Entrega útil kWh</t>
        </is>
      </c>
      <c r="J6" s="1">
        <f>Supuestos!$D$26*Supuestos!$B$17*SQRT(Supuestos!$B$18)</f>
        <v/>
      </c>
      <c r="K6" s="17" t="inlineStr">
        <is>
          <t>FC umbral</t>
        </is>
      </c>
      <c r="L6" s="11" t="n">
        <v>0.57</v>
      </c>
    </row>
    <row r="8">
      <c r="A8" s="6" t="inlineStr">
        <is>
          <t>1. ESTRUCTURA DE COSTO Y AHORRO (pre-IVA, año base · fórmulas vivas ← §3)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18" t="inlineStr">
        <is>
          <t>Concepto</t>
        </is>
      </c>
      <c r="B9" s="18" t="inlineStr">
        <is>
          <t>$ / año</t>
        </is>
      </c>
      <c r="C9" s="18" t="inlineStr">
        <is>
          <t>Nota</t>
        </is>
      </c>
    </row>
    <row r="10">
      <c r="A10" t="inlineStr">
        <is>
          <t>Tarifa Actual (CFE pleno, sin proyecto)</t>
        </is>
      </c>
      <c r="B10" s="1">
        <f>$E$38*$B$39</f>
        <v/>
      </c>
      <c r="C10" s="19" t="inlineStr">
        <is>
          <t>Σ recibos × anualización</t>
        </is>
      </c>
    </row>
    <row r="11">
      <c r="A11" t="inlineStr">
        <is>
          <t>(−) Ahorro PV (energía + demanda)</t>
        </is>
      </c>
      <c r="B11" s="1">
        <f>$F$38*$B$39</f>
        <v/>
      </c>
      <c r="C11" s="19" t="inlineStr">
        <is>
          <t>intermedio + umbral</t>
        </is>
      </c>
    </row>
    <row r="12">
      <c r="A12" t="inlineStr">
        <is>
          <t>(−) Ahorro BESS (punta + arbitraje)</t>
        </is>
      </c>
      <c r="B12" s="1">
        <f>$G$38*$B$39</f>
        <v/>
      </c>
      <c r="C12" s="19" t="inlineStr">
        <is>
          <t>recorte punta + arbitraje (incl. claw)</t>
        </is>
      </c>
    </row>
    <row r="13">
      <c r="A13" t="inlineStr">
        <is>
          <t>(−) Ahorro FP (corrección)</t>
        </is>
      </c>
      <c r="B13" s="1">
        <f>$H$38*$B$39</f>
        <v/>
      </c>
      <c r="C13" s="19" t="inlineStr">
        <is>
          <t>multa factor de potencia</t>
        </is>
      </c>
    </row>
    <row r="14">
      <c r="A14" s="17" t="inlineStr">
        <is>
          <t>(=) Costo neto con proyecto</t>
        </is>
      </c>
      <c r="B14" s="20">
        <f>B10-B11-B12-B13</f>
        <v/>
      </c>
    </row>
    <row r="15">
      <c r="A15" s="17" t="inlineStr">
        <is>
          <t>Ahorro proyecto / año</t>
        </is>
      </c>
      <c r="B15" s="20">
        <f>B11+B12+B13</f>
        <v/>
      </c>
    </row>
    <row r="16">
      <c r="A16" s="17" t="inlineStr">
        <is>
          <t>Ahorro %</t>
        </is>
      </c>
      <c r="B16" s="2">
        <f>B15/B10</f>
        <v/>
      </c>
    </row>
    <row r="18">
      <c r="A18" s="6" t="inlineStr">
        <is>
          <t>2. CAPEX (fórmulas vivas desde Supuestos)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t="inlineStr">
        <is>
          <t>CAPEX PV</t>
        </is>
      </c>
      <c r="B19" s="1">
        <f>Supuestos!$B$26*1000*Supuestos!$F$26*Supuestos!$B$5</f>
        <v/>
      </c>
    </row>
    <row r="20">
      <c r="A20" t="inlineStr">
        <is>
          <t>CAPEX BESS</t>
        </is>
      </c>
      <c r="B20" s="1">
        <f>Supuestos!$D$26*Supuestos!$G$26*Supuestos!$B$5</f>
        <v/>
      </c>
    </row>
    <row r="21">
      <c r="A21" t="inlineStr">
        <is>
          <t>CAPEX capacitor (FP)</t>
        </is>
      </c>
      <c r="B21" s="1">
        <f>Supuestos!$H$26</f>
        <v/>
      </c>
    </row>
    <row r="22">
      <c r="A22" s="17" t="inlineStr">
        <is>
          <t>CAPEX TOTAL</t>
        </is>
      </c>
      <c r="B22" s="20">
        <f>B19+B20+B21</f>
        <v/>
      </c>
    </row>
    <row r="24">
      <c r="A24" s="6" t="inlineStr">
        <is>
          <t>3. RESUMEN MENSUAL — Tarifa Actual vs Con Proyecto (fórmulas vivas ← §6 y Supuestos)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21" t="inlineStr">
        <is>
          <t>Mes</t>
        </is>
      </c>
      <c r="B25" s="21" t="inlineStr">
        <is>
          <t>kWh Consumo</t>
        </is>
      </c>
      <c r="C25" s="21" t="inlineStr">
        <is>
          <t>Gen PV kWh</t>
        </is>
      </c>
      <c r="D25" s="21" t="inlineStr">
        <is>
          <t>BESS desc kWh</t>
        </is>
      </c>
      <c r="E25" s="21" t="inlineStr">
        <is>
          <t>Tarifa Actual $</t>
        </is>
      </c>
      <c r="F25" s="21" t="inlineStr">
        <is>
          <t>Ah PV $</t>
        </is>
      </c>
      <c r="G25" s="21" t="inlineStr">
        <is>
          <t>Ah BESS $</t>
        </is>
      </c>
      <c r="H25" s="21" t="inlineStr">
        <is>
          <t>Ah FP $</t>
        </is>
      </c>
      <c r="I25" s="21" t="inlineStr">
        <is>
          <t>Costo c/proy $</t>
        </is>
      </c>
      <c r="J25" s="21" t="inlineStr">
        <is>
          <t>Ahorro $</t>
        </is>
      </c>
      <c r="K25" s="21" t="inlineStr">
        <is>
          <t>Ahorro %</t>
        </is>
      </c>
    </row>
    <row r="26">
      <c r="A26">
        <f>A80</f>
        <v/>
      </c>
      <c r="B26" s="1">
        <f>V80</f>
        <v/>
      </c>
      <c r="C26" s="1">
        <f>Supuestos!$B$26*S80</f>
        <v/>
      </c>
      <c r="D26" s="1">
        <f>MIN($J$6*U80,E80)</f>
        <v/>
      </c>
      <c r="E26" s="1">
        <f>SUM(J80:Q80)</f>
        <v/>
      </c>
      <c r="F26" s="1">
        <f>(MIN(C26,D80)*Y80+(MIN(H80,AA80)-MIN(H80,(V80-MIN(C26,D80))/($B$80*24*$L$6)))*AB80)*IF(Q80&lt;0,1+Q80/SUM(J80:P80),1)</f>
        <v/>
      </c>
      <c r="G26" s="1">
        <f>((MIN(H80,(V80-MIN(C26,D80))/($B$80*24*$L$6))-MIN(MAX(H80-MIN(Supuestos!$C$26,IF(T80&gt;0,$J$6/T80,0)),0),(V80-MIN(C26,D80))/($B$80*24*$L$6)))*AB80+D26*Z80-D26/Supuestos!$B$18*X80)*IF(Q80&lt;0,1+Q80/SUM(J80:P80),1)</f>
        <v/>
      </c>
      <c r="H26" s="1">
        <f>IF(Supuestos!$E$26="Sí",R80,0)</f>
        <v/>
      </c>
      <c r="I26" s="1">
        <f>E26-J26</f>
        <v/>
      </c>
      <c r="J26" s="1">
        <f>F26+G26+H26</f>
        <v/>
      </c>
      <c r="K26" s="2">
        <f>J26/E26</f>
        <v/>
      </c>
    </row>
    <row r="27">
      <c r="A27">
        <f>A81</f>
        <v/>
      </c>
      <c r="B27" s="1">
        <f>V81</f>
        <v/>
      </c>
      <c r="C27" s="1">
        <f>Supuestos!$B$26*S81</f>
        <v/>
      </c>
      <c r="D27" s="1">
        <f>MIN($J$6*U81,E81)</f>
        <v/>
      </c>
      <c r="E27" s="1">
        <f>SUM(J81:Q81)</f>
        <v/>
      </c>
      <c r="F27" s="1">
        <f>(MIN(C27,D81)*Y81+(MIN(H81,AA81)-MIN(H81,(V81-MIN(C27,D81))/($B$81*24*$L$6)))*AB81)*IF(Q81&lt;0,1+Q81/SUM(J81:P81),1)</f>
        <v/>
      </c>
      <c r="G27" s="1">
        <f>((MIN(H81,(V81-MIN(C27,D81))/($B$81*24*$L$6))-MIN(MAX(H81-MIN(Supuestos!$C$26,IF(T81&gt;0,$J$6/T81,0)),0),(V81-MIN(C27,D81))/($B$81*24*$L$6)))*AB81+D27*Z81-D27/Supuestos!$B$18*X81)*IF(Q81&lt;0,1+Q81/SUM(J81:P81),1)</f>
        <v/>
      </c>
      <c r="H27" s="1">
        <f>IF(Supuestos!$E$26="Sí",R81,0)</f>
        <v/>
      </c>
      <c r="I27" s="1">
        <f>E27-J27</f>
        <v/>
      </c>
      <c r="J27" s="1">
        <f>F27+G27+H27</f>
        <v/>
      </c>
      <c r="K27" s="2">
        <f>J27/E27</f>
        <v/>
      </c>
    </row>
    <row r="28">
      <c r="A28">
        <f>A82</f>
        <v/>
      </c>
      <c r="B28" s="1">
        <f>V82</f>
        <v/>
      </c>
      <c r="C28" s="1">
        <f>Supuestos!$B$26*S82</f>
        <v/>
      </c>
      <c r="D28" s="1">
        <f>MIN($J$6*U82,E82)</f>
        <v/>
      </c>
      <c r="E28" s="1">
        <f>SUM(J82:Q82)</f>
        <v/>
      </c>
      <c r="F28" s="1">
        <f>(MIN(C28,D82)*Y82+(MIN(H82,AA82)-MIN(H82,(V82-MIN(C28,D82))/($B$82*24*$L$6)))*AB82)*IF(Q82&lt;0,1+Q82/SUM(J82:P82),1)</f>
        <v/>
      </c>
      <c r="G28" s="1">
        <f>((MIN(H82,(V82-MIN(C28,D82))/($B$82*24*$L$6))-MIN(MAX(H82-MIN(Supuestos!$C$26,IF(T82&gt;0,$J$6/T82,0)),0),(V82-MIN(C28,D82))/($B$82*24*$L$6)))*AB82+D28*Z82-D28/Supuestos!$B$18*X82)*IF(Q82&lt;0,1+Q82/SUM(J82:P82),1)</f>
        <v/>
      </c>
      <c r="H28" s="1">
        <f>IF(Supuestos!$E$26="Sí",R82,0)</f>
        <v/>
      </c>
      <c r="I28" s="1">
        <f>E28-J28</f>
        <v/>
      </c>
      <c r="J28" s="1">
        <f>F28+G28+H28</f>
        <v/>
      </c>
      <c r="K28" s="2">
        <f>J28/E28</f>
        <v/>
      </c>
    </row>
    <row r="29">
      <c r="A29">
        <f>A83</f>
        <v/>
      </c>
      <c r="B29" s="1">
        <f>V83</f>
        <v/>
      </c>
      <c r="C29" s="1">
        <f>Supuestos!$B$26*S83</f>
        <v/>
      </c>
      <c r="D29" s="1">
        <f>MIN($J$6*U83,E83)</f>
        <v/>
      </c>
      <c r="E29" s="1">
        <f>SUM(J83:Q83)</f>
        <v/>
      </c>
      <c r="F29" s="1">
        <f>(MIN(C29,D83)*Y83+(MIN(H83,AA83)-MIN(H83,(V83-MIN(C29,D83))/($B$83*24*$L$6)))*AB83)*IF(Q83&lt;0,1+Q83/SUM(J83:P83),1)</f>
        <v/>
      </c>
      <c r="G29" s="1">
        <f>((MIN(H83,(V83-MIN(C29,D83))/($B$83*24*$L$6))-MIN(MAX(H83-MIN(Supuestos!$C$26,IF(T83&gt;0,$J$6/T83,0)),0),(V83-MIN(C29,D83))/($B$83*24*$L$6)))*AB83+D29*Z83-D29/Supuestos!$B$18*X83)*IF(Q83&lt;0,1+Q83/SUM(J83:P83),1)</f>
        <v/>
      </c>
      <c r="H29" s="1">
        <f>IF(Supuestos!$E$26="Sí",R83,0)</f>
        <v/>
      </c>
      <c r="I29" s="1">
        <f>E29-J29</f>
        <v/>
      </c>
      <c r="J29" s="1">
        <f>F29+G29+H29</f>
        <v/>
      </c>
      <c r="K29" s="2">
        <f>J29/E29</f>
        <v/>
      </c>
    </row>
    <row r="30">
      <c r="A30">
        <f>A84</f>
        <v/>
      </c>
      <c r="B30" s="1">
        <f>V84</f>
        <v/>
      </c>
      <c r="C30" s="1">
        <f>Supuestos!$B$26*S84</f>
        <v/>
      </c>
      <c r="D30" s="1">
        <f>MIN($J$6*U84,E84)</f>
        <v/>
      </c>
      <c r="E30" s="1">
        <f>SUM(J84:Q84)</f>
        <v/>
      </c>
      <c r="F30" s="1">
        <f>(MIN(C30,D84)*Y84+(MIN(H84,AA84)-MIN(H84,(V84-MIN(C30,D84))/($B$84*24*$L$6)))*AB84)*IF(Q84&lt;0,1+Q84/SUM(J84:P84),1)</f>
        <v/>
      </c>
      <c r="G30" s="1">
        <f>((MIN(H84,(V84-MIN(C30,D84))/($B$84*24*$L$6))-MIN(MAX(H84-MIN(Supuestos!$C$26,IF(T84&gt;0,$J$6/T84,0)),0),(V84-MIN(C30,D84))/($B$84*24*$L$6)))*AB84+D30*Z84-D30/Supuestos!$B$18*X84)*IF(Q84&lt;0,1+Q84/SUM(J84:P84),1)</f>
        <v/>
      </c>
      <c r="H30" s="1">
        <f>IF(Supuestos!$E$26="Sí",R84,0)</f>
        <v/>
      </c>
      <c r="I30" s="1">
        <f>E30-J30</f>
        <v/>
      </c>
      <c r="J30" s="1">
        <f>F30+G30+H30</f>
        <v/>
      </c>
      <c r="K30" s="2">
        <f>J30/E30</f>
        <v/>
      </c>
    </row>
    <row r="31">
      <c r="A31">
        <f>A85</f>
        <v/>
      </c>
      <c r="B31" s="1">
        <f>V85</f>
        <v/>
      </c>
      <c r="C31" s="1">
        <f>Supuestos!$B$26*S85</f>
        <v/>
      </c>
      <c r="D31" s="1">
        <f>MIN($J$6*U85,E85)</f>
        <v/>
      </c>
      <c r="E31" s="1">
        <f>SUM(J85:Q85)</f>
        <v/>
      </c>
      <c r="F31" s="1">
        <f>(MIN(C31,D85)*Y85+(MIN(H85,AA85)-MIN(H85,(V85-MIN(C31,D85))/($B$85*24*$L$6)))*AB85)*IF(Q85&lt;0,1+Q85/SUM(J85:P85),1)</f>
        <v/>
      </c>
      <c r="G31" s="1">
        <f>((MIN(H85,(V85-MIN(C31,D85))/($B$85*24*$L$6))-MIN(MAX(H85-MIN(Supuestos!$C$26,IF(T85&gt;0,$J$6/T85,0)),0),(V85-MIN(C31,D85))/($B$85*24*$L$6)))*AB85+D31*Z85-D31/Supuestos!$B$18*X85)*IF(Q85&lt;0,1+Q85/SUM(J85:P85),1)</f>
        <v/>
      </c>
      <c r="H31" s="1">
        <f>IF(Supuestos!$E$26="Sí",R85,0)</f>
        <v/>
      </c>
      <c r="I31" s="1">
        <f>E31-J31</f>
        <v/>
      </c>
      <c r="J31" s="1">
        <f>F31+G31+H31</f>
        <v/>
      </c>
      <c r="K31" s="2">
        <f>J31/E31</f>
        <v/>
      </c>
    </row>
    <row r="32">
      <c r="A32">
        <f>A86</f>
        <v/>
      </c>
      <c r="B32" s="1">
        <f>V86</f>
        <v/>
      </c>
      <c r="C32" s="1">
        <f>Supuestos!$B$26*S86</f>
        <v/>
      </c>
      <c r="D32" s="1">
        <f>MIN($J$6*U86,E86)</f>
        <v/>
      </c>
      <c r="E32" s="1">
        <f>SUM(J86:Q86)</f>
        <v/>
      </c>
      <c r="F32" s="1">
        <f>(MIN(C32,D86)*Y86+(MIN(H86,AA86)-MIN(H86,(V86-MIN(C32,D86))/($B$86*24*$L$6)))*AB86)*IF(Q86&lt;0,1+Q86/SUM(J86:P86),1)</f>
        <v/>
      </c>
      <c r="G32" s="1">
        <f>((MIN(H86,(V86-MIN(C32,D86))/($B$86*24*$L$6))-MIN(MAX(H86-MIN(Supuestos!$C$26,IF(T86&gt;0,$J$6/T86,0)),0),(V86-MIN(C32,D86))/($B$86*24*$L$6)))*AB86+D32*Z86-D32/Supuestos!$B$18*X86)*IF(Q86&lt;0,1+Q86/SUM(J86:P86),1)</f>
        <v/>
      </c>
      <c r="H32" s="1">
        <f>IF(Supuestos!$E$26="Sí",R86,0)</f>
        <v/>
      </c>
      <c r="I32" s="1">
        <f>E32-J32</f>
        <v/>
      </c>
      <c r="J32" s="1">
        <f>F32+G32+H32</f>
        <v/>
      </c>
      <c r="K32" s="2">
        <f>J32/E32</f>
        <v/>
      </c>
    </row>
    <row r="33">
      <c r="A33">
        <f>A87</f>
        <v/>
      </c>
      <c r="B33" s="1">
        <f>V87</f>
        <v/>
      </c>
      <c r="C33" s="1">
        <f>Supuestos!$B$26*S87</f>
        <v/>
      </c>
      <c r="D33" s="1">
        <f>MIN($J$6*U87,E87)</f>
        <v/>
      </c>
      <c r="E33" s="1">
        <f>SUM(J87:Q87)</f>
        <v/>
      </c>
      <c r="F33" s="1">
        <f>(MIN(C33,D87)*Y87+(MIN(H87,AA87)-MIN(H87,(V87-MIN(C33,D87))/($B$87*24*$L$6)))*AB87)*IF(Q87&lt;0,1+Q87/SUM(J87:P87),1)</f>
        <v/>
      </c>
      <c r="G33" s="1">
        <f>((MIN(H87,(V87-MIN(C33,D87))/($B$87*24*$L$6))-MIN(MAX(H87-MIN(Supuestos!$C$26,IF(T87&gt;0,$J$6/T87,0)),0),(V87-MIN(C33,D87))/($B$87*24*$L$6)))*AB87+D33*Z87-D33/Supuestos!$B$18*X87)*IF(Q87&lt;0,1+Q87/SUM(J87:P87),1)</f>
        <v/>
      </c>
      <c r="H33" s="1">
        <f>IF(Supuestos!$E$26="Sí",R87,0)</f>
        <v/>
      </c>
      <c r="I33" s="1">
        <f>E33-J33</f>
        <v/>
      </c>
      <c r="J33" s="1">
        <f>F33+G33+H33</f>
        <v/>
      </c>
      <c r="K33" s="2">
        <f>J33/E33</f>
        <v/>
      </c>
    </row>
    <row r="34">
      <c r="A34">
        <f>A88</f>
        <v/>
      </c>
      <c r="B34" s="1">
        <f>V88</f>
        <v/>
      </c>
      <c r="C34" s="1">
        <f>Supuestos!$B$26*S88</f>
        <v/>
      </c>
      <c r="D34" s="1">
        <f>MIN($J$6*U88,E88)</f>
        <v/>
      </c>
      <c r="E34" s="1">
        <f>SUM(J88:Q88)</f>
        <v/>
      </c>
      <c r="F34" s="1">
        <f>(MIN(C34,D88)*Y88+(MIN(H88,AA88)-MIN(H88,(V88-MIN(C34,D88))/($B$88*24*$L$6)))*AB88)*IF(Q88&lt;0,1+Q88/SUM(J88:P88),1)</f>
        <v/>
      </c>
      <c r="G34" s="1">
        <f>((MIN(H88,(V88-MIN(C34,D88))/($B$88*24*$L$6))-MIN(MAX(H88-MIN(Supuestos!$C$26,IF(T88&gt;0,$J$6/T88,0)),0),(V88-MIN(C34,D88))/($B$88*24*$L$6)))*AB88+D34*Z88-D34/Supuestos!$B$18*X88)*IF(Q88&lt;0,1+Q88/SUM(J88:P88),1)</f>
        <v/>
      </c>
      <c r="H34" s="1">
        <f>IF(Supuestos!$E$26="Sí",R88,0)</f>
        <v/>
      </c>
      <c r="I34" s="1">
        <f>E34-J34</f>
        <v/>
      </c>
      <c r="J34" s="1">
        <f>F34+G34+H34</f>
        <v/>
      </c>
      <c r="K34" s="2">
        <f>J34/E34</f>
        <v/>
      </c>
    </row>
    <row r="35">
      <c r="A35">
        <f>A89</f>
        <v/>
      </c>
      <c r="B35" s="1">
        <f>V89</f>
        <v/>
      </c>
      <c r="C35" s="1">
        <f>Supuestos!$B$26*S89</f>
        <v/>
      </c>
      <c r="D35" s="1">
        <f>MIN($J$6*U89,E89)</f>
        <v/>
      </c>
      <c r="E35" s="1">
        <f>SUM(J89:Q89)</f>
        <v/>
      </c>
      <c r="F35" s="1">
        <f>(MIN(C35,D89)*Y89+(MIN(H89,AA89)-MIN(H89,(V89-MIN(C35,D89))/($B$89*24*$L$6)))*AB89)*IF(Q89&lt;0,1+Q89/SUM(J89:P89),1)</f>
        <v/>
      </c>
      <c r="G35" s="1">
        <f>((MIN(H89,(V89-MIN(C35,D89))/($B$89*24*$L$6))-MIN(MAX(H89-MIN(Supuestos!$C$26,IF(T89&gt;0,$J$6/T89,0)),0),(V89-MIN(C35,D89))/($B$89*24*$L$6)))*AB89+D35*Z89-D35/Supuestos!$B$18*X89)*IF(Q89&lt;0,1+Q89/SUM(J89:P89),1)</f>
        <v/>
      </c>
      <c r="H35" s="1">
        <f>IF(Supuestos!$E$26="Sí",R89,0)</f>
        <v/>
      </c>
      <c r="I35" s="1">
        <f>E35-J35</f>
        <v/>
      </c>
      <c r="J35" s="1">
        <f>F35+G35+H35</f>
        <v/>
      </c>
      <c r="K35" s="2">
        <f>J35/E35</f>
        <v/>
      </c>
    </row>
    <row r="36">
      <c r="A36">
        <f>A90</f>
        <v/>
      </c>
      <c r="B36" s="1">
        <f>V90</f>
        <v/>
      </c>
      <c r="C36" s="1">
        <f>Supuestos!$B$26*S90</f>
        <v/>
      </c>
      <c r="D36" s="1">
        <f>MIN($J$6*U90,E90)</f>
        <v/>
      </c>
      <c r="E36" s="1">
        <f>SUM(J90:Q90)</f>
        <v/>
      </c>
      <c r="F36" s="1">
        <f>(MIN(C36,D90)*Y90+(MIN(H90,AA90)-MIN(H90,(V90-MIN(C36,D90))/($B$90*24*$L$6)))*AB90)*IF(Q90&lt;0,1+Q90/SUM(J90:P90),1)</f>
        <v/>
      </c>
      <c r="G36" s="1">
        <f>((MIN(H90,(V90-MIN(C36,D90))/($B$90*24*$L$6))-MIN(MAX(H90-MIN(Supuestos!$C$26,IF(T90&gt;0,$J$6/T90,0)),0),(V90-MIN(C36,D90))/($B$90*24*$L$6)))*AB90+D36*Z90-D36/Supuestos!$B$18*X90)*IF(Q90&lt;0,1+Q90/SUM(J90:P90),1)</f>
        <v/>
      </c>
      <c r="H36" s="1">
        <f>IF(Supuestos!$E$26="Sí",R90,0)</f>
        <v/>
      </c>
      <c r="I36" s="1">
        <f>E36-J36</f>
        <v/>
      </c>
      <c r="J36" s="1">
        <f>F36+G36+H36</f>
        <v/>
      </c>
      <c r="K36" s="2">
        <f>J36/E36</f>
        <v/>
      </c>
    </row>
    <row r="37">
      <c r="A37">
        <f>A91</f>
        <v/>
      </c>
      <c r="B37" s="1">
        <f>V91</f>
        <v/>
      </c>
      <c r="C37" s="1">
        <f>Supuestos!$B$26*S91</f>
        <v/>
      </c>
      <c r="D37" s="1">
        <f>MIN($J$6*U91,E91)</f>
        <v/>
      </c>
      <c r="E37" s="1">
        <f>SUM(J91:Q91)</f>
        <v/>
      </c>
      <c r="F37" s="1">
        <f>(MIN(C37,D91)*Y91+(MIN(H91,AA91)-MIN(H91,(V91-MIN(C37,D91))/($B$91*24*$L$6)))*AB91)*IF(Q91&lt;0,1+Q91/SUM(J91:P91),1)</f>
        <v/>
      </c>
      <c r="G37" s="1">
        <f>((MIN(H91,(V91-MIN(C37,D91))/($B$91*24*$L$6))-MIN(MAX(H91-MIN(Supuestos!$C$26,IF(T91&gt;0,$J$6/T91,0)),0),(V91-MIN(C37,D91))/($B$91*24*$L$6)))*AB91+D37*Z91-D37/Supuestos!$B$18*X91)*IF(Q91&lt;0,1+Q91/SUM(J91:P91),1)</f>
        <v/>
      </c>
      <c r="H37" s="1">
        <f>IF(Supuestos!$E$26="Sí",R91,0)</f>
        <v/>
      </c>
      <c r="I37" s="1">
        <f>E37-J37</f>
        <v/>
      </c>
      <c r="J37" s="1">
        <f>F37+G37+H37</f>
        <v/>
      </c>
      <c r="K37" s="2">
        <f>J37/E37</f>
        <v/>
      </c>
    </row>
    <row r="38">
      <c r="A38" s="17" t="inlineStr">
        <is>
          <t>TOTAL</t>
        </is>
      </c>
      <c r="B38" s="22">
        <f>SUM(B26:B37)</f>
        <v/>
      </c>
      <c r="C38" s="22">
        <f>SUM(C26:C37)</f>
        <v/>
      </c>
      <c r="D38" s="22">
        <f>SUM(D26:D37)</f>
        <v/>
      </c>
      <c r="E38" s="22">
        <f>SUM(E26:E37)</f>
        <v/>
      </c>
      <c r="F38" s="22">
        <f>SUM(F26:F37)</f>
        <v/>
      </c>
      <c r="G38" s="22">
        <f>SUM(G26:G37)</f>
        <v/>
      </c>
      <c r="H38" s="22">
        <f>SUM(H26:H37)</f>
        <v/>
      </c>
      <c r="I38" s="22">
        <f>SUM(I26:I37)</f>
        <v/>
      </c>
      <c r="J38" s="22">
        <f>SUM(J26:J37)</f>
        <v/>
      </c>
      <c r="K38" s="23">
        <f>J38/E38</f>
        <v/>
      </c>
    </row>
    <row r="39">
      <c r="A39" s="5" t="inlineStr">
        <is>
          <t>Factor anualización (12/meses):</t>
        </is>
      </c>
      <c r="B39" s="24" t="n">
        <v>1</v>
      </c>
    </row>
    <row r="40">
      <c r="A40" s="6" t="inlineStr">
        <is>
          <t>4. PROYECCIÓN 20 AÑOS — Comprar vs PPA/Ahorro compartido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12" t="inlineStr">
        <is>
          <t>Año</t>
        </is>
      </c>
      <c r="B41" s="12" t="inlineStr">
        <is>
          <t>Tarifa Actual $</t>
        </is>
      </c>
      <c r="C41" s="12" t="inlineStr">
        <is>
          <t>Ah PV $</t>
        </is>
      </c>
      <c r="D41" s="12" t="inlineStr">
        <is>
          <t>Ah BESS $</t>
        </is>
      </c>
      <c r="E41" s="12" t="inlineStr">
        <is>
          <t>Ah FP $</t>
        </is>
      </c>
      <c r="F41" s="12" t="inlineStr">
        <is>
          <t>Costo c/proy $</t>
        </is>
      </c>
      <c r="G41" s="12" t="inlineStr">
        <is>
          <t>Flujo Compra $</t>
        </is>
      </c>
      <c r="H41" s="12" t="inlineStr">
        <is>
          <t>Pago PPA $</t>
        </is>
      </c>
      <c r="I41" s="12" t="inlineStr">
        <is>
          <t>Comisión $</t>
        </is>
      </c>
      <c r="J41" s="12" t="inlineStr">
        <is>
          <t>Flujo Cliente PPA $</t>
        </is>
      </c>
      <c r="K41" s="12" t="inlineStr">
        <is>
          <t>Flujo Financiador $</t>
        </is>
      </c>
      <c r="L41" s="12" t="inlineStr">
        <is>
          <t>Acum Compra $</t>
        </is>
      </c>
      <c r="M41" s="12" t="inlineStr">
        <is>
          <t>Acum Cliente PPA $</t>
        </is>
      </c>
    </row>
    <row r="42">
      <c r="A42" t="n">
        <v>0</v>
      </c>
      <c r="G42" s="1">
        <f>-B22</f>
        <v/>
      </c>
      <c r="K42" s="1">
        <f>-B22</f>
        <v/>
      </c>
      <c r="L42" s="1">
        <f>G42</f>
        <v/>
      </c>
      <c r="M42" s="1" t="n">
        <v>0</v>
      </c>
    </row>
    <row r="43">
      <c r="A43" t="n">
        <v>1</v>
      </c>
      <c r="B43" s="1">
        <f>$E$38*$B$39*(1+Supuestos!$B$8)^1</f>
        <v/>
      </c>
      <c r="C43" s="1">
        <f>$F$38*$B$39*(1+Supuestos!$B$8)^1*((1-Supuestos!$B$11)*(1-Supuestos!$B$12)^0)</f>
        <v/>
      </c>
      <c r="D43" s="1">
        <f>$G$38*$B$39*(1+Supuestos!$B$8)^1*(1-Supuestos!$B$13)^1*Supuestos!$B$10</f>
        <v/>
      </c>
      <c r="E43" s="1">
        <f>$H$38*$B$39*(1+Supuestos!$B$8)^1</f>
        <v/>
      </c>
      <c r="F43" s="1">
        <f>B43-C43-D43-E43</f>
        <v/>
      </c>
      <c r="G43" s="1">
        <f>C43+D43+E43-(IF(1&lt;=Supuestos!$J$26,Supuestos!$B$19*Supuestos!$B$26*(1+Supuestos!$B$8)^0,0)+IF(1&lt;=Supuestos!$B$22,Supuestos!$B$20*Supuestos!$D$26*(1+Supuestos!$B$8)^0,0))</f>
        <v/>
      </c>
      <c r="H43" s="1">
        <f>IF(1&lt;=Supuestos!$J$26,$C$38*$B$39*((1-Supuestos!$B$11)*(1-Supuestos!$B$12)^0)*Supuestos!$I$26*(1+Supuestos!$B$9)^0,0)</f>
        <v/>
      </c>
      <c r="I43" s="1">
        <f>IF(1&lt;=Supuestos!$B$22,D43*Supuestos!$K$26,0)</f>
        <v/>
      </c>
      <c r="J43" s="1">
        <f>C43+D43+E43-H43-I43</f>
        <v/>
      </c>
      <c r="K43" s="1">
        <f>H43+I43-(IF(1&lt;=Supuestos!$J$26,Supuestos!$B$19*Supuestos!$B$26*(1+Supuestos!$B$8)^0,0)+IF(1&lt;=Supuestos!$B$22,Supuestos!$B$20*Supuestos!$D$26*(1+Supuestos!$B$8)^0,0))-H43*Supuestos!$B$21</f>
        <v/>
      </c>
      <c r="L43" s="1">
        <f>L42+G43</f>
        <v/>
      </c>
      <c r="M43" s="1">
        <f>M42+J43</f>
        <v/>
      </c>
    </row>
    <row r="44">
      <c r="A44" t="n">
        <v>2</v>
      </c>
      <c r="B44" s="1">
        <f>$E$38*$B$39*(1+Supuestos!$B$8)^2</f>
        <v/>
      </c>
      <c r="C44" s="1">
        <f>$F$38*$B$39*(1+Supuestos!$B$8)^2*((1-Supuestos!$B$11)*(1-Supuestos!$B$12)^1)</f>
        <v/>
      </c>
      <c r="D44" s="1">
        <f>$G$38*$B$39*(1+Supuestos!$B$8)^2*(1-Supuestos!$B$13)^2*Supuestos!$B$10</f>
        <v/>
      </c>
      <c r="E44" s="1">
        <f>$H$38*$B$39*(1+Supuestos!$B$8)^2</f>
        <v/>
      </c>
      <c r="F44" s="1">
        <f>B44-C44-D44-E44</f>
        <v/>
      </c>
      <c r="G44" s="1">
        <f>C44+D44+E44-(IF(2&lt;=Supuestos!$J$26,Supuestos!$B$19*Supuestos!$B$26*(1+Supuestos!$B$8)^1,0)+IF(2&lt;=Supuestos!$B$22,Supuestos!$B$20*Supuestos!$D$26*(1+Supuestos!$B$8)^1,0))</f>
        <v/>
      </c>
      <c r="H44" s="1">
        <f>IF(2&lt;=Supuestos!$J$26,$C$38*$B$39*((1-Supuestos!$B$11)*(1-Supuestos!$B$12)^1)*Supuestos!$I$26*(1+Supuestos!$B$9)^1,0)</f>
        <v/>
      </c>
      <c r="I44" s="1">
        <f>IF(2&lt;=Supuestos!$B$22,D44*Supuestos!$K$26,0)</f>
        <v/>
      </c>
      <c r="J44" s="1">
        <f>C44+D44+E44-H44-I44</f>
        <v/>
      </c>
      <c r="K44" s="1">
        <f>H44+I44-(IF(2&lt;=Supuestos!$J$26,Supuestos!$B$19*Supuestos!$B$26*(1+Supuestos!$B$8)^1,0)+IF(2&lt;=Supuestos!$B$22,Supuestos!$B$20*Supuestos!$D$26*(1+Supuestos!$B$8)^1,0))-H44*Supuestos!$B$21</f>
        <v/>
      </c>
      <c r="L44" s="1">
        <f>L43+G44</f>
        <v/>
      </c>
      <c r="M44" s="1">
        <f>M43+J44</f>
        <v/>
      </c>
    </row>
    <row r="45">
      <c r="A45" t="n">
        <v>3</v>
      </c>
      <c r="B45" s="1">
        <f>$E$38*$B$39*(1+Supuestos!$B$8)^3</f>
        <v/>
      </c>
      <c r="C45" s="1">
        <f>$F$38*$B$39*(1+Supuestos!$B$8)^3*((1-Supuestos!$B$11)*(1-Supuestos!$B$12)^2)</f>
        <v/>
      </c>
      <c r="D45" s="1">
        <f>$G$38*$B$39*(1+Supuestos!$B$8)^3*(1-Supuestos!$B$13)^3*Supuestos!$B$10</f>
        <v/>
      </c>
      <c r="E45" s="1">
        <f>$H$38*$B$39*(1+Supuestos!$B$8)^3</f>
        <v/>
      </c>
      <c r="F45" s="1">
        <f>B45-C45-D45-E45</f>
        <v/>
      </c>
      <c r="G45" s="1">
        <f>C45+D45+E45-(IF(3&lt;=Supuestos!$J$26,Supuestos!$B$19*Supuestos!$B$26*(1+Supuestos!$B$8)^2,0)+IF(3&lt;=Supuestos!$B$22,Supuestos!$B$20*Supuestos!$D$26*(1+Supuestos!$B$8)^2,0))</f>
        <v/>
      </c>
      <c r="H45" s="1">
        <f>IF(3&lt;=Supuestos!$J$26,$C$38*$B$39*((1-Supuestos!$B$11)*(1-Supuestos!$B$12)^2)*Supuestos!$I$26*(1+Supuestos!$B$9)^2,0)</f>
        <v/>
      </c>
      <c r="I45" s="1">
        <f>IF(3&lt;=Supuestos!$B$22,D45*Supuestos!$K$26,0)</f>
        <v/>
      </c>
      <c r="J45" s="1">
        <f>C45+D45+E45-H45-I45</f>
        <v/>
      </c>
      <c r="K45" s="1">
        <f>H45+I45-(IF(3&lt;=Supuestos!$J$26,Supuestos!$B$19*Supuestos!$B$26*(1+Supuestos!$B$8)^2,0)+IF(3&lt;=Supuestos!$B$22,Supuestos!$B$20*Supuestos!$D$26*(1+Supuestos!$B$8)^2,0))-H45*Supuestos!$B$21</f>
        <v/>
      </c>
      <c r="L45" s="1">
        <f>L44+G45</f>
        <v/>
      </c>
      <c r="M45" s="1">
        <f>M44+J45</f>
        <v/>
      </c>
    </row>
    <row r="46">
      <c r="A46" t="n">
        <v>4</v>
      </c>
      <c r="B46" s="1">
        <f>$E$38*$B$39*(1+Supuestos!$B$8)^4</f>
        <v/>
      </c>
      <c r="C46" s="1">
        <f>$F$38*$B$39*(1+Supuestos!$B$8)^4*((1-Supuestos!$B$11)*(1-Supuestos!$B$12)^3)</f>
        <v/>
      </c>
      <c r="D46" s="1">
        <f>$G$38*$B$39*(1+Supuestos!$B$8)^4*(1-Supuestos!$B$13)^4*Supuestos!$B$10</f>
        <v/>
      </c>
      <c r="E46" s="1">
        <f>$H$38*$B$39*(1+Supuestos!$B$8)^4</f>
        <v/>
      </c>
      <c r="F46" s="1">
        <f>B46-C46-D46-E46</f>
        <v/>
      </c>
      <c r="G46" s="1">
        <f>C46+D46+E46-(IF(4&lt;=Supuestos!$J$26,Supuestos!$B$19*Supuestos!$B$26*(1+Supuestos!$B$8)^3,0)+IF(4&lt;=Supuestos!$B$22,Supuestos!$B$20*Supuestos!$D$26*(1+Supuestos!$B$8)^3,0))</f>
        <v/>
      </c>
      <c r="H46" s="1">
        <f>IF(4&lt;=Supuestos!$J$26,$C$38*$B$39*((1-Supuestos!$B$11)*(1-Supuestos!$B$12)^3)*Supuestos!$I$26*(1+Supuestos!$B$9)^3,0)</f>
        <v/>
      </c>
      <c r="I46" s="1">
        <f>IF(4&lt;=Supuestos!$B$22,D46*Supuestos!$K$26,0)</f>
        <v/>
      </c>
      <c r="J46" s="1">
        <f>C46+D46+E46-H46-I46</f>
        <v/>
      </c>
      <c r="K46" s="1">
        <f>H46+I46-(IF(4&lt;=Supuestos!$J$26,Supuestos!$B$19*Supuestos!$B$26*(1+Supuestos!$B$8)^3,0)+IF(4&lt;=Supuestos!$B$22,Supuestos!$B$20*Supuestos!$D$26*(1+Supuestos!$B$8)^3,0))-H46*Supuestos!$B$21</f>
        <v/>
      </c>
      <c r="L46" s="1">
        <f>L45+G46</f>
        <v/>
      </c>
      <c r="M46" s="1">
        <f>M45+J46</f>
        <v/>
      </c>
    </row>
    <row r="47">
      <c r="A47" t="n">
        <v>5</v>
      </c>
      <c r="B47" s="1">
        <f>$E$38*$B$39*(1+Supuestos!$B$8)^5</f>
        <v/>
      </c>
      <c r="C47" s="1">
        <f>$F$38*$B$39*(1+Supuestos!$B$8)^5*((1-Supuestos!$B$11)*(1-Supuestos!$B$12)^4)</f>
        <v/>
      </c>
      <c r="D47" s="1">
        <f>$G$38*$B$39*(1+Supuestos!$B$8)^5*(1-Supuestos!$B$13)^5*Supuestos!$B$10</f>
        <v/>
      </c>
      <c r="E47" s="1">
        <f>$H$38*$B$39*(1+Supuestos!$B$8)^5</f>
        <v/>
      </c>
      <c r="F47" s="1">
        <f>B47-C47-D47-E47</f>
        <v/>
      </c>
      <c r="G47" s="1">
        <f>C47+D47+E47-(IF(5&lt;=Supuestos!$J$26,Supuestos!$B$19*Supuestos!$B$26*(1+Supuestos!$B$8)^4,0)+IF(5&lt;=Supuestos!$B$22,Supuestos!$B$20*Supuestos!$D$26*(1+Supuestos!$B$8)^4,0))</f>
        <v/>
      </c>
      <c r="H47" s="1">
        <f>IF(5&lt;=Supuestos!$J$26,$C$38*$B$39*((1-Supuestos!$B$11)*(1-Supuestos!$B$12)^4)*Supuestos!$I$26*(1+Supuestos!$B$9)^4,0)</f>
        <v/>
      </c>
      <c r="I47" s="1">
        <f>IF(5&lt;=Supuestos!$B$22,D47*Supuestos!$K$26,0)</f>
        <v/>
      </c>
      <c r="J47" s="1">
        <f>C47+D47+E47-H47-I47</f>
        <v/>
      </c>
      <c r="K47" s="1">
        <f>H47+I47-(IF(5&lt;=Supuestos!$J$26,Supuestos!$B$19*Supuestos!$B$26*(1+Supuestos!$B$8)^4,0)+IF(5&lt;=Supuestos!$B$22,Supuestos!$B$20*Supuestos!$D$26*(1+Supuestos!$B$8)^4,0))-H47*Supuestos!$B$21</f>
        <v/>
      </c>
      <c r="L47" s="1">
        <f>L46+G47</f>
        <v/>
      </c>
      <c r="M47" s="1">
        <f>M46+J47</f>
        <v/>
      </c>
    </row>
    <row r="48">
      <c r="A48" t="n">
        <v>6</v>
      </c>
      <c r="B48" s="1">
        <f>$E$38*$B$39*(1+Supuestos!$B$8)^6</f>
        <v/>
      </c>
      <c r="C48" s="1">
        <f>$F$38*$B$39*(1+Supuestos!$B$8)^6*((1-Supuestos!$B$11)*(1-Supuestos!$B$12)^5)</f>
        <v/>
      </c>
      <c r="D48" s="1">
        <f>$G$38*$B$39*(1+Supuestos!$B$8)^6*(1-Supuestos!$B$13)^6*Supuestos!$B$10</f>
        <v/>
      </c>
      <c r="E48" s="1">
        <f>$H$38*$B$39*(1+Supuestos!$B$8)^6</f>
        <v/>
      </c>
      <c r="F48" s="1">
        <f>B48-C48-D48-E48</f>
        <v/>
      </c>
      <c r="G48" s="1">
        <f>C48+D48+E48-(IF(6&lt;=Supuestos!$J$26,Supuestos!$B$19*Supuestos!$B$26*(1+Supuestos!$B$8)^5,0)+IF(6&lt;=Supuestos!$B$22,Supuestos!$B$20*Supuestos!$D$26*(1+Supuestos!$B$8)^5,0))</f>
        <v/>
      </c>
      <c r="H48" s="1">
        <f>IF(6&lt;=Supuestos!$J$26,$C$38*$B$39*((1-Supuestos!$B$11)*(1-Supuestos!$B$12)^5)*Supuestos!$I$26*(1+Supuestos!$B$9)^5,0)</f>
        <v/>
      </c>
      <c r="I48" s="1">
        <f>IF(6&lt;=Supuestos!$B$22,D48*Supuestos!$K$26,0)</f>
        <v/>
      </c>
      <c r="J48" s="1">
        <f>C48+D48+E48-H48-I48</f>
        <v/>
      </c>
      <c r="K48" s="1">
        <f>H48+I48-(IF(6&lt;=Supuestos!$J$26,Supuestos!$B$19*Supuestos!$B$26*(1+Supuestos!$B$8)^5,0)+IF(6&lt;=Supuestos!$B$22,Supuestos!$B$20*Supuestos!$D$26*(1+Supuestos!$B$8)^5,0))-H48*Supuestos!$B$21</f>
        <v/>
      </c>
      <c r="L48" s="1">
        <f>L47+G48</f>
        <v/>
      </c>
      <c r="M48" s="1">
        <f>M47+J48</f>
        <v/>
      </c>
    </row>
    <row r="49">
      <c r="A49" t="n">
        <v>7</v>
      </c>
      <c r="B49" s="1">
        <f>$E$38*$B$39*(1+Supuestos!$B$8)^7</f>
        <v/>
      </c>
      <c r="C49" s="1">
        <f>$F$38*$B$39*(1+Supuestos!$B$8)^7*((1-Supuestos!$B$11)*(1-Supuestos!$B$12)^6)</f>
        <v/>
      </c>
      <c r="D49" s="1">
        <f>$G$38*$B$39*(1+Supuestos!$B$8)^7*(1-Supuestos!$B$13)^7*Supuestos!$B$10</f>
        <v/>
      </c>
      <c r="E49" s="1">
        <f>$H$38*$B$39*(1+Supuestos!$B$8)^7</f>
        <v/>
      </c>
      <c r="F49" s="1">
        <f>B49-C49-D49-E49</f>
        <v/>
      </c>
      <c r="G49" s="1">
        <f>C49+D49+E49-(IF(7&lt;=Supuestos!$J$26,Supuestos!$B$19*Supuestos!$B$26*(1+Supuestos!$B$8)^6,0)+IF(7&lt;=Supuestos!$B$22,Supuestos!$B$20*Supuestos!$D$26*(1+Supuestos!$B$8)^6,0))</f>
        <v/>
      </c>
      <c r="H49" s="1">
        <f>IF(7&lt;=Supuestos!$J$26,$C$38*$B$39*((1-Supuestos!$B$11)*(1-Supuestos!$B$12)^6)*Supuestos!$I$26*(1+Supuestos!$B$9)^6,0)</f>
        <v/>
      </c>
      <c r="I49" s="1">
        <f>IF(7&lt;=Supuestos!$B$22,D49*Supuestos!$K$26,0)</f>
        <v/>
      </c>
      <c r="J49" s="1">
        <f>C49+D49+E49-H49-I49</f>
        <v/>
      </c>
      <c r="K49" s="1">
        <f>H49+I49-(IF(7&lt;=Supuestos!$J$26,Supuestos!$B$19*Supuestos!$B$26*(1+Supuestos!$B$8)^6,0)+IF(7&lt;=Supuestos!$B$22,Supuestos!$B$20*Supuestos!$D$26*(1+Supuestos!$B$8)^6,0))-H49*Supuestos!$B$21</f>
        <v/>
      </c>
      <c r="L49" s="1">
        <f>L48+G49</f>
        <v/>
      </c>
      <c r="M49" s="1">
        <f>M48+J49</f>
        <v/>
      </c>
    </row>
    <row r="50">
      <c r="A50" t="n">
        <v>8</v>
      </c>
      <c r="B50" s="1">
        <f>$E$38*$B$39*(1+Supuestos!$B$8)^8</f>
        <v/>
      </c>
      <c r="C50" s="1">
        <f>$F$38*$B$39*(1+Supuestos!$B$8)^8*((1-Supuestos!$B$11)*(1-Supuestos!$B$12)^7)</f>
        <v/>
      </c>
      <c r="D50" s="1">
        <f>$G$38*$B$39*(1+Supuestos!$B$8)^8*(1-Supuestos!$B$13)^8*Supuestos!$B$10</f>
        <v/>
      </c>
      <c r="E50" s="1">
        <f>$H$38*$B$39*(1+Supuestos!$B$8)^8</f>
        <v/>
      </c>
      <c r="F50" s="1">
        <f>B50-C50-D50-E50</f>
        <v/>
      </c>
      <c r="G50" s="1">
        <f>C50+D50+E50-(IF(8&lt;=Supuestos!$J$26,Supuestos!$B$19*Supuestos!$B$26*(1+Supuestos!$B$8)^7,0)+IF(8&lt;=Supuestos!$B$22,Supuestos!$B$20*Supuestos!$D$26*(1+Supuestos!$B$8)^7,0))</f>
        <v/>
      </c>
      <c r="H50" s="1">
        <f>IF(8&lt;=Supuestos!$J$26,$C$38*$B$39*((1-Supuestos!$B$11)*(1-Supuestos!$B$12)^7)*Supuestos!$I$26*(1+Supuestos!$B$9)^7,0)</f>
        <v/>
      </c>
      <c r="I50" s="1">
        <f>IF(8&lt;=Supuestos!$B$22,D50*Supuestos!$K$26,0)</f>
        <v/>
      </c>
      <c r="J50" s="1">
        <f>C50+D50+E50-H50-I50</f>
        <v/>
      </c>
      <c r="K50" s="1">
        <f>H50+I50-(IF(8&lt;=Supuestos!$J$26,Supuestos!$B$19*Supuestos!$B$26*(1+Supuestos!$B$8)^7,0)+IF(8&lt;=Supuestos!$B$22,Supuestos!$B$20*Supuestos!$D$26*(1+Supuestos!$B$8)^7,0))-H50*Supuestos!$B$21</f>
        <v/>
      </c>
      <c r="L50" s="1">
        <f>L49+G50</f>
        <v/>
      </c>
      <c r="M50" s="1">
        <f>M49+J50</f>
        <v/>
      </c>
    </row>
    <row r="51">
      <c r="A51" t="n">
        <v>9</v>
      </c>
      <c r="B51" s="1">
        <f>$E$38*$B$39*(1+Supuestos!$B$8)^9</f>
        <v/>
      </c>
      <c r="C51" s="1">
        <f>$F$38*$B$39*(1+Supuestos!$B$8)^9*((1-Supuestos!$B$11)*(1-Supuestos!$B$12)^8)</f>
        <v/>
      </c>
      <c r="D51" s="1">
        <f>$G$38*$B$39*(1+Supuestos!$B$8)^9*(1-Supuestos!$B$13)^9*Supuestos!$B$10</f>
        <v/>
      </c>
      <c r="E51" s="1">
        <f>$H$38*$B$39*(1+Supuestos!$B$8)^9</f>
        <v/>
      </c>
      <c r="F51" s="1">
        <f>B51-C51-D51-E51</f>
        <v/>
      </c>
      <c r="G51" s="1">
        <f>C51+D51+E51-(IF(9&lt;=Supuestos!$J$26,Supuestos!$B$19*Supuestos!$B$26*(1+Supuestos!$B$8)^8,0)+IF(9&lt;=Supuestos!$B$22,Supuestos!$B$20*Supuestos!$D$26*(1+Supuestos!$B$8)^8,0))</f>
        <v/>
      </c>
      <c r="H51" s="1">
        <f>IF(9&lt;=Supuestos!$J$26,$C$38*$B$39*((1-Supuestos!$B$11)*(1-Supuestos!$B$12)^8)*Supuestos!$I$26*(1+Supuestos!$B$9)^8,0)</f>
        <v/>
      </c>
      <c r="I51" s="1">
        <f>IF(9&lt;=Supuestos!$B$22,D51*Supuestos!$K$26,0)</f>
        <v/>
      </c>
      <c r="J51" s="1">
        <f>C51+D51+E51-H51-I51</f>
        <v/>
      </c>
      <c r="K51" s="1">
        <f>H51+I51-(IF(9&lt;=Supuestos!$J$26,Supuestos!$B$19*Supuestos!$B$26*(1+Supuestos!$B$8)^8,0)+IF(9&lt;=Supuestos!$B$22,Supuestos!$B$20*Supuestos!$D$26*(1+Supuestos!$B$8)^8,0))-H51*Supuestos!$B$21</f>
        <v/>
      </c>
      <c r="L51" s="1">
        <f>L50+G51</f>
        <v/>
      </c>
      <c r="M51" s="1">
        <f>M50+J51</f>
        <v/>
      </c>
    </row>
    <row r="52">
      <c r="A52" t="n">
        <v>10</v>
      </c>
      <c r="B52" s="1">
        <f>$E$38*$B$39*(1+Supuestos!$B$8)^10</f>
        <v/>
      </c>
      <c r="C52" s="1">
        <f>$F$38*$B$39*(1+Supuestos!$B$8)^10*((1-Supuestos!$B$11)*(1-Supuestos!$B$12)^9)</f>
        <v/>
      </c>
      <c r="D52" s="1">
        <f>$G$38*$B$39*(1+Supuestos!$B$8)^10*(1-Supuestos!$B$13)^10*Supuestos!$B$10</f>
        <v/>
      </c>
      <c r="E52" s="1">
        <f>$H$38*$B$39*(1+Supuestos!$B$8)^10</f>
        <v/>
      </c>
      <c r="F52" s="1">
        <f>B52-C52-D52-E52</f>
        <v/>
      </c>
      <c r="G52" s="1">
        <f>C52+D52+E52-(IF(10&lt;=Supuestos!$J$26,Supuestos!$B$19*Supuestos!$B$26*(1+Supuestos!$B$8)^9,0)+IF(10&lt;=Supuestos!$B$22,Supuestos!$B$20*Supuestos!$D$26*(1+Supuestos!$B$8)^9,0))</f>
        <v/>
      </c>
      <c r="H52" s="1">
        <f>IF(10&lt;=Supuestos!$J$26,$C$38*$B$39*((1-Supuestos!$B$11)*(1-Supuestos!$B$12)^9)*Supuestos!$I$26*(1+Supuestos!$B$9)^9,0)</f>
        <v/>
      </c>
      <c r="I52" s="1">
        <f>IF(10&lt;=Supuestos!$B$22,D52*Supuestos!$K$26,0)</f>
        <v/>
      </c>
      <c r="J52" s="1">
        <f>C52+D52+E52-H52-I52</f>
        <v/>
      </c>
      <c r="K52" s="1">
        <f>H52+I52-(IF(10&lt;=Supuestos!$J$26,Supuestos!$B$19*Supuestos!$B$26*(1+Supuestos!$B$8)^9,0)+IF(10&lt;=Supuestos!$B$22,Supuestos!$B$20*Supuestos!$D$26*(1+Supuestos!$B$8)^9,0))-H52*Supuestos!$B$21</f>
        <v/>
      </c>
      <c r="L52" s="1">
        <f>L51+G52</f>
        <v/>
      </c>
      <c r="M52" s="1">
        <f>M51+J52</f>
        <v/>
      </c>
    </row>
    <row r="53">
      <c r="A53" t="n">
        <v>11</v>
      </c>
      <c r="B53" s="1">
        <f>$E$38*$B$39*(1+Supuestos!$B$8)^11</f>
        <v/>
      </c>
      <c r="C53" s="1">
        <f>$F$38*$B$39*(1+Supuestos!$B$8)^11*((1-Supuestos!$B$11)*(1-Supuestos!$B$12)^10)</f>
        <v/>
      </c>
      <c r="D53" s="1">
        <f>$G$38*$B$39*(1+Supuestos!$B$8)^11*(1-Supuestos!$B$13)^11*Supuestos!$B$10</f>
        <v/>
      </c>
      <c r="E53" s="1">
        <f>$H$38*$B$39*(1+Supuestos!$B$8)^11</f>
        <v/>
      </c>
      <c r="F53" s="1">
        <f>B53-C53-D53-E53</f>
        <v/>
      </c>
      <c r="G53" s="1">
        <f>C53+D53+E53-(IF(11&lt;=Supuestos!$J$26,Supuestos!$B$19*Supuestos!$B$26*(1+Supuestos!$B$8)^10,0)+IF(11&lt;=Supuestos!$B$22,Supuestos!$B$20*Supuestos!$D$26*(1+Supuestos!$B$8)^10,0))</f>
        <v/>
      </c>
      <c r="H53" s="1">
        <f>IF(11&lt;=Supuestos!$J$26,$C$38*$B$39*((1-Supuestos!$B$11)*(1-Supuestos!$B$12)^10)*Supuestos!$I$26*(1+Supuestos!$B$9)^10,0)</f>
        <v/>
      </c>
      <c r="I53" s="1">
        <f>IF(11&lt;=Supuestos!$B$22,D53*Supuestos!$K$26,0)</f>
        <v/>
      </c>
      <c r="J53" s="1">
        <f>C53+D53+E53-H53-I53</f>
        <v/>
      </c>
      <c r="K53" s="1">
        <f>H53+I53-(IF(11&lt;=Supuestos!$J$26,Supuestos!$B$19*Supuestos!$B$26*(1+Supuestos!$B$8)^10,0)+IF(11&lt;=Supuestos!$B$22,Supuestos!$B$20*Supuestos!$D$26*(1+Supuestos!$B$8)^10,0))-H53*Supuestos!$B$21</f>
        <v/>
      </c>
      <c r="L53" s="1">
        <f>L52+G53</f>
        <v/>
      </c>
      <c r="M53" s="1">
        <f>M52+J53</f>
        <v/>
      </c>
    </row>
    <row r="54">
      <c r="A54" t="n">
        <v>12</v>
      </c>
      <c r="B54" s="1">
        <f>$E$38*$B$39*(1+Supuestos!$B$8)^12</f>
        <v/>
      </c>
      <c r="C54" s="1">
        <f>$F$38*$B$39*(1+Supuestos!$B$8)^12*((1-Supuestos!$B$11)*(1-Supuestos!$B$12)^11)</f>
        <v/>
      </c>
      <c r="D54" s="1">
        <f>$G$38*$B$39*(1+Supuestos!$B$8)^12*(1-Supuestos!$B$13)^12*Supuestos!$B$10</f>
        <v/>
      </c>
      <c r="E54" s="1">
        <f>$H$38*$B$39*(1+Supuestos!$B$8)^12</f>
        <v/>
      </c>
      <c r="F54" s="1">
        <f>B54-C54-D54-E54</f>
        <v/>
      </c>
      <c r="G54" s="1">
        <f>C54+D54+E54-(IF(12&lt;=Supuestos!$J$26,Supuestos!$B$19*Supuestos!$B$26*(1+Supuestos!$B$8)^11,0)+IF(12&lt;=Supuestos!$B$22,Supuestos!$B$20*Supuestos!$D$26*(1+Supuestos!$B$8)^11,0))</f>
        <v/>
      </c>
      <c r="H54" s="1">
        <f>IF(12&lt;=Supuestos!$J$26,$C$38*$B$39*((1-Supuestos!$B$11)*(1-Supuestos!$B$12)^11)*Supuestos!$I$26*(1+Supuestos!$B$9)^11,0)</f>
        <v/>
      </c>
      <c r="I54" s="1">
        <f>IF(12&lt;=Supuestos!$B$22,D54*Supuestos!$K$26,0)</f>
        <v/>
      </c>
      <c r="J54" s="1">
        <f>C54+D54+E54-H54-I54</f>
        <v/>
      </c>
      <c r="K54" s="1">
        <f>H54+I54-(IF(12&lt;=Supuestos!$J$26,Supuestos!$B$19*Supuestos!$B$26*(1+Supuestos!$B$8)^11,0)+IF(12&lt;=Supuestos!$B$22,Supuestos!$B$20*Supuestos!$D$26*(1+Supuestos!$B$8)^11,0))-H54*Supuestos!$B$21</f>
        <v/>
      </c>
      <c r="L54" s="1">
        <f>L53+G54</f>
        <v/>
      </c>
      <c r="M54" s="1">
        <f>M53+J54</f>
        <v/>
      </c>
    </row>
    <row r="55">
      <c r="A55" t="n">
        <v>13</v>
      </c>
      <c r="B55" s="1">
        <f>$E$38*$B$39*(1+Supuestos!$B$8)^13</f>
        <v/>
      </c>
      <c r="C55" s="1">
        <f>$F$38*$B$39*(1+Supuestos!$B$8)^13*((1-Supuestos!$B$11)*(1-Supuestos!$B$12)^12)</f>
        <v/>
      </c>
      <c r="D55" s="1">
        <f>$G$38*$B$39*(1+Supuestos!$B$8)^13*(1-Supuestos!$B$13)^13*Supuestos!$B$10</f>
        <v/>
      </c>
      <c r="E55" s="1">
        <f>$H$38*$B$39*(1+Supuestos!$B$8)^13</f>
        <v/>
      </c>
      <c r="F55" s="1">
        <f>B55-C55-D55-E55</f>
        <v/>
      </c>
      <c r="G55" s="1">
        <f>C55+D55+E55-(IF(13&lt;=Supuestos!$J$26,Supuestos!$B$19*Supuestos!$B$26*(1+Supuestos!$B$8)^12,0)+IF(13&lt;=Supuestos!$B$22,Supuestos!$B$20*Supuestos!$D$26*(1+Supuestos!$B$8)^12,0))</f>
        <v/>
      </c>
      <c r="H55" s="1">
        <f>IF(13&lt;=Supuestos!$J$26,$C$38*$B$39*((1-Supuestos!$B$11)*(1-Supuestos!$B$12)^12)*Supuestos!$I$26*(1+Supuestos!$B$9)^12,0)</f>
        <v/>
      </c>
      <c r="I55" s="1">
        <f>IF(13&lt;=Supuestos!$B$22,D55*Supuestos!$K$26,0)</f>
        <v/>
      </c>
      <c r="J55" s="1">
        <f>C55+D55+E55-H55-I55</f>
        <v/>
      </c>
      <c r="K55" s="1">
        <f>H55+I55-(IF(13&lt;=Supuestos!$J$26,Supuestos!$B$19*Supuestos!$B$26*(1+Supuestos!$B$8)^12,0)+IF(13&lt;=Supuestos!$B$22,Supuestos!$B$20*Supuestos!$D$26*(1+Supuestos!$B$8)^12,0))-H55*Supuestos!$B$21</f>
        <v/>
      </c>
      <c r="L55" s="1">
        <f>L54+G55</f>
        <v/>
      </c>
      <c r="M55" s="1">
        <f>M54+J55</f>
        <v/>
      </c>
    </row>
    <row r="56">
      <c r="A56" t="n">
        <v>14</v>
      </c>
      <c r="B56" s="1">
        <f>$E$38*$B$39*(1+Supuestos!$B$8)^14</f>
        <v/>
      </c>
      <c r="C56" s="1">
        <f>$F$38*$B$39*(1+Supuestos!$B$8)^14*((1-Supuestos!$B$11)*(1-Supuestos!$B$12)^13)</f>
        <v/>
      </c>
      <c r="D56" s="1">
        <f>$G$38*$B$39*(1+Supuestos!$B$8)^14*(1-Supuestos!$B$13)^14*Supuestos!$B$10</f>
        <v/>
      </c>
      <c r="E56" s="1">
        <f>$H$38*$B$39*(1+Supuestos!$B$8)^14</f>
        <v/>
      </c>
      <c r="F56" s="1">
        <f>B56-C56-D56-E56</f>
        <v/>
      </c>
      <c r="G56" s="1">
        <f>C56+D56+E56-(IF(14&lt;=Supuestos!$J$26,Supuestos!$B$19*Supuestos!$B$26*(1+Supuestos!$B$8)^13,0)+IF(14&lt;=Supuestos!$B$22,Supuestos!$B$20*Supuestos!$D$26*(1+Supuestos!$B$8)^13,0))</f>
        <v/>
      </c>
      <c r="H56" s="1">
        <f>IF(14&lt;=Supuestos!$J$26,$C$38*$B$39*((1-Supuestos!$B$11)*(1-Supuestos!$B$12)^13)*Supuestos!$I$26*(1+Supuestos!$B$9)^13,0)</f>
        <v/>
      </c>
      <c r="I56" s="1">
        <f>IF(14&lt;=Supuestos!$B$22,D56*Supuestos!$K$26,0)</f>
        <v/>
      </c>
      <c r="J56" s="1">
        <f>C56+D56+E56-H56-I56</f>
        <v/>
      </c>
      <c r="K56" s="1">
        <f>H56+I56-(IF(14&lt;=Supuestos!$J$26,Supuestos!$B$19*Supuestos!$B$26*(1+Supuestos!$B$8)^13,0)+IF(14&lt;=Supuestos!$B$22,Supuestos!$B$20*Supuestos!$D$26*(1+Supuestos!$B$8)^13,0))-H56*Supuestos!$B$21</f>
        <v/>
      </c>
      <c r="L56" s="1">
        <f>L55+G56</f>
        <v/>
      </c>
      <c r="M56" s="1">
        <f>M55+J56</f>
        <v/>
      </c>
    </row>
    <row r="57">
      <c r="A57" t="n">
        <v>15</v>
      </c>
      <c r="B57" s="1">
        <f>$E$38*$B$39*(1+Supuestos!$B$8)^15</f>
        <v/>
      </c>
      <c r="C57" s="1">
        <f>$F$38*$B$39*(1+Supuestos!$B$8)^15*((1-Supuestos!$B$11)*(1-Supuestos!$B$12)^14)</f>
        <v/>
      </c>
      <c r="D57" s="1">
        <f>$G$38*$B$39*(1+Supuestos!$B$8)^15*(1-Supuestos!$B$13)^15*Supuestos!$B$10</f>
        <v/>
      </c>
      <c r="E57" s="1">
        <f>$H$38*$B$39*(1+Supuestos!$B$8)^15</f>
        <v/>
      </c>
      <c r="F57" s="1">
        <f>B57-C57-D57-E57</f>
        <v/>
      </c>
      <c r="G57" s="1">
        <f>C57+D57+E57-(IF(15&lt;=Supuestos!$J$26,Supuestos!$B$19*Supuestos!$B$26*(1+Supuestos!$B$8)^14,0)+IF(15&lt;=Supuestos!$B$22,Supuestos!$B$20*Supuestos!$D$26*(1+Supuestos!$B$8)^14,0))</f>
        <v/>
      </c>
      <c r="H57" s="1">
        <f>IF(15&lt;=Supuestos!$J$26,$C$38*$B$39*((1-Supuestos!$B$11)*(1-Supuestos!$B$12)^14)*Supuestos!$I$26*(1+Supuestos!$B$9)^14,0)</f>
        <v/>
      </c>
      <c r="I57" s="1">
        <f>IF(15&lt;=Supuestos!$B$22,D57*Supuestos!$K$26,0)</f>
        <v/>
      </c>
      <c r="J57" s="1">
        <f>C57+D57+E57-H57-I57</f>
        <v/>
      </c>
      <c r="K57" s="1">
        <f>H57+I57-(IF(15&lt;=Supuestos!$J$26,Supuestos!$B$19*Supuestos!$B$26*(1+Supuestos!$B$8)^14,0)+IF(15&lt;=Supuestos!$B$22,Supuestos!$B$20*Supuestos!$D$26*(1+Supuestos!$B$8)^14,0))-H57*Supuestos!$B$21</f>
        <v/>
      </c>
      <c r="L57" s="1">
        <f>L56+G57</f>
        <v/>
      </c>
      <c r="M57" s="1">
        <f>M56+J57</f>
        <v/>
      </c>
    </row>
    <row r="58">
      <c r="A58" t="n">
        <v>16</v>
      </c>
      <c r="B58" s="1">
        <f>$E$38*$B$39*(1+Supuestos!$B$8)^16</f>
        <v/>
      </c>
      <c r="C58" s="1">
        <f>$F$38*$B$39*(1+Supuestos!$B$8)^16*((1-Supuestos!$B$11)*(1-Supuestos!$B$12)^15)</f>
        <v/>
      </c>
      <c r="D58" s="1">
        <f>$G$38*$B$39*(1+Supuestos!$B$8)^16*(1-Supuestos!$B$13)^16*Supuestos!$B$10</f>
        <v/>
      </c>
      <c r="E58" s="1">
        <f>$H$38*$B$39*(1+Supuestos!$B$8)^16</f>
        <v/>
      </c>
      <c r="F58" s="1">
        <f>B58-C58-D58-E58</f>
        <v/>
      </c>
      <c r="G58" s="1">
        <f>C58+D58+E58-(IF(16&lt;=Supuestos!$J$26,Supuestos!$B$19*Supuestos!$B$26*(1+Supuestos!$B$8)^15,0)+IF(16&lt;=Supuestos!$B$22,Supuestos!$B$20*Supuestos!$D$26*(1+Supuestos!$B$8)^15,0))</f>
        <v/>
      </c>
      <c r="H58" s="1">
        <f>IF(16&lt;=Supuestos!$J$26,$C$38*$B$39*((1-Supuestos!$B$11)*(1-Supuestos!$B$12)^15)*Supuestos!$I$26*(1+Supuestos!$B$9)^15,0)</f>
        <v/>
      </c>
      <c r="I58" s="1">
        <f>IF(16&lt;=Supuestos!$B$22,D58*Supuestos!$K$26,0)</f>
        <v/>
      </c>
      <c r="J58" s="1">
        <f>C58+D58+E58-H58-I58</f>
        <v/>
      </c>
      <c r="K58" s="1">
        <f>H58+I58-(IF(16&lt;=Supuestos!$J$26,Supuestos!$B$19*Supuestos!$B$26*(1+Supuestos!$B$8)^15,0)+IF(16&lt;=Supuestos!$B$22,Supuestos!$B$20*Supuestos!$D$26*(1+Supuestos!$B$8)^15,0))-H58*Supuestos!$B$21</f>
        <v/>
      </c>
      <c r="L58" s="1">
        <f>L57+G58</f>
        <v/>
      </c>
      <c r="M58" s="1">
        <f>M57+J58</f>
        <v/>
      </c>
    </row>
    <row r="59">
      <c r="A59" t="n">
        <v>17</v>
      </c>
      <c r="B59" s="1">
        <f>$E$38*$B$39*(1+Supuestos!$B$8)^17</f>
        <v/>
      </c>
      <c r="C59" s="1">
        <f>$F$38*$B$39*(1+Supuestos!$B$8)^17*((1-Supuestos!$B$11)*(1-Supuestos!$B$12)^16)</f>
        <v/>
      </c>
      <c r="D59" s="1">
        <f>$G$38*$B$39*(1+Supuestos!$B$8)^17*(1-Supuestos!$B$13)^17*Supuestos!$B$10</f>
        <v/>
      </c>
      <c r="E59" s="1">
        <f>$H$38*$B$39*(1+Supuestos!$B$8)^17</f>
        <v/>
      </c>
      <c r="F59" s="1">
        <f>B59-C59-D59-E59</f>
        <v/>
      </c>
      <c r="G59" s="1">
        <f>C59+D59+E59-(IF(17&lt;=Supuestos!$J$26,Supuestos!$B$19*Supuestos!$B$26*(1+Supuestos!$B$8)^16,0)+IF(17&lt;=Supuestos!$B$22,Supuestos!$B$20*Supuestos!$D$26*(1+Supuestos!$B$8)^16,0))</f>
        <v/>
      </c>
      <c r="H59" s="1">
        <f>IF(17&lt;=Supuestos!$J$26,$C$38*$B$39*((1-Supuestos!$B$11)*(1-Supuestos!$B$12)^16)*Supuestos!$I$26*(1+Supuestos!$B$9)^16,0)</f>
        <v/>
      </c>
      <c r="I59" s="1">
        <f>IF(17&lt;=Supuestos!$B$22,D59*Supuestos!$K$26,0)</f>
        <v/>
      </c>
      <c r="J59" s="1">
        <f>C59+D59+E59-H59-I59</f>
        <v/>
      </c>
      <c r="K59" s="1">
        <f>H59+I59-(IF(17&lt;=Supuestos!$J$26,Supuestos!$B$19*Supuestos!$B$26*(1+Supuestos!$B$8)^16,0)+IF(17&lt;=Supuestos!$B$22,Supuestos!$B$20*Supuestos!$D$26*(1+Supuestos!$B$8)^16,0))-H59*Supuestos!$B$21</f>
        <v/>
      </c>
      <c r="L59" s="1">
        <f>L58+G59</f>
        <v/>
      </c>
      <c r="M59" s="1">
        <f>M58+J59</f>
        <v/>
      </c>
    </row>
    <row r="60">
      <c r="A60" t="n">
        <v>18</v>
      </c>
      <c r="B60" s="1">
        <f>$E$38*$B$39*(1+Supuestos!$B$8)^18</f>
        <v/>
      </c>
      <c r="C60" s="1">
        <f>$F$38*$B$39*(1+Supuestos!$B$8)^18*((1-Supuestos!$B$11)*(1-Supuestos!$B$12)^17)</f>
        <v/>
      </c>
      <c r="D60" s="1">
        <f>$G$38*$B$39*(1+Supuestos!$B$8)^18*(1-Supuestos!$B$13)^18*Supuestos!$B$10</f>
        <v/>
      </c>
      <c r="E60" s="1">
        <f>$H$38*$B$39*(1+Supuestos!$B$8)^18</f>
        <v/>
      </c>
      <c r="F60" s="1">
        <f>B60-C60-D60-E60</f>
        <v/>
      </c>
      <c r="G60" s="1">
        <f>C60+D60+E60-(IF(18&lt;=Supuestos!$J$26,Supuestos!$B$19*Supuestos!$B$26*(1+Supuestos!$B$8)^17,0)+IF(18&lt;=Supuestos!$B$22,Supuestos!$B$20*Supuestos!$D$26*(1+Supuestos!$B$8)^17,0))</f>
        <v/>
      </c>
      <c r="H60" s="1">
        <f>IF(18&lt;=Supuestos!$J$26,$C$38*$B$39*((1-Supuestos!$B$11)*(1-Supuestos!$B$12)^17)*Supuestos!$I$26*(1+Supuestos!$B$9)^17,0)</f>
        <v/>
      </c>
      <c r="I60" s="1">
        <f>IF(18&lt;=Supuestos!$B$22,D60*Supuestos!$K$26,0)</f>
        <v/>
      </c>
      <c r="J60" s="1">
        <f>C60+D60+E60-H60-I60</f>
        <v/>
      </c>
      <c r="K60" s="1">
        <f>H60+I60-(IF(18&lt;=Supuestos!$J$26,Supuestos!$B$19*Supuestos!$B$26*(1+Supuestos!$B$8)^17,0)+IF(18&lt;=Supuestos!$B$22,Supuestos!$B$20*Supuestos!$D$26*(1+Supuestos!$B$8)^17,0))-H60*Supuestos!$B$21</f>
        <v/>
      </c>
      <c r="L60" s="1">
        <f>L59+G60</f>
        <v/>
      </c>
      <c r="M60" s="1">
        <f>M59+J60</f>
        <v/>
      </c>
    </row>
    <row r="61">
      <c r="A61" t="n">
        <v>19</v>
      </c>
      <c r="B61" s="1">
        <f>$E$38*$B$39*(1+Supuestos!$B$8)^19</f>
        <v/>
      </c>
      <c r="C61" s="1">
        <f>$F$38*$B$39*(1+Supuestos!$B$8)^19*((1-Supuestos!$B$11)*(1-Supuestos!$B$12)^18)</f>
        <v/>
      </c>
      <c r="D61" s="1">
        <f>$G$38*$B$39*(1+Supuestos!$B$8)^19*(1-Supuestos!$B$13)^19*Supuestos!$B$10</f>
        <v/>
      </c>
      <c r="E61" s="1">
        <f>$H$38*$B$39*(1+Supuestos!$B$8)^19</f>
        <v/>
      </c>
      <c r="F61" s="1">
        <f>B61-C61-D61-E61</f>
        <v/>
      </c>
      <c r="G61" s="1">
        <f>C61+D61+E61-(IF(19&lt;=Supuestos!$J$26,Supuestos!$B$19*Supuestos!$B$26*(1+Supuestos!$B$8)^18,0)+IF(19&lt;=Supuestos!$B$22,Supuestos!$B$20*Supuestos!$D$26*(1+Supuestos!$B$8)^18,0))</f>
        <v/>
      </c>
      <c r="H61" s="1">
        <f>IF(19&lt;=Supuestos!$J$26,$C$38*$B$39*((1-Supuestos!$B$11)*(1-Supuestos!$B$12)^18)*Supuestos!$I$26*(1+Supuestos!$B$9)^18,0)</f>
        <v/>
      </c>
      <c r="I61" s="1">
        <f>IF(19&lt;=Supuestos!$B$22,D61*Supuestos!$K$26,0)</f>
        <v/>
      </c>
      <c r="J61" s="1">
        <f>C61+D61+E61-H61-I61</f>
        <v/>
      </c>
      <c r="K61" s="1">
        <f>H61+I61-(IF(19&lt;=Supuestos!$J$26,Supuestos!$B$19*Supuestos!$B$26*(1+Supuestos!$B$8)^18,0)+IF(19&lt;=Supuestos!$B$22,Supuestos!$B$20*Supuestos!$D$26*(1+Supuestos!$B$8)^18,0))-H61*Supuestos!$B$21</f>
        <v/>
      </c>
      <c r="L61" s="1">
        <f>L60+G61</f>
        <v/>
      </c>
      <c r="M61" s="1">
        <f>M60+J61</f>
        <v/>
      </c>
    </row>
    <row r="62">
      <c r="A62" t="n">
        <v>20</v>
      </c>
      <c r="B62" s="1">
        <f>$E$38*$B$39*(1+Supuestos!$B$8)^20</f>
        <v/>
      </c>
      <c r="C62" s="1">
        <f>$F$38*$B$39*(1+Supuestos!$B$8)^20*((1-Supuestos!$B$11)*(1-Supuestos!$B$12)^19)</f>
        <v/>
      </c>
      <c r="D62" s="1">
        <f>$G$38*$B$39*(1+Supuestos!$B$8)^20*(1-Supuestos!$B$13)^20*Supuestos!$B$10</f>
        <v/>
      </c>
      <c r="E62" s="1">
        <f>$H$38*$B$39*(1+Supuestos!$B$8)^20</f>
        <v/>
      </c>
      <c r="F62" s="1">
        <f>B62-C62-D62-E62</f>
        <v/>
      </c>
      <c r="G62" s="1">
        <f>C62+D62+E62-(IF(20&lt;=Supuestos!$J$26,Supuestos!$B$19*Supuestos!$B$26*(1+Supuestos!$B$8)^19,0)+IF(20&lt;=Supuestos!$B$22,Supuestos!$B$20*Supuestos!$D$26*(1+Supuestos!$B$8)^19,0))</f>
        <v/>
      </c>
      <c r="H62" s="1">
        <f>IF(20&lt;=Supuestos!$J$26,$C$38*$B$39*((1-Supuestos!$B$11)*(1-Supuestos!$B$12)^19)*Supuestos!$I$26*(1+Supuestos!$B$9)^19,0)</f>
        <v/>
      </c>
      <c r="I62" s="1">
        <f>IF(20&lt;=Supuestos!$B$22,D62*Supuestos!$K$26,0)</f>
        <v/>
      </c>
      <c r="J62" s="1">
        <f>C62+D62+E62-H62-I62</f>
        <v/>
      </c>
      <c r="K62" s="1">
        <f>H62+I62-(IF(20&lt;=Supuestos!$J$26,Supuestos!$B$19*Supuestos!$B$26*(1+Supuestos!$B$8)^19,0)+IF(20&lt;=Supuestos!$B$22,Supuestos!$B$20*Supuestos!$D$26*(1+Supuestos!$B$8)^19,0))-H62*Supuestos!$B$21</f>
        <v/>
      </c>
      <c r="L62" s="1">
        <f>L61+G62</f>
        <v/>
      </c>
      <c r="M62" s="1">
        <f>M61+J62</f>
        <v/>
      </c>
    </row>
    <row r="64">
      <c r="A64" s="17" t="inlineStr">
        <is>
          <t>TIR compra (proyecto):</t>
        </is>
      </c>
      <c r="B64" s="2">
        <f>IRR(G42:G62)</f>
        <v/>
      </c>
      <c r="C64" s="25" t="inlineStr">
        <is>
          <t>VPN compra @WACC:</t>
        </is>
      </c>
      <c r="D64" s="1">
        <f>G42+NPV(Supuestos!$B$7,G43:G62)</f>
        <v/>
      </c>
    </row>
    <row r="65">
      <c r="A65" s="17" t="inlineStr">
        <is>
          <t>TIR financiador:</t>
        </is>
      </c>
      <c r="B65" s="2">
        <f>IRR(K42:K62)</f>
        <v/>
      </c>
      <c r="C65" s="25" t="inlineStr">
        <is>
          <t>VPN cliente PPA @WACC:</t>
        </is>
      </c>
      <c r="D65" s="1">
        <f>NPV(Supuestos!$B$7,J43:J62)</f>
        <v/>
      </c>
    </row>
    <row r="66">
      <c r="A66" s="17" t="inlineStr">
        <is>
          <t>Acumulado cliente PPA 20a:</t>
        </is>
      </c>
      <c r="B66" s="20">
        <f>SUM(J43:J62)</f>
        <v/>
      </c>
      <c r="C66" s="25" t="inlineStr">
        <is>
          <t>Acumulado compra 20a:</t>
        </is>
      </c>
      <c r="D66" s="1">
        <f>SUM(G42:G62)</f>
        <v/>
      </c>
    </row>
    <row r="68">
      <c r="A68" s="6" t="inlineStr">
        <is>
          <t>5. POR QUÉ ESTE DIMENSIONAMIENTO ES ÓPTIMO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26" t="inlineStr">
        <is>
          <t>• PV 291 kWp — generador exento &lt;0.7 MW (medición neta, sin permiso CNE). En BCS la generación solar cae en intermedio → recorta energía intermedia; no genera en punta, por lo que el BESS es la palanca de demanda.</t>
        </is>
      </c>
    </row>
    <row r="70">
      <c r="A70" s="26" t="inlineStr">
        <is>
          <t>• BESS 0 kW / 0 kWh — recorta el pico de punta (arbitraje carga en base, descarga en punta, topado al kWh punta del recibo).</t>
        </is>
      </c>
    </row>
    <row r="71">
      <c r="A71" s="26" t="inlineStr">
        <is>
          <t>• Dimensionado al consumo (rend. inputs.json); excedentes bajo medición neta expiran en 12 meses, por eso no se sobredimensiona el PV.</t>
        </is>
      </c>
    </row>
    <row r="72">
      <c r="A72" s="26" t="inlineStr">
        <is>
          <t>• PV/BESS dimensionados por **barrido de máximo NPV del cliente** (NO se topó a 0.7 MW): el óptimo cae en 291 kWp / 0 kW de BESS (sweep NPV (exento)). Más allá del punto de autoconsumo solar el excedente se valúa ~$0 y el NPV cae; el barrido compara explícitamente quedarse exento &lt;0.7 MW vs cruzar a autoconsumo.</t>
        </is>
      </c>
    </row>
    <row r="73">
      <c r="A73" s="26" t="inlineStr">
        <is>
          <t>• Corrección de factor de potencia incluida — palanca separada, capacitores a cargo del financiador en el esquema PPA (el cliente conserva 100% del ahorro FP).</t>
        </is>
      </c>
    </row>
    <row r="74">
      <c r="A74" s="26" t="inlineStr">
        <is>
          <t>• LIBRO 100% EN VIVO: motor mensual §3 = fórmulas sobre los datos del recibo (§6) y Supuestos (réplica exacta del motor determinista, verificada al peso) — edita kWp/BESS/FC/tarifas o cualquier mes y TODO recalcula hasta la TIR.</t>
        </is>
      </c>
    </row>
    <row r="78">
      <c r="A78" s="6" t="inlineStr">
        <is>
          <t>6. DATOS DEL RECIBO (editables — el motor mensual §3 se alimenta de aquí)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27" t="inlineStr">
        <is>
          <t>Mes</t>
        </is>
      </c>
      <c r="B79" s="27" t="inlineStr">
        <is>
          <t>Días</t>
        </is>
      </c>
      <c r="C79" s="27" t="inlineStr">
        <is>
          <t>kWh B</t>
        </is>
      </c>
      <c r="D79" s="27" t="inlineStr">
        <is>
          <t>kWh I</t>
        </is>
      </c>
      <c r="E79" s="27" t="inlineStr">
        <is>
          <t>kWh P</t>
        </is>
      </c>
      <c r="F79" s="27" t="inlineStr">
        <is>
          <t>kW B</t>
        </is>
      </c>
      <c r="G79" s="27" t="inlineStr">
        <is>
          <t>kW I</t>
        </is>
      </c>
      <c r="H79" s="27" t="inlineStr">
        <is>
          <t>kW P</t>
        </is>
      </c>
      <c r="I79" s="27" t="inlineStr">
        <is>
          <t>FP %</t>
        </is>
      </c>
      <c r="J79" s="27" t="inlineStr">
        <is>
          <t>Gen B $</t>
        </is>
      </c>
      <c r="K79" s="27" t="inlineStr">
        <is>
          <t>Gen I $</t>
        </is>
      </c>
      <c r="L79" s="27" t="inlineStr">
        <is>
          <t>Gen P $</t>
        </is>
      </c>
      <c r="M79" s="27" t="inlineStr">
        <is>
          <t>Distribución $</t>
        </is>
      </c>
      <c r="N79" s="27" t="inlineStr">
        <is>
          <t>Capacidad $</t>
        </is>
      </c>
      <c r="O79" s="27" t="inlineStr">
        <is>
          <t>Otros vol $</t>
        </is>
      </c>
      <c r="P79" s="27" t="inlineStr">
        <is>
          <t>Suministro $</t>
        </is>
      </c>
      <c r="Q79" s="27" t="inlineStr">
        <is>
          <t>2%BT+FP neto $</t>
        </is>
      </c>
      <c r="R79" s="27" t="inlineStr">
        <is>
          <t>Cargo FP $</t>
        </is>
      </c>
      <c r="S79" s="27" t="inlineStr">
        <is>
          <t>Yield kWh/kWp</t>
        </is>
      </c>
      <c r="T79" s="27" t="inlineStr">
        <is>
          <t>Hrs punta</t>
        </is>
      </c>
      <c r="U79" s="27" t="inlineStr">
        <is>
          <t>Días punta</t>
        </is>
      </c>
      <c r="V79" s="27" t="inlineStr">
        <is>
          <t>kWh tot</t>
        </is>
      </c>
      <c r="W79" s="27" t="inlineStr">
        <is>
          <t>Vol $/kWh</t>
        </is>
      </c>
      <c r="X79" s="27" t="inlineStr">
        <is>
          <t>Tarifa B $/kWh</t>
        </is>
      </c>
      <c r="Y79" s="27" t="inlineStr">
        <is>
          <t>Tarifa I $/kWh</t>
        </is>
      </c>
      <c r="Z79" s="27" t="inlineStr">
        <is>
          <t>Tarifa P $/kWh</t>
        </is>
      </c>
      <c r="AA79" s="27" t="inlineStr">
        <is>
          <t>Umbral kW</t>
        </is>
      </c>
      <c r="AB79" s="27" t="inlineStr">
        <is>
          <t>$/kW cap</t>
        </is>
      </c>
    </row>
    <row r="80">
      <c r="A80" s="28" t="inlineStr">
        <is>
          <t>Abr-25</t>
        </is>
      </c>
      <c r="B80" s="29" t="n">
        <v>30</v>
      </c>
      <c r="C80" s="29" t="n">
        <v>7498</v>
      </c>
      <c r="D80" s="29" t="n">
        <v>31967</v>
      </c>
      <c r="E80" s="29" t="n">
        <v>14345</v>
      </c>
      <c r="F80" s="28" t="n">
        <v>0</v>
      </c>
      <c r="G80" s="28" t="n">
        <v>96</v>
      </c>
      <c r="H80" s="28" t="n">
        <v>93</v>
      </c>
      <c r="I80" s="30" t="n">
        <v>99.42</v>
      </c>
      <c r="J80" s="28" t="n">
        <v>15358.15</v>
      </c>
      <c r="K80" s="28" t="n">
        <v>84945.91</v>
      </c>
      <c r="L80" s="28" t="n">
        <v>54883.97</v>
      </c>
      <c r="M80" s="28" t="n">
        <v>8854.1</v>
      </c>
      <c r="N80" s="28" t="n">
        <v>27402.07</v>
      </c>
      <c r="O80" s="28" t="n">
        <v>10417.62</v>
      </c>
      <c r="P80" s="28" t="n">
        <v>782.9</v>
      </c>
      <c r="Q80" s="28" t="n">
        <v>-907.86</v>
      </c>
      <c r="R80" s="28" t="n">
        <v>0</v>
      </c>
      <c r="S80" s="30" t="n">
        <v>173.28</v>
      </c>
      <c r="T80" s="29" t="n">
        <v>10</v>
      </c>
      <c r="U80" s="29" t="n">
        <v>22</v>
      </c>
      <c r="V80" s="31">
        <f>C80+D80+E80</f>
        <v/>
      </c>
      <c r="W80" s="31">
        <f>O80/V80</f>
        <v/>
      </c>
      <c r="X80" s="31">
        <f>IF(C80=0,Y80,J80/C80+W80)</f>
        <v/>
      </c>
      <c r="Y80" s="31">
        <f>IF(D80=0,0,K80/D80+W80)</f>
        <v/>
      </c>
      <c r="Z80" s="31">
        <f>IF(E80=0,0,L80/E80+W80)</f>
        <v/>
      </c>
      <c r="AA80" s="31">
        <f>V80/(B80*24*$L$6)</f>
        <v/>
      </c>
      <c r="AB80" s="31">
        <f>IFERROR(N80/MIN(H80,AA80),0)</f>
        <v/>
      </c>
    </row>
    <row r="81">
      <c r="A81" s="28" t="inlineStr">
        <is>
          <t>May-25</t>
        </is>
      </c>
      <c r="B81" s="29" t="n">
        <v>31</v>
      </c>
      <c r="C81" s="29" t="n">
        <v>0</v>
      </c>
      <c r="D81" s="29" t="n">
        <v>38936</v>
      </c>
      <c r="E81" s="29" t="n">
        <v>17178</v>
      </c>
      <c r="F81" s="28" t="n">
        <v>0</v>
      </c>
      <c r="G81" s="28" t="n">
        <v>94</v>
      </c>
      <c r="H81" s="28" t="n">
        <v>93</v>
      </c>
      <c r="I81" s="30" t="n">
        <v>99.23</v>
      </c>
      <c r="J81" s="28" t="n">
        <v>0</v>
      </c>
      <c r="K81" s="28" t="n">
        <v>103464.63</v>
      </c>
      <c r="L81" s="28" t="n">
        <v>65723.03</v>
      </c>
      <c r="M81" s="28" t="n">
        <v>8822.84</v>
      </c>
      <c r="N81" s="28" t="n">
        <v>25697.76</v>
      </c>
      <c r="O81" s="28" t="n">
        <v>10863.66</v>
      </c>
      <c r="P81" s="28" t="n">
        <v>782.9</v>
      </c>
      <c r="Q81" s="28" t="n">
        <v>-745.12</v>
      </c>
      <c r="R81" s="28" t="n">
        <v>0</v>
      </c>
      <c r="S81" s="30" t="n">
        <v>178.064</v>
      </c>
      <c r="T81" s="29" t="n">
        <v>10</v>
      </c>
      <c r="U81" s="29" t="n">
        <v>21</v>
      </c>
      <c r="V81" s="31">
        <f>C81+D81+E81</f>
        <v/>
      </c>
      <c r="W81" s="31">
        <f>O81/V81</f>
        <v/>
      </c>
      <c r="X81" s="31">
        <f>IF(C81=0,Y81,J81/C81+W81)</f>
        <v/>
      </c>
      <c r="Y81" s="31">
        <f>IF(D81=0,0,K81/D81+W81)</f>
        <v/>
      </c>
      <c r="Z81" s="31">
        <f>IF(E81=0,0,L81/E81+W81)</f>
        <v/>
      </c>
      <c r="AA81" s="31">
        <f>V81/(B81*24*$L$6)</f>
        <v/>
      </c>
      <c r="AB81" s="31">
        <f>IFERROR(N81/MIN(H81,AA81),0)</f>
        <v/>
      </c>
    </row>
    <row r="82">
      <c r="A82" s="28" t="inlineStr">
        <is>
          <t>Jun-25</t>
        </is>
      </c>
      <c r="B82" s="29" t="n">
        <v>30</v>
      </c>
      <c r="C82" s="29" t="n">
        <v>0</v>
      </c>
      <c r="D82" s="29" t="n">
        <v>40421</v>
      </c>
      <c r="E82" s="29" t="n">
        <v>18650</v>
      </c>
      <c r="F82" s="28" t="n">
        <v>0</v>
      </c>
      <c r="G82" s="28" t="n">
        <v>117</v>
      </c>
      <c r="H82" s="28" t="n">
        <v>103</v>
      </c>
      <c r="I82" s="30" t="n">
        <v>98.63</v>
      </c>
      <c r="J82" s="28" t="n">
        <v>0</v>
      </c>
      <c r="K82" s="28" t="n">
        <v>109961.29</v>
      </c>
      <c r="L82" s="28" t="n">
        <v>73050.19</v>
      </c>
      <c r="M82" s="28" t="n">
        <v>10981.62</v>
      </c>
      <c r="N82" s="28" t="n">
        <v>29136.64</v>
      </c>
      <c r="O82" s="28" t="n">
        <v>11436.16</v>
      </c>
      <c r="P82" s="28" t="n">
        <v>782.9</v>
      </c>
      <c r="Q82" s="28" t="n">
        <v>-574.25</v>
      </c>
      <c r="R82" s="28" t="n">
        <v>0</v>
      </c>
      <c r="S82" s="30" t="n">
        <v>183.12</v>
      </c>
      <c r="T82" s="29" t="n">
        <v>10</v>
      </c>
      <c r="U82" s="29" t="n">
        <v>21</v>
      </c>
      <c r="V82" s="31">
        <f>C82+D82+E82</f>
        <v/>
      </c>
      <c r="W82" s="31">
        <f>O82/V82</f>
        <v/>
      </c>
      <c r="X82" s="31">
        <f>IF(C82=0,Y82,J82/C82+W82)</f>
        <v/>
      </c>
      <c r="Y82" s="31">
        <f>IF(D82=0,0,K82/D82+W82)</f>
        <v/>
      </c>
      <c r="Z82" s="31">
        <f>IF(E82=0,0,L82/E82+W82)</f>
        <v/>
      </c>
      <c r="AA82" s="31">
        <f>V82/(B82*24*$L$6)</f>
        <v/>
      </c>
      <c r="AB82" s="31">
        <f>IFERROR(N82/MIN(H82,AA82),0)</f>
        <v/>
      </c>
    </row>
    <row r="83">
      <c r="A83" s="28" t="inlineStr">
        <is>
          <t>Jul-25</t>
        </is>
      </c>
      <c r="B83" s="29" t="n">
        <v>31</v>
      </c>
      <c r="C83" s="29" t="n">
        <v>0</v>
      </c>
      <c r="D83" s="29" t="n">
        <v>47232</v>
      </c>
      <c r="E83" s="29" t="n">
        <v>22853</v>
      </c>
      <c r="F83" s="28" t="n">
        <v>0</v>
      </c>
      <c r="G83" s="28" t="n">
        <v>125</v>
      </c>
      <c r="H83" s="28" t="n">
        <v>140</v>
      </c>
      <c r="I83" s="30" t="n">
        <v>97.23</v>
      </c>
      <c r="J83" s="28" t="n">
        <v>0</v>
      </c>
      <c r="K83" s="28" t="n">
        <v>130417</v>
      </c>
      <c r="L83" s="28" t="n">
        <v>90854.39</v>
      </c>
      <c r="M83" s="28" t="n">
        <v>13140.4</v>
      </c>
      <c r="N83" s="28" t="n">
        <v>40196.8</v>
      </c>
      <c r="O83" s="28" t="n">
        <v>13568.46</v>
      </c>
      <c r="P83" s="28" t="n">
        <v>782.9</v>
      </c>
      <c r="Q83" s="28" t="n">
        <v>179.16</v>
      </c>
      <c r="R83" s="28" t="n">
        <v>0</v>
      </c>
      <c r="S83" s="30" t="n">
        <v>164.672</v>
      </c>
      <c r="T83" s="29" t="n">
        <v>10</v>
      </c>
      <c r="U83" s="29" t="n">
        <v>23</v>
      </c>
      <c r="V83" s="31">
        <f>C83+D83+E83</f>
        <v/>
      </c>
      <c r="W83" s="31">
        <f>O83/V83</f>
        <v/>
      </c>
      <c r="X83" s="31">
        <f>IF(C83=0,Y83,J83/C83+W83)</f>
        <v/>
      </c>
      <c r="Y83" s="31">
        <f>IF(D83=0,0,K83/D83+W83)</f>
        <v/>
      </c>
      <c r="Z83" s="31">
        <f>IF(E83=0,0,L83/E83+W83)</f>
        <v/>
      </c>
      <c r="AA83" s="31">
        <f>V83/(B83*24*$L$6)</f>
        <v/>
      </c>
      <c r="AB83" s="31">
        <f>IFERROR(N83/MIN(H83,AA83),0)</f>
        <v/>
      </c>
    </row>
    <row r="84">
      <c r="A84" s="28" t="inlineStr">
        <is>
          <t>Ago-25</t>
        </is>
      </c>
      <c r="B84" s="29" t="n">
        <v>31</v>
      </c>
      <c r="C84" s="29" t="n">
        <v>0</v>
      </c>
      <c r="D84" s="29" t="n">
        <v>50015</v>
      </c>
      <c r="E84" s="29" t="n">
        <v>22650</v>
      </c>
      <c r="F84" s="28" t="n">
        <v>0</v>
      </c>
      <c r="G84" s="28" t="n">
        <v>150</v>
      </c>
      <c r="H84" s="28" t="n">
        <v>137</v>
      </c>
      <c r="I84" s="30" t="n">
        <v>96.81</v>
      </c>
      <c r="J84" s="28" t="n">
        <v>0</v>
      </c>
      <c r="K84" s="28" t="n">
        <v>138291.48</v>
      </c>
      <c r="L84" s="28" t="n">
        <v>90171.92</v>
      </c>
      <c r="M84" s="28" t="n">
        <v>14079</v>
      </c>
      <c r="N84" s="28" t="n">
        <v>39390.24</v>
      </c>
      <c r="O84" s="28" t="n">
        <v>14067.95</v>
      </c>
      <c r="P84" s="28" t="n">
        <v>782.9</v>
      </c>
      <c r="Q84" s="28" t="n">
        <v>486.73</v>
      </c>
      <c r="R84" s="28" t="n">
        <v>0</v>
      </c>
      <c r="S84" s="30" t="n">
        <v>161.448</v>
      </c>
      <c r="T84" s="29" t="n">
        <v>10</v>
      </c>
      <c r="U84" s="29" t="n">
        <v>21</v>
      </c>
      <c r="V84" s="31">
        <f>C84+D84+E84</f>
        <v/>
      </c>
      <c r="W84" s="31">
        <f>O84/V84</f>
        <v/>
      </c>
      <c r="X84" s="31">
        <f>IF(C84=0,Y84,J84/C84+W84)</f>
        <v/>
      </c>
      <c r="Y84" s="31">
        <f>IF(D84=0,0,K84/D84+W84)</f>
        <v/>
      </c>
      <c r="Z84" s="31">
        <f>IF(E84=0,0,L84/E84+W84)</f>
        <v/>
      </c>
      <c r="AA84" s="31">
        <f>V84/(B84*24*$L$6)</f>
        <v/>
      </c>
      <c r="AB84" s="31">
        <f>IFERROR(N84/MIN(H84,AA84),0)</f>
        <v/>
      </c>
    </row>
    <row r="85">
      <c r="A85" s="28" t="inlineStr">
        <is>
          <t>Sep-25</t>
        </is>
      </c>
      <c r="B85" s="29" t="n">
        <v>30</v>
      </c>
      <c r="C85" s="29" t="n">
        <v>0</v>
      </c>
      <c r="D85" s="29" t="n">
        <v>45307</v>
      </c>
      <c r="E85" s="29" t="n">
        <v>21062</v>
      </c>
      <c r="F85" s="28" t="n">
        <v>0</v>
      </c>
      <c r="G85" s="28" t="n">
        <v>152</v>
      </c>
      <c r="H85" s="28" t="n">
        <v>152</v>
      </c>
      <c r="I85" s="30" t="n">
        <v>97.86</v>
      </c>
      <c r="J85" s="28" t="n">
        <v>0</v>
      </c>
      <c r="K85" s="28" t="n">
        <v>124132.12</v>
      </c>
      <c r="L85" s="28" t="n">
        <v>83083.27</v>
      </c>
      <c r="M85" s="28" t="n">
        <v>14266.72</v>
      </c>
      <c r="N85" s="28" t="n">
        <v>43303.28</v>
      </c>
      <c r="O85" s="28" t="n">
        <v>13121.15</v>
      </c>
      <c r="P85" s="28" t="n">
        <v>782.9</v>
      </c>
      <c r="Q85" s="28" t="n">
        <v>-111.47</v>
      </c>
      <c r="R85" s="28" t="n">
        <v>0</v>
      </c>
      <c r="S85" s="30" t="n">
        <v>153.12</v>
      </c>
      <c r="T85" s="29" t="n">
        <v>10</v>
      </c>
      <c r="U85" s="29" t="n">
        <v>21</v>
      </c>
      <c r="V85" s="31">
        <f>C85+D85+E85</f>
        <v/>
      </c>
      <c r="W85" s="31">
        <f>O85/V85</f>
        <v/>
      </c>
      <c r="X85" s="31">
        <f>IF(C85=0,Y85,J85/C85+W85)</f>
        <v/>
      </c>
      <c r="Y85" s="31">
        <f>IF(D85=0,0,K85/D85+W85)</f>
        <v/>
      </c>
      <c r="Z85" s="31">
        <f>IF(E85=0,0,L85/E85+W85)</f>
        <v/>
      </c>
      <c r="AA85" s="31">
        <f>V85/(B85*24*$L$6)</f>
        <v/>
      </c>
      <c r="AB85" s="31">
        <f>IFERROR(N85/MIN(H85,AA85),0)</f>
        <v/>
      </c>
    </row>
    <row r="86">
      <c r="A86" s="28" t="inlineStr">
        <is>
          <t>Oct-25</t>
        </is>
      </c>
      <c r="B86" s="29" t="n">
        <v>31</v>
      </c>
      <c r="C86" s="29" t="n">
        <v>10092</v>
      </c>
      <c r="D86" s="29" t="n">
        <v>39156</v>
      </c>
      <c r="E86" s="29" t="n">
        <v>18098</v>
      </c>
      <c r="F86" s="28" t="n">
        <v>105</v>
      </c>
      <c r="G86" s="28" t="n">
        <v>92</v>
      </c>
      <c r="H86" s="28" t="n">
        <v>0</v>
      </c>
      <c r="I86" s="30" t="n">
        <v>88.73</v>
      </c>
      <c r="J86" s="28" t="n">
        <v>21313.29</v>
      </c>
      <c r="K86" s="28" t="n">
        <v>107279.61</v>
      </c>
      <c r="L86" s="28" t="n">
        <v>71392.99000000001</v>
      </c>
      <c r="M86" s="28" t="n">
        <v>12504.73</v>
      </c>
      <c r="N86" s="28" t="n">
        <v>40216.77</v>
      </c>
      <c r="O86" s="28" t="n">
        <v>13314.3</v>
      </c>
      <c r="P86" s="28" t="n">
        <v>782.9</v>
      </c>
      <c r="Q86" s="28" t="n">
        <v>2437.83</v>
      </c>
      <c r="R86" s="28" t="n">
        <v>0</v>
      </c>
      <c r="S86" s="30" t="n">
        <v>162.936</v>
      </c>
      <c r="T86" s="29" t="n">
        <v>10</v>
      </c>
      <c r="U86" s="29" t="n">
        <v>23</v>
      </c>
      <c r="V86" s="31">
        <f>C86+D86+E86</f>
        <v/>
      </c>
      <c r="W86" s="31">
        <f>O86/V86</f>
        <v/>
      </c>
      <c r="X86" s="31">
        <f>IF(C86=0,Y86,J86/C86+W86)</f>
        <v/>
      </c>
      <c r="Y86" s="31">
        <f>IF(D86=0,0,K86/D86+W86)</f>
        <v/>
      </c>
      <c r="Z86" s="31">
        <f>IF(E86=0,0,L86/E86+W86)</f>
        <v/>
      </c>
      <c r="AA86" s="31">
        <f>V86/(B86*24*$L$6)</f>
        <v/>
      </c>
      <c r="AB86" s="31">
        <f>IFERROR(N86/MIN(H86,AA86),0)</f>
        <v/>
      </c>
    </row>
    <row r="87">
      <c r="A87" s="28" t="inlineStr">
        <is>
          <t>Nov-25</t>
        </is>
      </c>
      <c r="B87" s="29" t="n">
        <v>30</v>
      </c>
      <c r="C87" s="29" t="n">
        <v>51142</v>
      </c>
      <c r="D87" s="29" t="n">
        <v>8866</v>
      </c>
      <c r="E87" s="29" t="n">
        <v>0</v>
      </c>
      <c r="F87" s="28" t="n">
        <v>143</v>
      </c>
      <c r="G87" s="28" t="n">
        <v>121</v>
      </c>
      <c r="H87" s="28" t="n">
        <v>0</v>
      </c>
      <c r="I87" s="30" t="n">
        <v>88.51000000000001</v>
      </c>
      <c r="J87" s="28" t="n">
        <v>104764.39</v>
      </c>
      <c r="K87" s="28" t="n">
        <v>23561.4</v>
      </c>
      <c r="L87" s="28" t="n">
        <v>0</v>
      </c>
      <c r="M87" s="28" t="n">
        <v>13421.98</v>
      </c>
      <c r="N87" s="28" t="n">
        <v>40621.98</v>
      </c>
      <c r="O87" s="28" t="n">
        <v>11863.59</v>
      </c>
      <c r="P87" s="28" t="n">
        <v>782.9</v>
      </c>
      <c r="Q87" s="28" t="n">
        <v>5889.49</v>
      </c>
      <c r="R87" s="28" t="n">
        <v>1989.17</v>
      </c>
      <c r="S87" s="30" t="n">
        <v>145.44</v>
      </c>
      <c r="T87" s="29" t="n">
        <v>0</v>
      </c>
      <c r="U87" s="29" t="n">
        <v>19</v>
      </c>
      <c r="V87" s="31">
        <f>C87+D87+E87</f>
        <v/>
      </c>
      <c r="W87" s="31">
        <f>O87/V87</f>
        <v/>
      </c>
      <c r="X87" s="31">
        <f>IF(C87=0,Y87,J87/C87+W87)</f>
        <v/>
      </c>
      <c r="Y87" s="31">
        <f>IF(D87=0,0,K87/D87+W87)</f>
        <v/>
      </c>
      <c r="Z87" s="31">
        <f>IF(E87=0,0,L87/E87+W87)</f>
        <v/>
      </c>
      <c r="AA87" s="31">
        <f>V87/(B87*24*$L$6)</f>
        <v/>
      </c>
      <c r="AB87" s="31">
        <f>IFERROR(N87/MIN(H87,AA87),0)</f>
        <v/>
      </c>
    </row>
    <row r="88">
      <c r="A88" s="28" t="inlineStr">
        <is>
          <t>Dic-25</t>
        </is>
      </c>
      <c r="B88" s="29" t="n">
        <v>31</v>
      </c>
      <c r="C88" s="29" t="n">
        <v>47858</v>
      </c>
      <c r="D88" s="29" t="n">
        <v>8458</v>
      </c>
      <c r="E88" s="29" t="n">
        <v>0</v>
      </c>
      <c r="F88" s="28" t="n">
        <v>110</v>
      </c>
      <c r="G88" s="28" t="n">
        <v>101</v>
      </c>
      <c r="H88" s="28" t="n">
        <v>0</v>
      </c>
      <c r="I88" s="30" t="n">
        <v>89.20999999999999</v>
      </c>
      <c r="J88" s="28" t="n">
        <v>93136.45</v>
      </c>
      <c r="K88" s="28" t="n">
        <v>21353.91</v>
      </c>
      <c r="L88" s="28" t="n">
        <v>0</v>
      </c>
      <c r="M88" s="28" t="n">
        <v>10324.6</v>
      </c>
      <c r="N88" s="28" t="n">
        <v>34916.49</v>
      </c>
      <c r="O88" s="28" t="n">
        <v>11133.66</v>
      </c>
      <c r="P88" s="28" t="n">
        <v>782.9</v>
      </c>
      <c r="Q88" s="28" t="n">
        <v>4308.36</v>
      </c>
      <c r="R88" s="28" t="n">
        <v>875.4</v>
      </c>
      <c r="S88" s="30" t="n">
        <v>129.704</v>
      </c>
      <c r="T88" s="29" t="n">
        <v>0</v>
      </c>
      <c r="U88" s="29" t="n">
        <v>22</v>
      </c>
      <c r="V88" s="31">
        <f>C88+D88+E88</f>
        <v/>
      </c>
      <c r="W88" s="31">
        <f>O88/V88</f>
        <v/>
      </c>
      <c r="X88" s="31">
        <f>IF(C88=0,Y88,J88/C88+W88)</f>
        <v/>
      </c>
      <c r="Y88" s="31">
        <f>IF(D88=0,0,K88/D88+W88)</f>
        <v/>
      </c>
      <c r="Z88" s="31">
        <f>IF(E88=0,0,L88/E88+W88)</f>
        <v/>
      </c>
      <c r="AA88" s="31">
        <f>V88/(B88*24*$L$6)</f>
        <v/>
      </c>
      <c r="AB88" s="31">
        <f>IFERROR(N88/MIN(H88,AA88),0)</f>
        <v/>
      </c>
    </row>
    <row r="89">
      <c r="A89" s="28" t="inlineStr">
        <is>
          <t>Ene-26</t>
        </is>
      </c>
      <c r="B89" s="29" t="n">
        <v>31</v>
      </c>
      <c r="C89" s="29" t="n">
        <v>46347</v>
      </c>
      <c r="D89" s="29" t="n">
        <v>8113</v>
      </c>
      <c r="E89" s="29" t="n">
        <v>0</v>
      </c>
      <c r="F89" s="28" t="n">
        <v>98</v>
      </c>
      <c r="G89" s="28" t="n">
        <v>101</v>
      </c>
      <c r="H89" s="28" t="n">
        <v>0</v>
      </c>
      <c r="I89" s="30" t="n">
        <v>89.37</v>
      </c>
      <c r="J89" s="28" t="n">
        <v>88165.89999999999</v>
      </c>
      <c r="K89" s="28" t="n">
        <v>20021.26</v>
      </c>
      <c r="L89" s="28" t="n">
        <v>0</v>
      </c>
      <c r="M89" s="28" t="n">
        <v>9091.01</v>
      </c>
      <c r="N89" s="28" t="n">
        <v>33103.98</v>
      </c>
      <c r="O89" s="28" t="n">
        <v>10597.91</v>
      </c>
      <c r="P89" s="28" t="n">
        <v>414.9</v>
      </c>
      <c r="Q89" s="28" t="n">
        <v>3886.39</v>
      </c>
      <c r="R89" s="28" t="n">
        <v>658.49</v>
      </c>
      <c r="S89" s="30" t="n">
        <v>139.872</v>
      </c>
      <c r="T89" s="29" t="n">
        <v>0</v>
      </c>
      <c r="U89" s="29" t="n">
        <v>21</v>
      </c>
      <c r="V89" s="31">
        <f>C89+D89+E89</f>
        <v/>
      </c>
      <c r="W89" s="31">
        <f>O89/V89</f>
        <v/>
      </c>
      <c r="X89" s="31">
        <f>IF(C89=0,Y89,J89/C89+W89)</f>
        <v/>
      </c>
      <c r="Y89" s="31">
        <f>IF(D89=0,0,K89/D89+W89)</f>
        <v/>
      </c>
      <c r="Z89" s="31">
        <f>IF(E89=0,0,L89/E89+W89)</f>
        <v/>
      </c>
      <c r="AA89" s="31">
        <f>V89/(B89*24*$L$6)</f>
        <v/>
      </c>
      <c r="AB89" s="31">
        <f>IFERROR(N89/MIN(H89,AA89),0)</f>
        <v/>
      </c>
    </row>
    <row r="90">
      <c r="A90" s="28" t="inlineStr">
        <is>
          <t>Feb-26</t>
        </is>
      </c>
      <c r="B90" s="29" t="n">
        <v>28</v>
      </c>
      <c r="C90" s="29" t="n">
        <v>43043</v>
      </c>
      <c r="D90" s="29" t="n">
        <v>7657</v>
      </c>
      <c r="E90" s="29" t="n">
        <v>0</v>
      </c>
      <c r="F90" s="28" t="n">
        <v>121</v>
      </c>
      <c r="G90" s="28" t="n">
        <v>101</v>
      </c>
      <c r="H90" s="28" t="n">
        <v>0</v>
      </c>
      <c r="I90" s="30" t="n">
        <v>88.94</v>
      </c>
      <c r="J90" s="28" t="n">
        <v>81928.05</v>
      </c>
      <c r="K90" s="28" t="n">
        <v>18907.43</v>
      </c>
      <c r="L90" s="28" t="n">
        <v>0</v>
      </c>
      <c r="M90" s="28" t="n">
        <v>10891.21</v>
      </c>
      <c r="N90" s="28" t="n">
        <v>34150.41</v>
      </c>
      <c r="O90" s="28" t="n">
        <v>9866.219999999999</v>
      </c>
      <c r="P90" s="28" t="n">
        <v>414.9</v>
      </c>
      <c r="Q90" s="28" t="n">
        <v>4238.13</v>
      </c>
      <c r="R90" s="28" t="n">
        <v>1114.97</v>
      </c>
      <c r="S90" s="30" t="n">
        <v>140.672</v>
      </c>
      <c r="T90" s="29" t="n">
        <v>0</v>
      </c>
      <c r="U90" s="29" t="n">
        <v>19</v>
      </c>
      <c r="V90" s="31">
        <f>C90+D90+E90</f>
        <v/>
      </c>
      <c r="W90" s="31">
        <f>O90/V90</f>
        <v/>
      </c>
      <c r="X90" s="31">
        <f>IF(C90=0,Y90,J90/C90+W90)</f>
        <v/>
      </c>
      <c r="Y90" s="31">
        <f>IF(D90=0,0,K90/D90+W90)</f>
        <v/>
      </c>
      <c r="Z90" s="31">
        <f>IF(E90=0,0,L90/E90+W90)</f>
        <v/>
      </c>
      <c r="AA90" s="31">
        <f>V90/(B90*24*$L$6)</f>
        <v/>
      </c>
      <c r="AB90" s="31">
        <f>IFERROR(N90/MIN(H90,AA90),0)</f>
        <v/>
      </c>
    </row>
    <row r="91">
      <c r="A91" s="28" t="inlineStr">
        <is>
          <t>Mar-26</t>
        </is>
      </c>
      <c r="B91" s="29" t="n">
        <v>31</v>
      </c>
      <c r="C91" s="29" t="n">
        <v>47776</v>
      </c>
      <c r="D91" s="29" t="n">
        <v>8409</v>
      </c>
      <c r="E91" s="29" t="n">
        <v>0</v>
      </c>
      <c r="F91" s="28" t="n">
        <v>98</v>
      </c>
      <c r="G91" s="28" t="n">
        <v>95</v>
      </c>
      <c r="H91" s="28" t="n">
        <v>0</v>
      </c>
      <c r="I91" s="30" t="n">
        <v>88.28</v>
      </c>
      <c r="J91" s="28" t="n">
        <v>90989.39</v>
      </c>
      <c r="K91" s="28" t="n">
        <v>20776.96</v>
      </c>
      <c r="L91" s="28" t="n">
        <v>0</v>
      </c>
      <c r="M91" s="28" t="n">
        <v>8820.98</v>
      </c>
      <c r="N91" s="28" t="n">
        <v>34170.36</v>
      </c>
      <c r="O91" s="28" t="n">
        <v>10933.6</v>
      </c>
      <c r="P91" s="28" t="n">
        <v>414.9</v>
      </c>
      <c r="Q91" s="28" t="n">
        <v>5355.26</v>
      </c>
      <c r="R91" s="28" t="n">
        <v>2033.14</v>
      </c>
      <c r="S91" s="30" t="n">
        <v>179.304</v>
      </c>
      <c r="T91" s="29" t="n">
        <v>0</v>
      </c>
      <c r="U91" s="29" t="n">
        <v>21</v>
      </c>
      <c r="V91" s="31">
        <f>C91+D91+E91</f>
        <v/>
      </c>
      <c r="W91" s="31">
        <f>O91/V91</f>
        <v/>
      </c>
      <c r="X91" s="31">
        <f>IF(C91=0,Y91,J91/C91+W91)</f>
        <v/>
      </c>
      <c r="Y91" s="31">
        <f>IF(D91=0,0,K91/D91+W91)</f>
        <v/>
      </c>
      <c r="Z91" s="31">
        <f>IF(E91=0,0,L91/E91+W91)</f>
        <v/>
      </c>
      <c r="AA91" s="31">
        <f>V91/(B91*24*$L$6)</f>
        <v/>
      </c>
      <c r="AB91" s="31">
        <f>IFERROR(N91/MIN(H91,AA91),0)</f>
        <v/>
      </c>
    </row>
    <row r="92">
      <c r="A92" s="19" t="inlineStr">
        <is>
          <t>Filas = recibo ancla (parseado) + meses reconstruidos del CONSUMO HISTÓRICO (subtotal al peso; split TOU por shares del ancla). Capacidad a MIN(kW punta, umbral); tarifas por banda = concepto/kWh + vol/kWh; col Q&lt;0 (bonificación FP) aplica claw-back al ahorro. Válido &lt;700 kWp (medición neta). Excedentes PV a $0.</t>
        </is>
      </c>
    </row>
    <row r="94">
      <c r="O94" s="19" t="inlineStr">
        <is>
          <t>Techo — referencia satelital (ruta HelioScope; cruz roja = punto verificado) · confianza ?</t>
        </is>
      </c>
    </row>
  </sheetData>
  <mergeCells count="7">
    <mergeCell ref="A74:K74"/>
    <mergeCell ref="A69:K69"/>
    <mergeCell ref="A72:K72"/>
    <mergeCell ref="A73:K73"/>
    <mergeCell ref="A71:K71"/>
    <mergeCell ref="A70:K70"/>
    <mergeCell ref="A92:AB9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5" t="inlineStr">
        <is>
          <t>Fairfield Inn Vallejo (F/1596) — Memoria de cálculo y propuesta energética</t>
        </is>
      </c>
    </row>
    <row r="2">
      <c r="A2" s="5" t="inlineStr">
        <is>
          <t>RPU 573170411137 · GDMTH SIN · Demanda contratada 608 kW · 12 meses de recibo</t>
        </is>
      </c>
    </row>
    <row r="3">
      <c r="A3" s="16" t="inlineStr">
        <is>
          <t>Régimen: GENERADOR EXENTO — Medición Neta (sin permiso; Art. 30 LSE; RES/142/2017)</t>
        </is>
      </c>
    </row>
    <row r="5">
      <c r="A5" s="6" t="inlineStr">
        <is>
          <t>PARÁMETROS (desde Supuestos — edítalos ahí)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7" t="inlineStr">
        <is>
          <t>PV kWp</t>
        </is>
      </c>
      <c r="B6" s="1">
        <f>Supuestos!$B$27</f>
        <v/>
      </c>
      <c r="C6" s="17" t="inlineStr">
        <is>
          <t>BESS kW</t>
        </is>
      </c>
      <c r="D6" s="1">
        <f>Supuestos!$C$27</f>
        <v/>
      </c>
      <c r="E6" s="17" t="inlineStr">
        <is>
          <t>BESS kWh</t>
        </is>
      </c>
      <c r="F6" s="1">
        <f>Supuestos!$D$27</f>
        <v/>
      </c>
      <c r="G6" s="17" t="inlineStr">
        <is>
          <t>FP corrección</t>
        </is>
      </c>
      <c r="H6">
        <f>Supuestos!$E$27</f>
        <v/>
      </c>
      <c r="I6" s="17" t="inlineStr">
        <is>
          <t>Entrega útil kWh</t>
        </is>
      </c>
      <c r="J6" s="1">
        <f>Supuestos!$D$27*Supuestos!$B$17*SQRT(Supuestos!$B$18)</f>
        <v/>
      </c>
      <c r="K6" s="17" t="inlineStr">
        <is>
          <t>FC umbral</t>
        </is>
      </c>
      <c r="L6" s="11" t="n">
        <v>0.57</v>
      </c>
    </row>
    <row r="8">
      <c r="A8" s="6" t="inlineStr">
        <is>
          <t>1. ESTRUCTURA DE COSTO Y AHORRO (pre-IVA, año base · fórmulas vivas ← §3)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18" t="inlineStr">
        <is>
          <t>Concepto</t>
        </is>
      </c>
      <c r="B9" s="18" t="inlineStr">
        <is>
          <t>$ / año</t>
        </is>
      </c>
      <c r="C9" s="18" t="inlineStr">
        <is>
          <t>Nota</t>
        </is>
      </c>
    </row>
    <row r="10">
      <c r="A10" t="inlineStr">
        <is>
          <t>Tarifa Actual (CFE pleno, sin proyecto)</t>
        </is>
      </c>
      <c r="B10" s="1">
        <f>$E$38*$B$39</f>
        <v/>
      </c>
      <c r="C10" s="19" t="inlineStr">
        <is>
          <t>Σ recibos × anualización</t>
        </is>
      </c>
    </row>
    <row r="11">
      <c r="A11" t="inlineStr">
        <is>
          <t>(−) Ahorro PV (energía + demanda)</t>
        </is>
      </c>
      <c r="B11" s="1">
        <f>$F$38*$B$39</f>
        <v/>
      </c>
      <c r="C11" s="19" t="inlineStr">
        <is>
          <t>intermedio + umbral</t>
        </is>
      </c>
    </row>
    <row r="12">
      <c r="A12" t="inlineStr">
        <is>
          <t>(−) Ahorro BESS (punta + arbitraje)</t>
        </is>
      </c>
      <c r="B12" s="1">
        <f>$G$38*$B$39</f>
        <v/>
      </c>
      <c r="C12" s="19" t="inlineStr">
        <is>
          <t>recorte punta + arbitraje (incl. claw)</t>
        </is>
      </c>
    </row>
    <row r="13">
      <c r="A13" t="inlineStr">
        <is>
          <t>(−) Ahorro FP (corrección)</t>
        </is>
      </c>
      <c r="B13" s="1">
        <f>$H$38*$B$39</f>
        <v/>
      </c>
      <c r="C13" s="19" t="inlineStr">
        <is>
          <t>multa factor de potencia</t>
        </is>
      </c>
    </row>
    <row r="14">
      <c r="A14" s="17" t="inlineStr">
        <is>
          <t>(=) Costo neto con proyecto</t>
        </is>
      </c>
      <c r="B14" s="20">
        <f>B10-B11-B12-B13</f>
        <v/>
      </c>
    </row>
    <row r="15">
      <c r="A15" s="17" t="inlineStr">
        <is>
          <t>Ahorro proyecto / año</t>
        </is>
      </c>
      <c r="B15" s="20">
        <f>B11+B12+B13</f>
        <v/>
      </c>
    </row>
    <row r="16">
      <c r="A16" s="17" t="inlineStr">
        <is>
          <t>Ahorro %</t>
        </is>
      </c>
      <c r="B16" s="2">
        <f>B15/B10</f>
        <v/>
      </c>
    </row>
    <row r="18">
      <c r="A18" s="6" t="inlineStr">
        <is>
          <t>2. CAPEX (fórmulas vivas desde Supuestos)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t="inlineStr">
        <is>
          <t>CAPEX PV</t>
        </is>
      </c>
      <c r="B19" s="1">
        <f>Supuestos!$B$27*1000*Supuestos!$F$27*Supuestos!$B$5</f>
        <v/>
      </c>
    </row>
    <row r="20">
      <c r="A20" t="inlineStr">
        <is>
          <t>CAPEX BESS</t>
        </is>
      </c>
      <c r="B20" s="1">
        <f>Supuestos!$D$27*Supuestos!$G$27*Supuestos!$B$5</f>
        <v/>
      </c>
    </row>
    <row r="21">
      <c r="A21" t="inlineStr">
        <is>
          <t>CAPEX capacitor (FP)</t>
        </is>
      </c>
      <c r="B21" s="1">
        <f>Supuestos!$H$27</f>
        <v/>
      </c>
    </row>
    <row r="22">
      <c r="A22" s="17" t="inlineStr">
        <is>
          <t>CAPEX TOTAL</t>
        </is>
      </c>
      <c r="B22" s="20">
        <f>B19+B20+B21</f>
        <v/>
      </c>
    </row>
    <row r="24">
      <c r="A24" s="6" t="inlineStr">
        <is>
          <t>3. RESUMEN MENSUAL — Tarifa Actual vs Con Proyecto (fórmulas vivas ← §6 y Supuestos)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21" t="inlineStr">
        <is>
          <t>Mes</t>
        </is>
      </c>
      <c r="B25" s="21" t="inlineStr">
        <is>
          <t>kWh Consumo</t>
        </is>
      </c>
      <c r="C25" s="21" t="inlineStr">
        <is>
          <t>Gen PV kWh</t>
        </is>
      </c>
      <c r="D25" s="21" t="inlineStr">
        <is>
          <t>BESS desc kWh</t>
        </is>
      </c>
      <c r="E25" s="21" t="inlineStr">
        <is>
          <t>Tarifa Actual $</t>
        </is>
      </c>
      <c r="F25" s="21" t="inlineStr">
        <is>
          <t>Ah PV $</t>
        </is>
      </c>
      <c r="G25" s="21" t="inlineStr">
        <is>
          <t>Ah BESS $</t>
        </is>
      </c>
      <c r="H25" s="21" t="inlineStr">
        <is>
          <t>Ah FP $</t>
        </is>
      </c>
      <c r="I25" s="21" t="inlineStr">
        <is>
          <t>Costo c/proy $</t>
        </is>
      </c>
      <c r="J25" s="21" t="inlineStr">
        <is>
          <t>Ahorro $</t>
        </is>
      </c>
      <c r="K25" s="21" t="inlineStr">
        <is>
          <t>Ahorro %</t>
        </is>
      </c>
    </row>
    <row r="26">
      <c r="A26">
        <f>A80</f>
        <v/>
      </c>
      <c r="B26" s="1">
        <f>V80</f>
        <v/>
      </c>
      <c r="C26" s="1">
        <f>Supuestos!$B$27*S80</f>
        <v/>
      </c>
      <c r="D26" s="1">
        <f>MIN($J$6*U80,E80)</f>
        <v/>
      </c>
      <c r="E26" s="1">
        <f>SUM(J80:Q80)</f>
        <v/>
      </c>
      <c r="F26" s="1">
        <f>(MIN(C26,D80)*Y80+(MIN(H80,AA80)-MIN(H80,(V80-MIN(C26,D80))/($B$80*24*$L$6)))*AB80)*IF(Q80&lt;0,1+Q80/SUM(J80:P80),1)</f>
        <v/>
      </c>
      <c r="G26" s="1">
        <f>((MIN(H80,(V80-MIN(C26,D80))/($B$80*24*$L$6))-MIN(MAX(H80-MIN(Supuestos!$C$27,IF(T80&gt;0,$J$6/T80,0)),0),(V80-MIN(C26,D80))/($B$80*24*$L$6)))*AB80+D26*Z80-D26/Supuestos!$B$18*X80)*IF(Q80&lt;0,1+Q80/SUM(J80:P80),1)</f>
        <v/>
      </c>
      <c r="H26" s="1">
        <f>IF(Supuestos!$E$27="Sí",R80,0)</f>
        <v/>
      </c>
      <c r="I26" s="1">
        <f>E26-J26</f>
        <v/>
      </c>
      <c r="J26" s="1">
        <f>F26+G26+H26</f>
        <v/>
      </c>
      <c r="K26" s="2">
        <f>J26/E26</f>
        <v/>
      </c>
    </row>
    <row r="27">
      <c r="A27">
        <f>A81</f>
        <v/>
      </c>
      <c r="B27" s="1">
        <f>V81</f>
        <v/>
      </c>
      <c r="C27" s="1">
        <f>Supuestos!$B$27*S81</f>
        <v/>
      </c>
      <c r="D27" s="1">
        <f>MIN($J$6*U81,E81)</f>
        <v/>
      </c>
      <c r="E27" s="1">
        <f>SUM(J81:Q81)</f>
        <v/>
      </c>
      <c r="F27" s="1">
        <f>(MIN(C27,D81)*Y81+(MIN(H81,AA81)-MIN(H81,(V81-MIN(C27,D81))/($B$81*24*$L$6)))*AB81)*IF(Q81&lt;0,1+Q81/SUM(J81:P81),1)</f>
        <v/>
      </c>
      <c r="G27" s="1">
        <f>((MIN(H81,(V81-MIN(C27,D81))/($B$81*24*$L$6))-MIN(MAX(H81-MIN(Supuestos!$C$27,IF(T81&gt;0,$J$6/T81,0)),0),(V81-MIN(C27,D81))/($B$81*24*$L$6)))*AB81+D27*Z81-D27/Supuestos!$B$18*X81)*IF(Q81&lt;0,1+Q81/SUM(J81:P81),1)</f>
        <v/>
      </c>
      <c r="H27" s="1">
        <f>IF(Supuestos!$E$27="Sí",R81,0)</f>
        <v/>
      </c>
      <c r="I27" s="1">
        <f>E27-J27</f>
        <v/>
      </c>
      <c r="J27" s="1">
        <f>F27+G27+H27</f>
        <v/>
      </c>
      <c r="K27" s="2">
        <f>J27/E27</f>
        <v/>
      </c>
    </row>
    <row r="28">
      <c r="A28">
        <f>A82</f>
        <v/>
      </c>
      <c r="B28" s="1">
        <f>V82</f>
        <v/>
      </c>
      <c r="C28" s="1">
        <f>Supuestos!$B$27*S82</f>
        <v/>
      </c>
      <c r="D28" s="1">
        <f>MIN($J$6*U82,E82)</f>
        <v/>
      </c>
      <c r="E28" s="1">
        <f>SUM(J82:Q82)</f>
        <v/>
      </c>
      <c r="F28" s="1">
        <f>(MIN(C28,D82)*Y82+(MIN(H82,AA82)-MIN(H82,(V82-MIN(C28,D82))/($B$82*24*$L$6)))*AB82)*IF(Q82&lt;0,1+Q82/SUM(J82:P82),1)</f>
        <v/>
      </c>
      <c r="G28" s="1">
        <f>((MIN(H82,(V82-MIN(C28,D82))/($B$82*24*$L$6))-MIN(MAX(H82-MIN(Supuestos!$C$27,IF(T82&gt;0,$J$6/T82,0)),0),(V82-MIN(C28,D82))/($B$82*24*$L$6)))*AB82+D28*Z82-D28/Supuestos!$B$18*X82)*IF(Q82&lt;0,1+Q82/SUM(J82:P82),1)</f>
        <v/>
      </c>
      <c r="H28" s="1">
        <f>IF(Supuestos!$E$27="Sí",R82,0)</f>
        <v/>
      </c>
      <c r="I28" s="1">
        <f>E28-J28</f>
        <v/>
      </c>
      <c r="J28" s="1">
        <f>F28+G28+H28</f>
        <v/>
      </c>
      <c r="K28" s="2">
        <f>J28/E28</f>
        <v/>
      </c>
    </row>
    <row r="29">
      <c r="A29">
        <f>A83</f>
        <v/>
      </c>
      <c r="B29" s="1">
        <f>V83</f>
        <v/>
      </c>
      <c r="C29" s="1">
        <f>Supuestos!$B$27*S83</f>
        <v/>
      </c>
      <c r="D29" s="1">
        <f>MIN($J$6*U83,E83)</f>
        <v/>
      </c>
      <c r="E29" s="1">
        <f>SUM(J83:Q83)</f>
        <v/>
      </c>
      <c r="F29" s="1">
        <f>(MIN(C29,D83)*Y83+(MIN(H83,AA83)-MIN(H83,(V83-MIN(C29,D83))/($B$83*24*$L$6)))*AB83)*IF(Q83&lt;0,1+Q83/SUM(J83:P83),1)</f>
        <v/>
      </c>
      <c r="G29" s="1">
        <f>((MIN(H83,(V83-MIN(C29,D83))/($B$83*24*$L$6))-MIN(MAX(H83-MIN(Supuestos!$C$27,IF(T83&gt;0,$J$6/T83,0)),0),(V83-MIN(C29,D83))/($B$83*24*$L$6)))*AB83+D29*Z83-D29/Supuestos!$B$18*X83)*IF(Q83&lt;0,1+Q83/SUM(J83:P83),1)</f>
        <v/>
      </c>
      <c r="H29" s="1">
        <f>IF(Supuestos!$E$27="Sí",R83,0)</f>
        <v/>
      </c>
      <c r="I29" s="1">
        <f>E29-J29</f>
        <v/>
      </c>
      <c r="J29" s="1">
        <f>F29+G29+H29</f>
        <v/>
      </c>
      <c r="K29" s="2">
        <f>J29/E29</f>
        <v/>
      </c>
    </row>
    <row r="30">
      <c r="A30">
        <f>A84</f>
        <v/>
      </c>
      <c r="B30" s="1">
        <f>V84</f>
        <v/>
      </c>
      <c r="C30" s="1">
        <f>Supuestos!$B$27*S84</f>
        <v/>
      </c>
      <c r="D30" s="1">
        <f>MIN($J$6*U84,E84)</f>
        <v/>
      </c>
      <c r="E30" s="1">
        <f>SUM(J84:Q84)</f>
        <v/>
      </c>
      <c r="F30" s="1">
        <f>(MIN(C30,D84)*Y84+(MIN(H84,AA84)-MIN(H84,(V84-MIN(C30,D84))/($B$84*24*$L$6)))*AB84)*IF(Q84&lt;0,1+Q84/SUM(J84:P84),1)</f>
        <v/>
      </c>
      <c r="G30" s="1">
        <f>((MIN(H84,(V84-MIN(C30,D84))/($B$84*24*$L$6))-MIN(MAX(H84-MIN(Supuestos!$C$27,IF(T84&gt;0,$J$6/T84,0)),0),(V84-MIN(C30,D84))/($B$84*24*$L$6)))*AB84+D30*Z84-D30/Supuestos!$B$18*X84)*IF(Q84&lt;0,1+Q84/SUM(J84:P84),1)</f>
        <v/>
      </c>
      <c r="H30" s="1">
        <f>IF(Supuestos!$E$27="Sí",R84,0)</f>
        <v/>
      </c>
      <c r="I30" s="1">
        <f>E30-J30</f>
        <v/>
      </c>
      <c r="J30" s="1">
        <f>F30+G30+H30</f>
        <v/>
      </c>
      <c r="K30" s="2">
        <f>J30/E30</f>
        <v/>
      </c>
    </row>
    <row r="31">
      <c r="A31">
        <f>A85</f>
        <v/>
      </c>
      <c r="B31" s="1">
        <f>V85</f>
        <v/>
      </c>
      <c r="C31" s="1">
        <f>Supuestos!$B$27*S85</f>
        <v/>
      </c>
      <c r="D31" s="1">
        <f>MIN($J$6*U85,E85)</f>
        <v/>
      </c>
      <c r="E31" s="1">
        <f>SUM(J85:Q85)</f>
        <v/>
      </c>
      <c r="F31" s="1">
        <f>(MIN(C31,D85)*Y85+(MIN(H85,AA85)-MIN(H85,(V85-MIN(C31,D85))/($B$85*24*$L$6)))*AB85)*IF(Q85&lt;0,1+Q85/SUM(J85:P85),1)</f>
        <v/>
      </c>
      <c r="G31" s="1">
        <f>((MIN(H85,(V85-MIN(C31,D85))/($B$85*24*$L$6))-MIN(MAX(H85-MIN(Supuestos!$C$27,IF(T85&gt;0,$J$6/T85,0)),0),(V85-MIN(C31,D85))/($B$85*24*$L$6)))*AB85+D31*Z85-D31/Supuestos!$B$18*X85)*IF(Q85&lt;0,1+Q85/SUM(J85:P85),1)</f>
        <v/>
      </c>
      <c r="H31" s="1">
        <f>IF(Supuestos!$E$27="Sí",R85,0)</f>
        <v/>
      </c>
      <c r="I31" s="1">
        <f>E31-J31</f>
        <v/>
      </c>
      <c r="J31" s="1">
        <f>F31+G31+H31</f>
        <v/>
      </c>
      <c r="K31" s="2">
        <f>J31/E31</f>
        <v/>
      </c>
    </row>
    <row r="32">
      <c r="A32">
        <f>A86</f>
        <v/>
      </c>
      <c r="B32" s="1">
        <f>V86</f>
        <v/>
      </c>
      <c r="C32" s="1">
        <f>Supuestos!$B$27*S86</f>
        <v/>
      </c>
      <c r="D32" s="1">
        <f>MIN($J$6*U86,E86)</f>
        <v/>
      </c>
      <c r="E32" s="1">
        <f>SUM(J86:Q86)</f>
        <v/>
      </c>
      <c r="F32" s="1">
        <f>(MIN(C32,D86)*Y86+(MIN(H86,AA86)-MIN(H86,(V86-MIN(C32,D86))/($B$86*24*$L$6)))*AB86)*IF(Q86&lt;0,1+Q86/SUM(J86:P86),1)</f>
        <v/>
      </c>
      <c r="G32" s="1">
        <f>((MIN(H86,(V86-MIN(C32,D86))/($B$86*24*$L$6))-MIN(MAX(H86-MIN(Supuestos!$C$27,IF(T86&gt;0,$J$6/T86,0)),0),(V86-MIN(C32,D86))/($B$86*24*$L$6)))*AB86+D32*Z86-D32/Supuestos!$B$18*X86)*IF(Q86&lt;0,1+Q86/SUM(J86:P86),1)</f>
        <v/>
      </c>
      <c r="H32" s="1">
        <f>IF(Supuestos!$E$27="Sí",R86,0)</f>
        <v/>
      </c>
      <c r="I32" s="1">
        <f>E32-J32</f>
        <v/>
      </c>
      <c r="J32" s="1">
        <f>F32+G32+H32</f>
        <v/>
      </c>
      <c r="K32" s="2">
        <f>J32/E32</f>
        <v/>
      </c>
    </row>
    <row r="33">
      <c r="A33">
        <f>A87</f>
        <v/>
      </c>
      <c r="B33" s="1">
        <f>V87</f>
        <v/>
      </c>
      <c r="C33" s="1">
        <f>Supuestos!$B$27*S87</f>
        <v/>
      </c>
      <c r="D33" s="1">
        <f>MIN($J$6*U87,E87)</f>
        <v/>
      </c>
      <c r="E33" s="1">
        <f>SUM(J87:Q87)</f>
        <v/>
      </c>
      <c r="F33" s="1">
        <f>(MIN(C33,D87)*Y87+(MIN(H87,AA87)-MIN(H87,(V87-MIN(C33,D87))/($B$87*24*$L$6)))*AB87)*IF(Q87&lt;0,1+Q87/SUM(J87:P87),1)</f>
        <v/>
      </c>
      <c r="G33" s="1">
        <f>((MIN(H87,(V87-MIN(C33,D87))/($B$87*24*$L$6))-MIN(MAX(H87-MIN(Supuestos!$C$27,IF(T87&gt;0,$J$6/T87,0)),0),(V87-MIN(C33,D87))/($B$87*24*$L$6)))*AB87+D33*Z87-D33/Supuestos!$B$18*X87)*IF(Q87&lt;0,1+Q87/SUM(J87:P87),1)</f>
        <v/>
      </c>
      <c r="H33" s="1">
        <f>IF(Supuestos!$E$27="Sí",R87,0)</f>
        <v/>
      </c>
      <c r="I33" s="1">
        <f>E33-J33</f>
        <v/>
      </c>
      <c r="J33" s="1">
        <f>F33+G33+H33</f>
        <v/>
      </c>
      <c r="K33" s="2">
        <f>J33/E33</f>
        <v/>
      </c>
    </row>
    <row r="34">
      <c r="A34">
        <f>A88</f>
        <v/>
      </c>
      <c r="B34" s="1">
        <f>V88</f>
        <v/>
      </c>
      <c r="C34" s="1">
        <f>Supuestos!$B$27*S88</f>
        <v/>
      </c>
      <c r="D34" s="1">
        <f>MIN($J$6*U88,E88)</f>
        <v/>
      </c>
      <c r="E34" s="1">
        <f>SUM(J88:Q88)</f>
        <v/>
      </c>
      <c r="F34" s="1">
        <f>(MIN(C34,D88)*Y88+(MIN(H88,AA88)-MIN(H88,(V88-MIN(C34,D88))/($B$88*24*$L$6)))*AB88)*IF(Q88&lt;0,1+Q88/SUM(J88:P88),1)</f>
        <v/>
      </c>
      <c r="G34" s="1">
        <f>((MIN(H88,(V88-MIN(C34,D88))/($B$88*24*$L$6))-MIN(MAX(H88-MIN(Supuestos!$C$27,IF(T88&gt;0,$J$6/T88,0)),0),(V88-MIN(C34,D88))/($B$88*24*$L$6)))*AB88+D34*Z88-D34/Supuestos!$B$18*X88)*IF(Q88&lt;0,1+Q88/SUM(J88:P88),1)</f>
        <v/>
      </c>
      <c r="H34" s="1">
        <f>IF(Supuestos!$E$27="Sí",R88,0)</f>
        <v/>
      </c>
      <c r="I34" s="1">
        <f>E34-J34</f>
        <v/>
      </c>
      <c r="J34" s="1">
        <f>F34+G34+H34</f>
        <v/>
      </c>
      <c r="K34" s="2">
        <f>J34/E34</f>
        <v/>
      </c>
    </row>
    <row r="35">
      <c r="A35">
        <f>A89</f>
        <v/>
      </c>
      <c r="B35" s="1">
        <f>V89</f>
        <v/>
      </c>
      <c r="C35" s="1">
        <f>Supuestos!$B$27*S89</f>
        <v/>
      </c>
      <c r="D35" s="1">
        <f>MIN($J$6*U89,E89)</f>
        <v/>
      </c>
      <c r="E35" s="1">
        <f>SUM(J89:Q89)</f>
        <v/>
      </c>
      <c r="F35" s="1">
        <f>(MIN(C35,D89)*Y89+(MIN(H89,AA89)-MIN(H89,(V89-MIN(C35,D89))/($B$89*24*$L$6)))*AB89)*IF(Q89&lt;0,1+Q89/SUM(J89:P89),1)</f>
        <v/>
      </c>
      <c r="G35" s="1">
        <f>((MIN(H89,(V89-MIN(C35,D89))/($B$89*24*$L$6))-MIN(MAX(H89-MIN(Supuestos!$C$27,IF(T89&gt;0,$J$6/T89,0)),0),(V89-MIN(C35,D89))/($B$89*24*$L$6)))*AB89+D35*Z89-D35/Supuestos!$B$18*X89)*IF(Q89&lt;0,1+Q89/SUM(J89:P89),1)</f>
        <v/>
      </c>
      <c r="H35" s="1">
        <f>IF(Supuestos!$E$27="Sí",R89,0)</f>
        <v/>
      </c>
      <c r="I35" s="1">
        <f>E35-J35</f>
        <v/>
      </c>
      <c r="J35" s="1">
        <f>F35+G35+H35</f>
        <v/>
      </c>
      <c r="K35" s="2">
        <f>J35/E35</f>
        <v/>
      </c>
    </row>
    <row r="36">
      <c r="A36">
        <f>A90</f>
        <v/>
      </c>
      <c r="B36" s="1">
        <f>V90</f>
        <v/>
      </c>
      <c r="C36" s="1">
        <f>Supuestos!$B$27*S90</f>
        <v/>
      </c>
      <c r="D36" s="1">
        <f>MIN($J$6*U90,E90)</f>
        <v/>
      </c>
      <c r="E36" s="1">
        <f>SUM(J90:Q90)</f>
        <v/>
      </c>
      <c r="F36" s="1">
        <f>(MIN(C36,D90)*Y90+(MIN(H90,AA90)-MIN(H90,(V90-MIN(C36,D90))/($B$90*24*$L$6)))*AB90)*IF(Q90&lt;0,1+Q90/SUM(J90:P90),1)</f>
        <v/>
      </c>
      <c r="G36" s="1">
        <f>((MIN(H90,(V90-MIN(C36,D90))/($B$90*24*$L$6))-MIN(MAX(H90-MIN(Supuestos!$C$27,IF(T90&gt;0,$J$6/T90,0)),0),(V90-MIN(C36,D90))/($B$90*24*$L$6)))*AB90+D36*Z90-D36/Supuestos!$B$18*X90)*IF(Q90&lt;0,1+Q90/SUM(J90:P90),1)</f>
        <v/>
      </c>
      <c r="H36" s="1">
        <f>IF(Supuestos!$E$27="Sí",R90,0)</f>
        <v/>
      </c>
      <c r="I36" s="1">
        <f>E36-J36</f>
        <v/>
      </c>
      <c r="J36" s="1">
        <f>F36+G36+H36</f>
        <v/>
      </c>
      <c r="K36" s="2">
        <f>J36/E36</f>
        <v/>
      </c>
    </row>
    <row r="37">
      <c r="A37">
        <f>A91</f>
        <v/>
      </c>
      <c r="B37" s="1">
        <f>V91</f>
        <v/>
      </c>
      <c r="C37" s="1">
        <f>Supuestos!$B$27*S91</f>
        <v/>
      </c>
      <c r="D37" s="1">
        <f>MIN($J$6*U91,E91)</f>
        <v/>
      </c>
      <c r="E37" s="1">
        <f>SUM(J91:Q91)</f>
        <v/>
      </c>
      <c r="F37" s="1">
        <f>(MIN(C37,D91)*Y91+(MIN(H91,AA91)-MIN(H91,(V91-MIN(C37,D91))/($B$91*24*$L$6)))*AB91)*IF(Q91&lt;0,1+Q91/SUM(J91:P91),1)</f>
        <v/>
      </c>
      <c r="G37" s="1">
        <f>((MIN(H91,(V91-MIN(C37,D91))/($B$91*24*$L$6))-MIN(MAX(H91-MIN(Supuestos!$C$27,IF(T91&gt;0,$J$6/T91,0)),0),(V91-MIN(C37,D91))/($B$91*24*$L$6)))*AB91+D37*Z91-D37/Supuestos!$B$18*X91)*IF(Q91&lt;0,1+Q91/SUM(J91:P91),1)</f>
        <v/>
      </c>
      <c r="H37" s="1">
        <f>IF(Supuestos!$E$27="Sí",R91,0)</f>
        <v/>
      </c>
      <c r="I37" s="1">
        <f>E37-J37</f>
        <v/>
      </c>
      <c r="J37" s="1">
        <f>F37+G37+H37</f>
        <v/>
      </c>
      <c r="K37" s="2">
        <f>J37/E37</f>
        <v/>
      </c>
    </row>
    <row r="38">
      <c r="A38" s="17" t="inlineStr">
        <is>
          <t>TOTAL</t>
        </is>
      </c>
      <c r="B38" s="22">
        <f>SUM(B26:B37)</f>
        <v/>
      </c>
      <c r="C38" s="22">
        <f>SUM(C26:C37)</f>
        <v/>
      </c>
      <c r="D38" s="22">
        <f>SUM(D26:D37)</f>
        <v/>
      </c>
      <c r="E38" s="22">
        <f>SUM(E26:E37)</f>
        <v/>
      </c>
      <c r="F38" s="22">
        <f>SUM(F26:F37)</f>
        <v/>
      </c>
      <c r="G38" s="22">
        <f>SUM(G26:G37)</f>
        <v/>
      </c>
      <c r="H38" s="22">
        <f>SUM(H26:H37)</f>
        <v/>
      </c>
      <c r="I38" s="22">
        <f>SUM(I26:I37)</f>
        <v/>
      </c>
      <c r="J38" s="22">
        <f>SUM(J26:J37)</f>
        <v/>
      </c>
      <c r="K38" s="23">
        <f>J38/E38</f>
        <v/>
      </c>
    </row>
    <row r="39">
      <c r="A39" s="5" t="inlineStr">
        <is>
          <t>Factor anualización (12/meses):</t>
        </is>
      </c>
      <c r="B39" s="24" t="n">
        <v>1</v>
      </c>
    </row>
    <row r="40">
      <c r="A40" s="6" t="inlineStr">
        <is>
          <t>4. PROYECCIÓN 20 AÑOS — Comprar vs PPA/Ahorro compartido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12" t="inlineStr">
        <is>
          <t>Año</t>
        </is>
      </c>
      <c r="B41" s="12" t="inlineStr">
        <is>
          <t>Tarifa Actual $</t>
        </is>
      </c>
      <c r="C41" s="12" t="inlineStr">
        <is>
          <t>Ah PV $</t>
        </is>
      </c>
      <c r="D41" s="12" t="inlineStr">
        <is>
          <t>Ah BESS $</t>
        </is>
      </c>
      <c r="E41" s="12" t="inlineStr">
        <is>
          <t>Ah FP $</t>
        </is>
      </c>
      <c r="F41" s="12" t="inlineStr">
        <is>
          <t>Costo c/proy $</t>
        </is>
      </c>
      <c r="G41" s="12" t="inlineStr">
        <is>
          <t>Flujo Compra $</t>
        </is>
      </c>
      <c r="H41" s="12" t="inlineStr">
        <is>
          <t>Pago PPA $</t>
        </is>
      </c>
      <c r="I41" s="12" t="inlineStr">
        <is>
          <t>Comisión $</t>
        </is>
      </c>
      <c r="J41" s="12" t="inlineStr">
        <is>
          <t>Flujo Cliente PPA $</t>
        </is>
      </c>
      <c r="K41" s="12" t="inlineStr">
        <is>
          <t>Flujo Financiador $</t>
        </is>
      </c>
      <c r="L41" s="12" t="inlineStr">
        <is>
          <t>Acum Compra $</t>
        </is>
      </c>
      <c r="M41" s="12" t="inlineStr">
        <is>
          <t>Acum Cliente PPA $</t>
        </is>
      </c>
    </row>
    <row r="42">
      <c r="A42" t="n">
        <v>0</v>
      </c>
      <c r="G42" s="1">
        <f>-B22</f>
        <v/>
      </c>
      <c r="K42" s="1">
        <f>-B22</f>
        <v/>
      </c>
      <c r="L42" s="1">
        <f>G42</f>
        <v/>
      </c>
      <c r="M42" s="1" t="n">
        <v>0</v>
      </c>
    </row>
    <row r="43">
      <c r="A43" t="n">
        <v>1</v>
      </c>
      <c r="B43" s="1">
        <f>$E$38*$B$39*(1+Supuestos!$B$8)^1</f>
        <v/>
      </c>
      <c r="C43" s="1">
        <f>$F$38*$B$39*(1+Supuestos!$B$8)^1*((1-Supuestos!$B$11)*(1-Supuestos!$B$12)^0)</f>
        <v/>
      </c>
      <c r="D43" s="1">
        <f>$G$38*$B$39*(1+Supuestos!$B$8)^1*(1-Supuestos!$B$13)^1*Supuestos!$B$10</f>
        <v/>
      </c>
      <c r="E43" s="1">
        <f>$H$38*$B$39*(1+Supuestos!$B$8)^1</f>
        <v/>
      </c>
      <c r="F43" s="1">
        <f>B43-C43-D43-E43</f>
        <v/>
      </c>
      <c r="G43" s="1">
        <f>C43+D43+E43-(IF(1&lt;=Supuestos!$J$27,Supuestos!$B$19*Supuestos!$B$27*(1+Supuestos!$B$8)^0,0)+IF(1&lt;=Supuestos!$B$22,Supuestos!$B$20*Supuestos!$D$27*(1+Supuestos!$B$8)^0,0))</f>
        <v/>
      </c>
      <c r="H43" s="1">
        <f>IF(1&lt;=Supuestos!$J$27,$C$38*$B$39*((1-Supuestos!$B$11)*(1-Supuestos!$B$12)^0)*Supuestos!$I$27*(1+Supuestos!$B$9)^0,0)</f>
        <v/>
      </c>
      <c r="I43" s="1">
        <f>IF(1&lt;=Supuestos!$B$22,D43*Supuestos!$K$27,0)</f>
        <v/>
      </c>
      <c r="J43" s="1">
        <f>C43+D43+E43-H43-I43</f>
        <v/>
      </c>
      <c r="K43" s="1">
        <f>H43+I43-(IF(1&lt;=Supuestos!$J$27,Supuestos!$B$19*Supuestos!$B$27*(1+Supuestos!$B$8)^0,0)+IF(1&lt;=Supuestos!$B$22,Supuestos!$B$20*Supuestos!$D$27*(1+Supuestos!$B$8)^0,0))-H43*Supuestos!$B$21</f>
        <v/>
      </c>
      <c r="L43" s="1">
        <f>L42+G43</f>
        <v/>
      </c>
      <c r="M43" s="1">
        <f>M42+J43</f>
        <v/>
      </c>
    </row>
    <row r="44">
      <c r="A44" t="n">
        <v>2</v>
      </c>
      <c r="B44" s="1">
        <f>$E$38*$B$39*(1+Supuestos!$B$8)^2</f>
        <v/>
      </c>
      <c r="C44" s="1">
        <f>$F$38*$B$39*(1+Supuestos!$B$8)^2*((1-Supuestos!$B$11)*(1-Supuestos!$B$12)^1)</f>
        <v/>
      </c>
      <c r="D44" s="1">
        <f>$G$38*$B$39*(1+Supuestos!$B$8)^2*(1-Supuestos!$B$13)^2*Supuestos!$B$10</f>
        <v/>
      </c>
      <c r="E44" s="1">
        <f>$H$38*$B$39*(1+Supuestos!$B$8)^2</f>
        <v/>
      </c>
      <c r="F44" s="1">
        <f>B44-C44-D44-E44</f>
        <v/>
      </c>
      <c r="G44" s="1">
        <f>C44+D44+E44-(IF(2&lt;=Supuestos!$J$27,Supuestos!$B$19*Supuestos!$B$27*(1+Supuestos!$B$8)^1,0)+IF(2&lt;=Supuestos!$B$22,Supuestos!$B$20*Supuestos!$D$27*(1+Supuestos!$B$8)^1,0))</f>
        <v/>
      </c>
      <c r="H44" s="1">
        <f>IF(2&lt;=Supuestos!$J$27,$C$38*$B$39*((1-Supuestos!$B$11)*(1-Supuestos!$B$12)^1)*Supuestos!$I$27*(1+Supuestos!$B$9)^1,0)</f>
        <v/>
      </c>
      <c r="I44" s="1">
        <f>IF(2&lt;=Supuestos!$B$22,D44*Supuestos!$K$27,0)</f>
        <v/>
      </c>
      <c r="J44" s="1">
        <f>C44+D44+E44-H44-I44</f>
        <v/>
      </c>
      <c r="K44" s="1">
        <f>H44+I44-(IF(2&lt;=Supuestos!$J$27,Supuestos!$B$19*Supuestos!$B$27*(1+Supuestos!$B$8)^1,0)+IF(2&lt;=Supuestos!$B$22,Supuestos!$B$20*Supuestos!$D$27*(1+Supuestos!$B$8)^1,0))-H44*Supuestos!$B$21</f>
        <v/>
      </c>
      <c r="L44" s="1">
        <f>L43+G44</f>
        <v/>
      </c>
      <c r="M44" s="1">
        <f>M43+J44</f>
        <v/>
      </c>
    </row>
    <row r="45">
      <c r="A45" t="n">
        <v>3</v>
      </c>
      <c r="B45" s="1">
        <f>$E$38*$B$39*(1+Supuestos!$B$8)^3</f>
        <v/>
      </c>
      <c r="C45" s="1">
        <f>$F$38*$B$39*(1+Supuestos!$B$8)^3*((1-Supuestos!$B$11)*(1-Supuestos!$B$12)^2)</f>
        <v/>
      </c>
      <c r="D45" s="1">
        <f>$G$38*$B$39*(1+Supuestos!$B$8)^3*(1-Supuestos!$B$13)^3*Supuestos!$B$10</f>
        <v/>
      </c>
      <c r="E45" s="1">
        <f>$H$38*$B$39*(1+Supuestos!$B$8)^3</f>
        <v/>
      </c>
      <c r="F45" s="1">
        <f>B45-C45-D45-E45</f>
        <v/>
      </c>
      <c r="G45" s="1">
        <f>C45+D45+E45-(IF(3&lt;=Supuestos!$J$27,Supuestos!$B$19*Supuestos!$B$27*(1+Supuestos!$B$8)^2,0)+IF(3&lt;=Supuestos!$B$22,Supuestos!$B$20*Supuestos!$D$27*(1+Supuestos!$B$8)^2,0))</f>
        <v/>
      </c>
      <c r="H45" s="1">
        <f>IF(3&lt;=Supuestos!$J$27,$C$38*$B$39*((1-Supuestos!$B$11)*(1-Supuestos!$B$12)^2)*Supuestos!$I$27*(1+Supuestos!$B$9)^2,0)</f>
        <v/>
      </c>
      <c r="I45" s="1">
        <f>IF(3&lt;=Supuestos!$B$22,D45*Supuestos!$K$27,0)</f>
        <v/>
      </c>
      <c r="J45" s="1">
        <f>C45+D45+E45-H45-I45</f>
        <v/>
      </c>
      <c r="K45" s="1">
        <f>H45+I45-(IF(3&lt;=Supuestos!$J$27,Supuestos!$B$19*Supuestos!$B$27*(1+Supuestos!$B$8)^2,0)+IF(3&lt;=Supuestos!$B$22,Supuestos!$B$20*Supuestos!$D$27*(1+Supuestos!$B$8)^2,0))-H45*Supuestos!$B$21</f>
        <v/>
      </c>
      <c r="L45" s="1">
        <f>L44+G45</f>
        <v/>
      </c>
      <c r="M45" s="1">
        <f>M44+J45</f>
        <v/>
      </c>
    </row>
    <row r="46">
      <c r="A46" t="n">
        <v>4</v>
      </c>
      <c r="B46" s="1">
        <f>$E$38*$B$39*(1+Supuestos!$B$8)^4</f>
        <v/>
      </c>
      <c r="C46" s="1">
        <f>$F$38*$B$39*(1+Supuestos!$B$8)^4*((1-Supuestos!$B$11)*(1-Supuestos!$B$12)^3)</f>
        <v/>
      </c>
      <c r="D46" s="1">
        <f>$G$38*$B$39*(1+Supuestos!$B$8)^4*(1-Supuestos!$B$13)^4*Supuestos!$B$10</f>
        <v/>
      </c>
      <c r="E46" s="1">
        <f>$H$38*$B$39*(1+Supuestos!$B$8)^4</f>
        <v/>
      </c>
      <c r="F46" s="1">
        <f>B46-C46-D46-E46</f>
        <v/>
      </c>
      <c r="G46" s="1">
        <f>C46+D46+E46-(IF(4&lt;=Supuestos!$J$27,Supuestos!$B$19*Supuestos!$B$27*(1+Supuestos!$B$8)^3,0)+IF(4&lt;=Supuestos!$B$22,Supuestos!$B$20*Supuestos!$D$27*(1+Supuestos!$B$8)^3,0))</f>
        <v/>
      </c>
      <c r="H46" s="1">
        <f>IF(4&lt;=Supuestos!$J$27,$C$38*$B$39*((1-Supuestos!$B$11)*(1-Supuestos!$B$12)^3)*Supuestos!$I$27*(1+Supuestos!$B$9)^3,0)</f>
        <v/>
      </c>
      <c r="I46" s="1">
        <f>IF(4&lt;=Supuestos!$B$22,D46*Supuestos!$K$27,0)</f>
        <v/>
      </c>
      <c r="J46" s="1">
        <f>C46+D46+E46-H46-I46</f>
        <v/>
      </c>
      <c r="K46" s="1">
        <f>H46+I46-(IF(4&lt;=Supuestos!$J$27,Supuestos!$B$19*Supuestos!$B$27*(1+Supuestos!$B$8)^3,0)+IF(4&lt;=Supuestos!$B$22,Supuestos!$B$20*Supuestos!$D$27*(1+Supuestos!$B$8)^3,0))-H46*Supuestos!$B$21</f>
        <v/>
      </c>
      <c r="L46" s="1">
        <f>L45+G46</f>
        <v/>
      </c>
      <c r="M46" s="1">
        <f>M45+J46</f>
        <v/>
      </c>
    </row>
    <row r="47">
      <c r="A47" t="n">
        <v>5</v>
      </c>
      <c r="B47" s="1">
        <f>$E$38*$B$39*(1+Supuestos!$B$8)^5</f>
        <v/>
      </c>
      <c r="C47" s="1">
        <f>$F$38*$B$39*(1+Supuestos!$B$8)^5*((1-Supuestos!$B$11)*(1-Supuestos!$B$12)^4)</f>
        <v/>
      </c>
      <c r="D47" s="1">
        <f>$G$38*$B$39*(1+Supuestos!$B$8)^5*(1-Supuestos!$B$13)^5*Supuestos!$B$10</f>
        <v/>
      </c>
      <c r="E47" s="1">
        <f>$H$38*$B$39*(1+Supuestos!$B$8)^5</f>
        <v/>
      </c>
      <c r="F47" s="1">
        <f>B47-C47-D47-E47</f>
        <v/>
      </c>
      <c r="G47" s="1">
        <f>C47+D47+E47-(IF(5&lt;=Supuestos!$J$27,Supuestos!$B$19*Supuestos!$B$27*(1+Supuestos!$B$8)^4,0)+IF(5&lt;=Supuestos!$B$22,Supuestos!$B$20*Supuestos!$D$27*(1+Supuestos!$B$8)^4,0))</f>
        <v/>
      </c>
      <c r="H47" s="1">
        <f>IF(5&lt;=Supuestos!$J$27,$C$38*$B$39*((1-Supuestos!$B$11)*(1-Supuestos!$B$12)^4)*Supuestos!$I$27*(1+Supuestos!$B$9)^4,0)</f>
        <v/>
      </c>
      <c r="I47" s="1">
        <f>IF(5&lt;=Supuestos!$B$22,D47*Supuestos!$K$27,0)</f>
        <v/>
      </c>
      <c r="J47" s="1">
        <f>C47+D47+E47-H47-I47</f>
        <v/>
      </c>
      <c r="K47" s="1">
        <f>H47+I47-(IF(5&lt;=Supuestos!$J$27,Supuestos!$B$19*Supuestos!$B$27*(1+Supuestos!$B$8)^4,0)+IF(5&lt;=Supuestos!$B$22,Supuestos!$B$20*Supuestos!$D$27*(1+Supuestos!$B$8)^4,0))-H47*Supuestos!$B$21</f>
        <v/>
      </c>
      <c r="L47" s="1">
        <f>L46+G47</f>
        <v/>
      </c>
      <c r="M47" s="1">
        <f>M46+J47</f>
        <v/>
      </c>
    </row>
    <row r="48">
      <c r="A48" t="n">
        <v>6</v>
      </c>
      <c r="B48" s="1">
        <f>$E$38*$B$39*(1+Supuestos!$B$8)^6</f>
        <v/>
      </c>
      <c r="C48" s="1">
        <f>$F$38*$B$39*(1+Supuestos!$B$8)^6*((1-Supuestos!$B$11)*(1-Supuestos!$B$12)^5)</f>
        <v/>
      </c>
      <c r="D48" s="1">
        <f>$G$38*$B$39*(1+Supuestos!$B$8)^6*(1-Supuestos!$B$13)^6*Supuestos!$B$10</f>
        <v/>
      </c>
      <c r="E48" s="1">
        <f>$H$38*$B$39*(1+Supuestos!$B$8)^6</f>
        <v/>
      </c>
      <c r="F48" s="1">
        <f>B48-C48-D48-E48</f>
        <v/>
      </c>
      <c r="G48" s="1">
        <f>C48+D48+E48-(IF(6&lt;=Supuestos!$J$27,Supuestos!$B$19*Supuestos!$B$27*(1+Supuestos!$B$8)^5,0)+IF(6&lt;=Supuestos!$B$22,Supuestos!$B$20*Supuestos!$D$27*(1+Supuestos!$B$8)^5,0))</f>
        <v/>
      </c>
      <c r="H48" s="1">
        <f>IF(6&lt;=Supuestos!$J$27,$C$38*$B$39*((1-Supuestos!$B$11)*(1-Supuestos!$B$12)^5)*Supuestos!$I$27*(1+Supuestos!$B$9)^5,0)</f>
        <v/>
      </c>
      <c r="I48" s="1">
        <f>IF(6&lt;=Supuestos!$B$22,D48*Supuestos!$K$27,0)</f>
        <v/>
      </c>
      <c r="J48" s="1">
        <f>C48+D48+E48-H48-I48</f>
        <v/>
      </c>
      <c r="K48" s="1">
        <f>H48+I48-(IF(6&lt;=Supuestos!$J$27,Supuestos!$B$19*Supuestos!$B$27*(1+Supuestos!$B$8)^5,0)+IF(6&lt;=Supuestos!$B$22,Supuestos!$B$20*Supuestos!$D$27*(1+Supuestos!$B$8)^5,0))-H48*Supuestos!$B$21</f>
        <v/>
      </c>
      <c r="L48" s="1">
        <f>L47+G48</f>
        <v/>
      </c>
      <c r="M48" s="1">
        <f>M47+J48</f>
        <v/>
      </c>
    </row>
    <row r="49">
      <c r="A49" t="n">
        <v>7</v>
      </c>
      <c r="B49" s="1">
        <f>$E$38*$B$39*(1+Supuestos!$B$8)^7</f>
        <v/>
      </c>
      <c r="C49" s="1">
        <f>$F$38*$B$39*(1+Supuestos!$B$8)^7*((1-Supuestos!$B$11)*(1-Supuestos!$B$12)^6)</f>
        <v/>
      </c>
      <c r="D49" s="1">
        <f>$G$38*$B$39*(1+Supuestos!$B$8)^7*(1-Supuestos!$B$13)^7*Supuestos!$B$10</f>
        <v/>
      </c>
      <c r="E49" s="1">
        <f>$H$38*$B$39*(1+Supuestos!$B$8)^7</f>
        <v/>
      </c>
      <c r="F49" s="1">
        <f>B49-C49-D49-E49</f>
        <v/>
      </c>
      <c r="G49" s="1">
        <f>C49+D49+E49-(IF(7&lt;=Supuestos!$J$27,Supuestos!$B$19*Supuestos!$B$27*(1+Supuestos!$B$8)^6,0)+IF(7&lt;=Supuestos!$B$22,Supuestos!$B$20*Supuestos!$D$27*(1+Supuestos!$B$8)^6,0))</f>
        <v/>
      </c>
      <c r="H49" s="1">
        <f>IF(7&lt;=Supuestos!$J$27,$C$38*$B$39*((1-Supuestos!$B$11)*(1-Supuestos!$B$12)^6)*Supuestos!$I$27*(1+Supuestos!$B$9)^6,0)</f>
        <v/>
      </c>
      <c r="I49" s="1">
        <f>IF(7&lt;=Supuestos!$B$22,D49*Supuestos!$K$27,0)</f>
        <v/>
      </c>
      <c r="J49" s="1">
        <f>C49+D49+E49-H49-I49</f>
        <v/>
      </c>
      <c r="K49" s="1">
        <f>H49+I49-(IF(7&lt;=Supuestos!$J$27,Supuestos!$B$19*Supuestos!$B$27*(1+Supuestos!$B$8)^6,0)+IF(7&lt;=Supuestos!$B$22,Supuestos!$B$20*Supuestos!$D$27*(1+Supuestos!$B$8)^6,0))-H49*Supuestos!$B$21</f>
        <v/>
      </c>
      <c r="L49" s="1">
        <f>L48+G49</f>
        <v/>
      </c>
      <c r="M49" s="1">
        <f>M48+J49</f>
        <v/>
      </c>
    </row>
    <row r="50">
      <c r="A50" t="n">
        <v>8</v>
      </c>
      <c r="B50" s="1">
        <f>$E$38*$B$39*(1+Supuestos!$B$8)^8</f>
        <v/>
      </c>
      <c r="C50" s="1">
        <f>$F$38*$B$39*(1+Supuestos!$B$8)^8*((1-Supuestos!$B$11)*(1-Supuestos!$B$12)^7)</f>
        <v/>
      </c>
      <c r="D50" s="1">
        <f>$G$38*$B$39*(1+Supuestos!$B$8)^8*(1-Supuestos!$B$13)^8*Supuestos!$B$10</f>
        <v/>
      </c>
      <c r="E50" s="1">
        <f>$H$38*$B$39*(1+Supuestos!$B$8)^8</f>
        <v/>
      </c>
      <c r="F50" s="1">
        <f>B50-C50-D50-E50</f>
        <v/>
      </c>
      <c r="G50" s="1">
        <f>C50+D50+E50-(IF(8&lt;=Supuestos!$J$27,Supuestos!$B$19*Supuestos!$B$27*(1+Supuestos!$B$8)^7,0)+IF(8&lt;=Supuestos!$B$22,Supuestos!$B$20*Supuestos!$D$27*(1+Supuestos!$B$8)^7,0))</f>
        <v/>
      </c>
      <c r="H50" s="1">
        <f>IF(8&lt;=Supuestos!$J$27,$C$38*$B$39*((1-Supuestos!$B$11)*(1-Supuestos!$B$12)^7)*Supuestos!$I$27*(1+Supuestos!$B$9)^7,0)</f>
        <v/>
      </c>
      <c r="I50" s="1">
        <f>IF(8&lt;=Supuestos!$B$22,D50*Supuestos!$K$27,0)</f>
        <v/>
      </c>
      <c r="J50" s="1">
        <f>C50+D50+E50-H50-I50</f>
        <v/>
      </c>
      <c r="K50" s="1">
        <f>H50+I50-(IF(8&lt;=Supuestos!$J$27,Supuestos!$B$19*Supuestos!$B$27*(1+Supuestos!$B$8)^7,0)+IF(8&lt;=Supuestos!$B$22,Supuestos!$B$20*Supuestos!$D$27*(1+Supuestos!$B$8)^7,0))-H50*Supuestos!$B$21</f>
        <v/>
      </c>
      <c r="L50" s="1">
        <f>L49+G50</f>
        <v/>
      </c>
      <c r="M50" s="1">
        <f>M49+J50</f>
        <v/>
      </c>
    </row>
    <row r="51">
      <c r="A51" t="n">
        <v>9</v>
      </c>
      <c r="B51" s="1">
        <f>$E$38*$B$39*(1+Supuestos!$B$8)^9</f>
        <v/>
      </c>
      <c r="C51" s="1">
        <f>$F$38*$B$39*(1+Supuestos!$B$8)^9*((1-Supuestos!$B$11)*(1-Supuestos!$B$12)^8)</f>
        <v/>
      </c>
      <c r="D51" s="1">
        <f>$G$38*$B$39*(1+Supuestos!$B$8)^9*(1-Supuestos!$B$13)^9*Supuestos!$B$10</f>
        <v/>
      </c>
      <c r="E51" s="1">
        <f>$H$38*$B$39*(1+Supuestos!$B$8)^9</f>
        <v/>
      </c>
      <c r="F51" s="1">
        <f>B51-C51-D51-E51</f>
        <v/>
      </c>
      <c r="G51" s="1">
        <f>C51+D51+E51-(IF(9&lt;=Supuestos!$J$27,Supuestos!$B$19*Supuestos!$B$27*(1+Supuestos!$B$8)^8,0)+IF(9&lt;=Supuestos!$B$22,Supuestos!$B$20*Supuestos!$D$27*(1+Supuestos!$B$8)^8,0))</f>
        <v/>
      </c>
      <c r="H51" s="1">
        <f>IF(9&lt;=Supuestos!$J$27,$C$38*$B$39*((1-Supuestos!$B$11)*(1-Supuestos!$B$12)^8)*Supuestos!$I$27*(1+Supuestos!$B$9)^8,0)</f>
        <v/>
      </c>
      <c r="I51" s="1">
        <f>IF(9&lt;=Supuestos!$B$22,D51*Supuestos!$K$27,0)</f>
        <v/>
      </c>
      <c r="J51" s="1">
        <f>C51+D51+E51-H51-I51</f>
        <v/>
      </c>
      <c r="K51" s="1">
        <f>H51+I51-(IF(9&lt;=Supuestos!$J$27,Supuestos!$B$19*Supuestos!$B$27*(1+Supuestos!$B$8)^8,0)+IF(9&lt;=Supuestos!$B$22,Supuestos!$B$20*Supuestos!$D$27*(1+Supuestos!$B$8)^8,0))-H51*Supuestos!$B$21</f>
        <v/>
      </c>
      <c r="L51" s="1">
        <f>L50+G51</f>
        <v/>
      </c>
      <c r="M51" s="1">
        <f>M50+J51</f>
        <v/>
      </c>
    </row>
    <row r="52">
      <c r="A52" t="n">
        <v>10</v>
      </c>
      <c r="B52" s="1">
        <f>$E$38*$B$39*(1+Supuestos!$B$8)^10</f>
        <v/>
      </c>
      <c r="C52" s="1">
        <f>$F$38*$B$39*(1+Supuestos!$B$8)^10*((1-Supuestos!$B$11)*(1-Supuestos!$B$12)^9)</f>
        <v/>
      </c>
      <c r="D52" s="1">
        <f>$G$38*$B$39*(1+Supuestos!$B$8)^10*(1-Supuestos!$B$13)^10*Supuestos!$B$10</f>
        <v/>
      </c>
      <c r="E52" s="1">
        <f>$H$38*$B$39*(1+Supuestos!$B$8)^10</f>
        <v/>
      </c>
      <c r="F52" s="1">
        <f>B52-C52-D52-E52</f>
        <v/>
      </c>
      <c r="G52" s="1">
        <f>C52+D52+E52-(IF(10&lt;=Supuestos!$J$27,Supuestos!$B$19*Supuestos!$B$27*(1+Supuestos!$B$8)^9,0)+IF(10&lt;=Supuestos!$B$22,Supuestos!$B$20*Supuestos!$D$27*(1+Supuestos!$B$8)^9,0))</f>
        <v/>
      </c>
      <c r="H52" s="1">
        <f>IF(10&lt;=Supuestos!$J$27,$C$38*$B$39*((1-Supuestos!$B$11)*(1-Supuestos!$B$12)^9)*Supuestos!$I$27*(1+Supuestos!$B$9)^9,0)</f>
        <v/>
      </c>
      <c r="I52" s="1">
        <f>IF(10&lt;=Supuestos!$B$22,D52*Supuestos!$K$27,0)</f>
        <v/>
      </c>
      <c r="J52" s="1">
        <f>C52+D52+E52-H52-I52</f>
        <v/>
      </c>
      <c r="K52" s="1">
        <f>H52+I52-(IF(10&lt;=Supuestos!$J$27,Supuestos!$B$19*Supuestos!$B$27*(1+Supuestos!$B$8)^9,0)+IF(10&lt;=Supuestos!$B$22,Supuestos!$B$20*Supuestos!$D$27*(1+Supuestos!$B$8)^9,0))-H52*Supuestos!$B$21</f>
        <v/>
      </c>
      <c r="L52" s="1">
        <f>L51+G52</f>
        <v/>
      </c>
      <c r="M52" s="1">
        <f>M51+J52</f>
        <v/>
      </c>
    </row>
    <row r="53">
      <c r="A53" t="n">
        <v>11</v>
      </c>
      <c r="B53" s="1">
        <f>$E$38*$B$39*(1+Supuestos!$B$8)^11</f>
        <v/>
      </c>
      <c r="C53" s="1">
        <f>$F$38*$B$39*(1+Supuestos!$B$8)^11*((1-Supuestos!$B$11)*(1-Supuestos!$B$12)^10)</f>
        <v/>
      </c>
      <c r="D53" s="1">
        <f>$G$38*$B$39*(1+Supuestos!$B$8)^11*(1-Supuestos!$B$13)^11*Supuestos!$B$10</f>
        <v/>
      </c>
      <c r="E53" s="1">
        <f>$H$38*$B$39*(1+Supuestos!$B$8)^11</f>
        <v/>
      </c>
      <c r="F53" s="1">
        <f>B53-C53-D53-E53</f>
        <v/>
      </c>
      <c r="G53" s="1">
        <f>C53+D53+E53-(IF(11&lt;=Supuestos!$J$27,Supuestos!$B$19*Supuestos!$B$27*(1+Supuestos!$B$8)^10,0)+IF(11&lt;=Supuestos!$B$22,Supuestos!$B$20*Supuestos!$D$27*(1+Supuestos!$B$8)^10,0))</f>
        <v/>
      </c>
      <c r="H53" s="1">
        <f>IF(11&lt;=Supuestos!$J$27,$C$38*$B$39*((1-Supuestos!$B$11)*(1-Supuestos!$B$12)^10)*Supuestos!$I$27*(1+Supuestos!$B$9)^10,0)</f>
        <v/>
      </c>
      <c r="I53" s="1">
        <f>IF(11&lt;=Supuestos!$B$22,D53*Supuestos!$K$27,0)</f>
        <v/>
      </c>
      <c r="J53" s="1">
        <f>C53+D53+E53-H53-I53</f>
        <v/>
      </c>
      <c r="K53" s="1">
        <f>H53+I53-(IF(11&lt;=Supuestos!$J$27,Supuestos!$B$19*Supuestos!$B$27*(1+Supuestos!$B$8)^10,0)+IF(11&lt;=Supuestos!$B$22,Supuestos!$B$20*Supuestos!$D$27*(1+Supuestos!$B$8)^10,0))-H53*Supuestos!$B$21</f>
        <v/>
      </c>
      <c r="L53" s="1">
        <f>L52+G53</f>
        <v/>
      </c>
      <c r="M53" s="1">
        <f>M52+J53</f>
        <v/>
      </c>
    </row>
    <row r="54">
      <c r="A54" t="n">
        <v>12</v>
      </c>
      <c r="B54" s="1">
        <f>$E$38*$B$39*(1+Supuestos!$B$8)^12</f>
        <v/>
      </c>
      <c r="C54" s="1">
        <f>$F$38*$B$39*(1+Supuestos!$B$8)^12*((1-Supuestos!$B$11)*(1-Supuestos!$B$12)^11)</f>
        <v/>
      </c>
      <c r="D54" s="1">
        <f>$G$38*$B$39*(1+Supuestos!$B$8)^12*(1-Supuestos!$B$13)^12*Supuestos!$B$10</f>
        <v/>
      </c>
      <c r="E54" s="1">
        <f>$H$38*$B$39*(1+Supuestos!$B$8)^12</f>
        <v/>
      </c>
      <c r="F54" s="1">
        <f>B54-C54-D54-E54</f>
        <v/>
      </c>
      <c r="G54" s="1">
        <f>C54+D54+E54-(IF(12&lt;=Supuestos!$J$27,Supuestos!$B$19*Supuestos!$B$27*(1+Supuestos!$B$8)^11,0)+IF(12&lt;=Supuestos!$B$22,Supuestos!$B$20*Supuestos!$D$27*(1+Supuestos!$B$8)^11,0))</f>
        <v/>
      </c>
      <c r="H54" s="1">
        <f>IF(12&lt;=Supuestos!$J$27,$C$38*$B$39*((1-Supuestos!$B$11)*(1-Supuestos!$B$12)^11)*Supuestos!$I$27*(1+Supuestos!$B$9)^11,0)</f>
        <v/>
      </c>
      <c r="I54" s="1">
        <f>IF(12&lt;=Supuestos!$B$22,D54*Supuestos!$K$27,0)</f>
        <v/>
      </c>
      <c r="J54" s="1">
        <f>C54+D54+E54-H54-I54</f>
        <v/>
      </c>
      <c r="K54" s="1">
        <f>H54+I54-(IF(12&lt;=Supuestos!$J$27,Supuestos!$B$19*Supuestos!$B$27*(1+Supuestos!$B$8)^11,0)+IF(12&lt;=Supuestos!$B$22,Supuestos!$B$20*Supuestos!$D$27*(1+Supuestos!$B$8)^11,0))-H54*Supuestos!$B$21</f>
        <v/>
      </c>
      <c r="L54" s="1">
        <f>L53+G54</f>
        <v/>
      </c>
      <c r="M54" s="1">
        <f>M53+J54</f>
        <v/>
      </c>
    </row>
    <row r="55">
      <c r="A55" t="n">
        <v>13</v>
      </c>
      <c r="B55" s="1">
        <f>$E$38*$B$39*(1+Supuestos!$B$8)^13</f>
        <v/>
      </c>
      <c r="C55" s="1">
        <f>$F$38*$B$39*(1+Supuestos!$B$8)^13*((1-Supuestos!$B$11)*(1-Supuestos!$B$12)^12)</f>
        <v/>
      </c>
      <c r="D55" s="1">
        <f>$G$38*$B$39*(1+Supuestos!$B$8)^13*(1-Supuestos!$B$13)^13*Supuestos!$B$10</f>
        <v/>
      </c>
      <c r="E55" s="1">
        <f>$H$38*$B$39*(1+Supuestos!$B$8)^13</f>
        <v/>
      </c>
      <c r="F55" s="1">
        <f>B55-C55-D55-E55</f>
        <v/>
      </c>
      <c r="G55" s="1">
        <f>C55+D55+E55-(IF(13&lt;=Supuestos!$J$27,Supuestos!$B$19*Supuestos!$B$27*(1+Supuestos!$B$8)^12,0)+IF(13&lt;=Supuestos!$B$22,Supuestos!$B$20*Supuestos!$D$27*(1+Supuestos!$B$8)^12,0))</f>
        <v/>
      </c>
      <c r="H55" s="1">
        <f>IF(13&lt;=Supuestos!$J$27,$C$38*$B$39*((1-Supuestos!$B$11)*(1-Supuestos!$B$12)^12)*Supuestos!$I$27*(1+Supuestos!$B$9)^12,0)</f>
        <v/>
      </c>
      <c r="I55" s="1">
        <f>IF(13&lt;=Supuestos!$B$22,D55*Supuestos!$K$27,0)</f>
        <v/>
      </c>
      <c r="J55" s="1">
        <f>C55+D55+E55-H55-I55</f>
        <v/>
      </c>
      <c r="K55" s="1">
        <f>H55+I55-(IF(13&lt;=Supuestos!$J$27,Supuestos!$B$19*Supuestos!$B$27*(1+Supuestos!$B$8)^12,0)+IF(13&lt;=Supuestos!$B$22,Supuestos!$B$20*Supuestos!$D$27*(1+Supuestos!$B$8)^12,0))-H55*Supuestos!$B$21</f>
        <v/>
      </c>
      <c r="L55" s="1">
        <f>L54+G55</f>
        <v/>
      </c>
      <c r="M55" s="1">
        <f>M54+J55</f>
        <v/>
      </c>
    </row>
    <row r="56">
      <c r="A56" t="n">
        <v>14</v>
      </c>
      <c r="B56" s="1">
        <f>$E$38*$B$39*(1+Supuestos!$B$8)^14</f>
        <v/>
      </c>
      <c r="C56" s="1">
        <f>$F$38*$B$39*(1+Supuestos!$B$8)^14*((1-Supuestos!$B$11)*(1-Supuestos!$B$12)^13)</f>
        <v/>
      </c>
      <c r="D56" s="1">
        <f>$G$38*$B$39*(1+Supuestos!$B$8)^14*(1-Supuestos!$B$13)^14*Supuestos!$B$10</f>
        <v/>
      </c>
      <c r="E56" s="1">
        <f>$H$38*$B$39*(1+Supuestos!$B$8)^14</f>
        <v/>
      </c>
      <c r="F56" s="1">
        <f>B56-C56-D56-E56</f>
        <v/>
      </c>
      <c r="G56" s="1">
        <f>C56+D56+E56-(IF(14&lt;=Supuestos!$J$27,Supuestos!$B$19*Supuestos!$B$27*(1+Supuestos!$B$8)^13,0)+IF(14&lt;=Supuestos!$B$22,Supuestos!$B$20*Supuestos!$D$27*(1+Supuestos!$B$8)^13,0))</f>
        <v/>
      </c>
      <c r="H56" s="1">
        <f>IF(14&lt;=Supuestos!$J$27,$C$38*$B$39*((1-Supuestos!$B$11)*(1-Supuestos!$B$12)^13)*Supuestos!$I$27*(1+Supuestos!$B$9)^13,0)</f>
        <v/>
      </c>
      <c r="I56" s="1">
        <f>IF(14&lt;=Supuestos!$B$22,D56*Supuestos!$K$27,0)</f>
        <v/>
      </c>
      <c r="J56" s="1">
        <f>C56+D56+E56-H56-I56</f>
        <v/>
      </c>
      <c r="K56" s="1">
        <f>H56+I56-(IF(14&lt;=Supuestos!$J$27,Supuestos!$B$19*Supuestos!$B$27*(1+Supuestos!$B$8)^13,0)+IF(14&lt;=Supuestos!$B$22,Supuestos!$B$20*Supuestos!$D$27*(1+Supuestos!$B$8)^13,0))-H56*Supuestos!$B$21</f>
        <v/>
      </c>
      <c r="L56" s="1">
        <f>L55+G56</f>
        <v/>
      </c>
      <c r="M56" s="1">
        <f>M55+J56</f>
        <v/>
      </c>
    </row>
    <row r="57">
      <c r="A57" t="n">
        <v>15</v>
      </c>
      <c r="B57" s="1">
        <f>$E$38*$B$39*(1+Supuestos!$B$8)^15</f>
        <v/>
      </c>
      <c r="C57" s="1">
        <f>$F$38*$B$39*(1+Supuestos!$B$8)^15*((1-Supuestos!$B$11)*(1-Supuestos!$B$12)^14)</f>
        <v/>
      </c>
      <c r="D57" s="1">
        <f>$G$38*$B$39*(1+Supuestos!$B$8)^15*(1-Supuestos!$B$13)^15*Supuestos!$B$10</f>
        <v/>
      </c>
      <c r="E57" s="1">
        <f>$H$38*$B$39*(1+Supuestos!$B$8)^15</f>
        <v/>
      </c>
      <c r="F57" s="1">
        <f>B57-C57-D57-E57</f>
        <v/>
      </c>
      <c r="G57" s="1">
        <f>C57+D57+E57-(IF(15&lt;=Supuestos!$J$27,Supuestos!$B$19*Supuestos!$B$27*(1+Supuestos!$B$8)^14,0)+IF(15&lt;=Supuestos!$B$22,Supuestos!$B$20*Supuestos!$D$27*(1+Supuestos!$B$8)^14,0))</f>
        <v/>
      </c>
      <c r="H57" s="1">
        <f>IF(15&lt;=Supuestos!$J$27,$C$38*$B$39*((1-Supuestos!$B$11)*(1-Supuestos!$B$12)^14)*Supuestos!$I$27*(1+Supuestos!$B$9)^14,0)</f>
        <v/>
      </c>
      <c r="I57" s="1">
        <f>IF(15&lt;=Supuestos!$B$22,D57*Supuestos!$K$27,0)</f>
        <v/>
      </c>
      <c r="J57" s="1">
        <f>C57+D57+E57-H57-I57</f>
        <v/>
      </c>
      <c r="K57" s="1">
        <f>H57+I57-(IF(15&lt;=Supuestos!$J$27,Supuestos!$B$19*Supuestos!$B$27*(1+Supuestos!$B$8)^14,0)+IF(15&lt;=Supuestos!$B$22,Supuestos!$B$20*Supuestos!$D$27*(1+Supuestos!$B$8)^14,0))-H57*Supuestos!$B$21</f>
        <v/>
      </c>
      <c r="L57" s="1">
        <f>L56+G57</f>
        <v/>
      </c>
      <c r="M57" s="1">
        <f>M56+J57</f>
        <v/>
      </c>
    </row>
    <row r="58">
      <c r="A58" t="n">
        <v>16</v>
      </c>
      <c r="B58" s="1">
        <f>$E$38*$B$39*(1+Supuestos!$B$8)^16</f>
        <v/>
      </c>
      <c r="C58" s="1">
        <f>$F$38*$B$39*(1+Supuestos!$B$8)^16*((1-Supuestos!$B$11)*(1-Supuestos!$B$12)^15)</f>
        <v/>
      </c>
      <c r="D58" s="1">
        <f>$G$38*$B$39*(1+Supuestos!$B$8)^16*(1-Supuestos!$B$13)^16*Supuestos!$B$10</f>
        <v/>
      </c>
      <c r="E58" s="1">
        <f>$H$38*$B$39*(1+Supuestos!$B$8)^16</f>
        <v/>
      </c>
      <c r="F58" s="1">
        <f>B58-C58-D58-E58</f>
        <v/>
      </c>
      <c r="G58" s="1">
        <f>C58+D58+E58-(IF(16&lt;=Supuestos!$J$27,Supuestos!$B$19*Supuestos!$B$27*(1+Supuestos!$B$8)^15,0)+IF(16&lt;=Supuestos!$B$22,Supuestos!$B$20*Supuestos!$D$27*(1+Supuestos!$B$8)^15,0))</f>
        <v/>
      </c>
      <c r="H58" s="1">
        <f>IF(16&lt;=Supuestos!$J$27,$C$38*$B$39*((1-Supuestos!$B$11)*(1-Supuestos!$B$12)^15)*Supuestos!$I$27*(1+Supuestos!$B$9)^15,0)</f>
        <v/>
      </c>
      <c r="I58" s="1">
        <f>IF(16&lt;=Supuestos!$B$22,D58*Supuestos!$K$27,0)</f>
        <v/>
      </c>
      <c r="J58" s="1">
        <f>C58+D58+E58-H58-I58</f>
        <v/>
      </c>
      <c r="K58" s="1">
        <f>H58+I58-(IF(16&lt;=Supuestos!$J$27,Supuestos!$B$19*Supuestos!$B$27*(1+Supuestos!$B$8)^15,0)+IF(16&lt;=Supuestos!$B$22,Supuestos!$B$20*Supuestos!$D$27*(1+Supuestos!$B$8)^15,0))-H58*Supuestos!$B$21</f>
        <v/>
      </c>
      <c r="L58" s="1">
        <f>L57+G58</f>
        <v/>
      </c>
      <c r="M58" s="1">
        <f>M57+J58</f>
        <v/>
      </c>
    </row>
    <row r="59">
      <c r="A59" t="n">
        <v>17</v>
      </c>
      <c r="B59" s="1">
        <f>$E$38*$B$39*(1+Supuestos!$B$8)^17</f>
        <v/>
      </c>
      <c r="C59" s="1">
        <f>$F$38*$B$39*(1+Supuestos!$B$8)^17*((1-Supuestos!$B$11)*(1-Supuestos!$B$12)^16)</f>
        <v/>
      </c>
      <c r="D59" s="1">
        <f>$G$38*$B$39*(1+Supuestos!$B$8)^17*(1-Supuestos!$B$13)^17*Supuestos!$B$10</f>
        <v/>
      </c>
      <c r="E59" s="1">
        <f>$H$38*$B$39*(1+Supuestos!$B$8)^17</f>
        <v/>
      </c>
      <c r="F59" s="1">
        <f>B59-C59-D59-E59</f>
        <v/>
      </c>
      <c r="G59" s="1">
        <f>C59+D59+E59-(IF(17&lt;=Supuestos!$J$27,Supuestos!$B$19*Supuestos!$B$27*(1+Supuestos!$B$8)^16,0)+IF(17&lt;=Supuestos!$B$22,Supuestos!$B$20*Supuestos!$D$27*(1+Supuestos!$B$8)^16,0))</f>
        <v/>
      </c>
      <c r="H59" s="1">
        <f>IF(17&lt;=Supuestos!$J$27,$C$38*$B$39*((1-Supuestos!$B$11)*(1-Supuestos!$B$12)^16)*Supuestos!$I$27*(1+Supuestos!$B$9)^16,0)</f>
        <v/>
      </c>
      <c r="I59" s="1">
        <f>IF(17&lt;=Supuestos!$B$22,D59*Supuestos!$K$27,0)</f>
        <v/>
      </c>
      <c r="J59" s="1">
        <f>C59+D59+E59-H59-I59</f>
        <v/>
      </c>
      <c r="K59" s="1">
        <f>H59+I59-(IF(17&lt;=Supuestos!$J$27,Supuestos!$B$19*Supuestos!$B$27*(1+Supuestos!$B$8)^16,0)+IF(17&lt;=Supuestos!$B$22,Supuestos!$B$20*Supuestos!$D$27*(1+Supuestos!$B$8)^16,0))-H59*Supuestos!$B$21</f>
        <v/>
      </c>
      <c r="L59" s="1">
        <f>L58+G59</f>
        <v/>
      </c>
      <c r="M59" s="1">
        <f>M58+J59</f>
        <v/>
      </c>
    </row>
    <row r="60">
      <c r="A60" t="n">
        <v>18</v>
      </c>
      <c r="B60" s="1">
        <f>$E$38*$B$39*(1+Supuestos!$B$8)^18</f>
        <v/>
      </c>
      <c r="C60" s="1">
        <f>$F$38*$B$39*(1+Supuestos!$B$8)^18*((1-Supuestos!$B$11)*(1-Supuestos!$B$12)^17)</f>
        <v/>
      </c>
      <c r="D60" s="1">
        <f>$G$38*$B$39*(1+Supuestos!$B$8)^18*(1-Supuestos!$B$13)^18*Supuestos!$B$10</f>
        <v/>
      </c>
      <c r="E60" s="1">
        <f>$H$38*$B$39*(1+Supuestos!$B$8)^18</f>
        <v/>
      </c>
      <c r="F60" s="1">
        <f>B60-C60-D60-E60</f>
        <v/>
      </c>
      <c r="G60" s="1">
        <f>C60+D60+E60-(IF(18&lt;=Supuestos!$J$27,Supuestos!$B$19*Supuestos!$B$27*(1+Supuestos!$B$8)^17,0)+IF(18&lt;=Supuestos!$B$22,Supuestos!$B$20*Supuestos!$D$27*(1+Supuestos!$B$8)^17,0))</f>
        <v/>
      </c>
      <c r="H60" s="1">
        <f>IF(18&lt;=Supuestos!$J$27,$C$38*$B$39*((1-Supuestos!$B$11)*(1-Supuestos!$B$12)^17)*Supuestos!$I$27*(1+Supuestos!$B$9)^17,0)</f>
        <v/>
      </c>
      <c r="I60" s="1">
        <f>IF(18&lt;=Supuestos!$B$22,D60*Supuestos!$K$27,0)</f>
        <v/>
      </c>
      <c r="J60" s="1">
        <f>C60+D60+E60-H60-I60</f>
        <v/>
      </c>
      <c r="K60" s="1">
        <f>H60+I60-(IF(18&lt;=Supuestos!$J$27,Supuestos!$B$19*Supuestos!$B$27*(1+Supuestos!$B$8)^17,0)+IF(18&lt;=Supuestos!$B$22,Supuestos!$B$20*Supuestos!$D$27*(1+Supuestos!$B$8)^17,0))-H60*Supuestos!$B$21</f>
        <v/>
      </c>
      <c r="L60" s="1">
        <f>L59+G60</f>
        <v/>
      </c>
      <c r="M60" s="1">
        <f>M59+J60</f>
        <v/>
      </c>
    </row>
    <row r="61">
      <c r="A61" t="n">
        <v>19</v>
      </c>
      <c r="B61" s="1">
        <f>$E$38*$B$39*(1+Supuestos!$B$8)^19</f>
        <v/>
      </c>
      <c r="C61" s="1">
        <f>$F$38*$B$39*(1+Supuestos!$B$8)^19*((1-Supuestos!$B$11)*(1-Supuestos!$B$12)^18)</f>
        <v/>
      </c>
      <c r="D61" s="1">
        <f>$G$38*$B$39*(1+Supuestos!$B$8)^19*(1-Supuestos!$B$13)^19*Supuestos!$B$10</f>
        <v/>
      </c>
      <c r="E61" s="1">
        <f>$H$38*$B$39*(1+Supuestos!$B$8)^19</f>
        <v/>
      </c>
      <c r="F61" s="1">
        <f>B61-C61-D61-E61</f>
        <v/>
      </c>
      <c r="G61" s="1">
        <f>C61+D61+E61-(IF(19&lt;=Supuestos!$J$27,Supuestos!$B$19*Supuestos!$B$27*(1+Supuestos!$B$8)^18,0)+IF(19&lt;=Supuestos!$B$22,Supuestos!$B$20*Supuestos!$D$27*(1+Supuestos!$B$8)^18,0))</f>
        <v/>
      </c>
      <c r="H61" s="1">
        <f>IF(19&lt;=Supuestos!$J$27,$C$38*$B$39*((1-Supuestos!$B$11)*(1-Supuestos!$B$12)^18)*Supuestos!$I$27*(1+Supuestos!$B$9)^18,0)</f>
        <v/>
      </c>
      <c r="I61" s="1">
        <f>IF(19&lt;=Supuestos!$B$22,D61*Supuestos!$K$27,0)</f>
        <v/>
      </c>
      <c r="J61" s="1">
        <f>C61+D61+E61-H61-I61</f>
        <v/>
      </c>
      <c r="K61" s="1">
        <f>H61+I61-(IF(19&lt;=Supuestos!$J$27,Supuestos!$B$19*Supuestos!$B$27*(1+Supuestos!$B$8)^18,0)+IF(19&lt;=Supuestos!$B$22,Supuestos!$B$20*Supuestos!$D$27*(1+Supuestos!$B$8)^18,0))-H61*Supuestos!$B$21</f>
        <v/>
      </c>
      <c r="L61" s="1">
        <f>L60+G61</f>
        <v/>
      </c>
      <c r="M61" s="1">
        <f>M60+J61</f>
        <v/>
      </c>
    </row>
    <row r="62">
      <c r="A62" t="n">
        <v>20</v>
      </c>
      <c r="B62" s="1">
        <f>$E$38*$B$39*(1+Supuestos!$B$8)^20</f>
        <v/>
      </c>
      <c r="C62" s="1">
        <f>$F$38*$B$39*(1+Supuestos!$B$8)^20*((1-Supuestos!$B$11)*(1-Supuestos!$B$12)^19)</f>
        <v/>
      </c>
      <c r="D62" s="1">
        <f>$G$38*$B$39*(1+Supuestos!$B$8)^20*(1-Supuestos!$B$13)^20*Supuestos!$B$10</f>
        <v/>
      </c>
      <c r="E62" s="1">
        <f>$H$38*$B$39*(1+Supuestos!$B$8)^20</f>
        <v/>
      </c>
      <c r="F62" s="1">
        <f>B62-C62-D62-E62</f>
        <v/>
      </c>
      <c r="G62" s="1">
        <f>C62+D62+E62-(IF(20&lt;=Supuestos!$J$27,Supuestos!$B$19*Supuestos!$B$27*(1+Supuestos!$B$8)^19,0)+IF(20&lt;=Supuestos!$B$22,Supuestos!$B$20*Supuestos!$D$27*(1+Supuestos!$B$8)^19,0))</f>
        <v/>
      </c>
      <c r="H62" s="1">
        <f>IF(20&lt;=Supuestos!$J$27,$C$38*$B$39*((1-Supuestos!$B$11)*(1-Supuestos!$B$12)^19)*Supuestos!$I$27*(1+Supuestos!$B$9)^19,0)</f>
        <v/>
      </c>
      <c r="I62" s="1">
        <f>IF(20&lt;=Supuestos!$B$22,D62*Supuestos!$K$27,0)</f>
        <v/>
      </c>
      <c r="J62" s="1">
        <f>C62+D62+E62-H62-I62</f>
        <v/>
      </c>
      <c r="K62" s="1">
        <f>H62+I62-(IF(20&lt;=Supuestos!$J$27,Supuestos!$B$19*Supuestos!$B$27*(1+Supuestos!$B$8)^19,0)+IF(20&lt;=Supuestos!$B$22,Supuestos!$B$20*Supuestos!$D$27*(1+Supuestos!$B$8)^19,0))-H62*Supuestos!$B$21</f>
        <v/>
      </c>
      <c r="L62" s="1">
        <f>L61+G62</f>
        <v/>
      </c>
      <c r="M62" s="1">
        <f>M61+J62</f>
        <v/>
      </c>
    </row>
    <row r="64">
      <c r="A64" s="17" t="inlineStr">
        <is>
          <t>TIR compra (proyecto):</t>
        </is>
      </c>
      <c r="B64" s="2">
        <f>IRR(G42:G62)</f>
        <v/>
      </c>
      <c r="C64" s="25" t="inlineStr">
        <is>
          <t>VPN compra @WACC:</t>
        </is>
      </c>
      <c r="D64" s="1">
        <f>G42+NPV(Supuestos!$B$7,G43:G62)</f>
        <v/>
      </c>
    </row>
    <row r="65">
      <c r="A65" s="17" t="inlineStr">
        <is>
          <t>TIR financiador:</t>
        </is>
      </c>
      <c r="B65" s="2">
        <f>IRR(K42:K62)</f>
        <v/>
      </c>
      <c r="C65" s="25" t="inlineStr">
        <is>
          <t>VPN cliente PPA @WACC:</t>
        </is>
      </c>
      <c r="D65" s="1">
        <f>NPV(Supuestos!$B$7,J43:J62)</f>
        <v/>
      </c>
    </row>
    <row r="66">
      <c r="A66" s="17" t="inlineStr">
        <is>
          <t>Acumulado cliente PPA 20a:</t>
        </is>
      </c>
      <c r="B66" s="20">
        <f>SUM(J43:J62)</f>
        <v/>
      </c>
      <c r="C66" s="25" t="inlineStr">
        <is>
          <t>Acumulado compra 20a:</t>
        </is>
      </c>
      <c r="D66" s="1">
        <f>SUM(G42:G62)</f>
        <v/>
      </c>
    </row>
    <row r="68">
      <c r="A68" s="6" t="inlineStr">
        <is>
          <t>5. POR QUÉ ESTE DIMENSIONAMIENTO ES ÓPTIMO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26" t="inlineStr">
        <is>
          <t>• PV 97 kWp — generador exento &lt;0.7 MW (medición neta, sin permiso CNE). En SIN la generación solar cae en intermedio → recorta energía intermedia; no genera en punta, por lo que el BESS es la palanca de demanda.</t>
        </is>
      </c>
    </row>
    <row r="70">
      <c r="A70" s="26" t="inlineStr">
        <is>
          <t>• BESS 186 kW / 743 kWh — recorta el pico de punta (arbitraje carga en base, descarga en punta, topado al kWh punta del recibo).</t>
        </is>
      </c>
    </row>
    <row r="71">
      <c r="A71" s="26" t="inlineStr">
        <is>
          <t>• Dimensionado al consumo (rend. inputs.json); excedentes bajo medición neta expiran en 12 meses, por eso no se sobredimensiona el PV.</t>
        </is>
      </c>
    </row>
    <row r="72">
      <c r="A72" s="26" t="inlineStr">
        <is>
          <t>• PV/BESS dimensionados por **barrido de máximo NPV del cliente** (NO se topó a 0.7 MW): el óptimo cae en 97 kWp / 186 kW de BESS (sweep NPV (exento)). Más allá del punto de autoconsumo solar el excedente se valúa ~$0 y el NPV cae; el barrido compara explícitamente quedarse exento &lt;0.7 MW vs cruzar a autoconsumo.</t>
        </is>
      </c>
    </row>
    <row r="73">
      <c r="A73" s="26" t="inlineStr">
        <is>
          <t>• Corrección de factor de potencia incluida — palanca separada, capacitores a cargo del financiador en el esquema PPA (el cliente conserva 100% del ahorro FP).</t>
        </is>
      </c>
    </row>
    <row r="74">
      <c r="A74" s="26" t="inlineStr">
        <is>
          <t>• LIBRO 100% EN VIVO: motor mensual §3 = fórmulas sobre los datos del recibo (§6) y Supuestos (réplica exacta del motor determinista, verificada al peso) — edita kWp/BESS/FC/tarifas o cualquier mes y TODO recalcula hasta la TIR.</t>
        </is>
      </c>
    </row>
    <row r="78">
      <c r="A78" s="6" t="inlineStr">
        <is>
          <t>6. DATOS DEL RECIBO (editables — el motor mensual §3 se alimenta de aquí)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27" t="inlineStr">
        <is>
          <t>Mes</t>
        </is>
      </c>
      <c r="B79" s="27" t="inlineStr">
        <is>
          <t>Días</t>
        </is>
      </c>
      <c r="C79" s="27" t="inlineStr">
        <is>
          <t>kWh B</t>
        </is>
      </c>
      <c r="D79" s="27" t="inlineStr">
        <is>
          <t>kWh I</t>
        </is>
      </c>
      <c r="E79" s="27" t="inlineStr">
        <is>
          <t>kWh P</t>
        </is>
      </c>
      <c r="F79" s="27" t="inlineStr">
        <is>
          <t>kW B</t>
        </is>
      </c>
      <c r="G79" s="27" t="inlineStr">
        <is>
          <t>kW I</t>
        </is>
      </c>
      <c r="H79" s="27" t="inlineStr">
        <is>
          <t>kW P</t>
        </is>
      </c>
      <c r="I79" s="27" t="inlineStr">
        <is>
          <t>FP %</t>
        </is>
      </c>
      <c r="J79" s="27" t="inlineStr">
        <is>
          <t>Gen B $</t>
        </is>
      </c>
      <c r="K79" s="27" t="inlineStr">
        <is>
          <t>Gen I $</t>
        </is>
      </c>
      <c r="L79" s="27" t="inlineStr">
        <is>
          <t>Gen P $</t>
        </is>
      </c>
      <c r="M79" s="27" t="inlineStr">
        <is>
          <t>Distribución $</t>
        </is>
      </c>
      <c r="N79" s="27" t="inlineStr">
        <is>
          <t>Capacidad $</t>
        </is>
      </c>
      <c r="O79" s="27" t="inlineStr">
        <is>
          <t>Otros vol $</t>
        </is>
      </c>
      <c r="P79" s="27" t="inlineStr">
        <is>
          <t>Suministro $</t>
        </is>
      </c>
      <c r="Q79" s="27" t="inlineStr">
        <is>
          <t>2%BT+FP neto $</t>
        </is>
      </c>
      <c r="R79" s="27" t="inlineStr">
        <is>
          <t>Cargo FP $</t>
        </is>
      </c>
      <c r="S79" s="27" t="inlineStr">
        <is>
          <t>Yield kWh/kWp</t>
        </is>
      </c>
      <c r="T79" s="27" t="inlineStr">
        <is>
          <t>Hrs punta</t>
        </is>
      </c>
      <c r="U79" s="27" t="inlineStr">
        <is>
          <t>Días punta</t>
        </is>
      </c>
      <c r="V79" s="27" t="inlineStr">
        <is>
          <t>kWh tot</t>
        </is>
      </c>
      <c r="W79" s="27" t="inlineStr">
        <is>
          <t>Vol $/kWh</t>
        </is>
      </c>
      <c r="X79" s="27" t="inlineStr">
        <is>
          <t>Tarifa B $/kWh</t>
        </is>
      </c>
      <c r="Y79" s="27" t="inlineStr">
        <is>
          <t>Tarifa I $/kWh</t>
        </is>
      </c>
      <c r="Z79" s="27" t="inlineStr">
        <is>
          <t>Tarifa P $/kWh</t>
        </is>
      </c>
      <c r="AA79" s="27" t="inlineStr">
        <is>
          <t>Umbral kW</t>
        </is>
      </c>
      <c r="AB79" s="27" t="inlineStr">
        <is>
          <t>$/kW cap</t>
        </is>
      </c>
    </row>
    <row r="80">
      <c r="A80" s="28" t="inlineStr">
        <is>
          <t>Abr-25</t>
        </is>
      </c>
      <c r="B80" s="29" t="n">
        <v>30</v>
      </c>
      <c r="C80" s="29" t="n">
        <v>34645</v>
      </c>
      <c r="D80" s="29" t="n">
        <v>72045</v>
      </c>
      <c r="E80" s="29" t="n">
        <v>9340</v>
      </c>
      <c r="F80" s="28" t="n">
        <v>222</v>
      </c>
      <c r="G80" s="28" t="n">
        <v>239</v>
      </c>
      <c r="H80" s="28" t="n">
        <v>215</v>
      </c>
      <c r="I80" s="30" t="n">
        <v>90.37</v>
      </c>
      <c r="J80" s="28" t="n">
        <v>33997.14</v>
      </c>
      <c r="K80" s="28" t="n">
        <v>125977.89</v>
      </c>
      <c r="L80" s="28" t="n">
        <v>19421.59</v>
      </c>
      <c r="M80" s="28" t="n">
        <v>21656.16</v>
      </c>
      <c r="N80" s="28" t="n">
        <v>93013.3</v>
      </c>
      <c r="O80" s="28" t="n">
        <v>22463.41</v>
      </c>
      <c r="P80" s="28" t="n">
        <v>563.5700000000001</v>
      </c>
      <c r="Q80" s="28" t="n">
        <v>-317.09</v>
      </c>
      <c r="R80" s="28" t="n">
        <v>0</v>
      </c>
      <c r="S80" s="30" t="n">
        <v>150.72</v>
      </c>
      <c r="T80" s="29" t="n">
        <v>2</v>
      </c>
      <c r="U80" s="29" t="n">
        <v>22</v>
      </c>
      <c r="V80" s="31">
        <f>C80+D80+E80</f>
        <v/>
      </c>
      <c r="W80" s="31">
        <f>O80/V80</f>
        <v/>
      </c>
      <c r="X80" s="31">
        <f>IF(C80=0,Y80,J80/C80+W80)</f>
        <v/>
      </c>
      <c r="Y80" s="31">
        <f>IF(D80=0,0,K80/D80+W80)</f>
        <v/>
      </c>
      <c r="Z80" s="31">
        <f>IF(E80=0,0,L80/E80+W80)</f>
        <v/>
      </c>
      <c r="AA80" s="31">
        <f>V80/(B80*24*$L$6)</f>
        <v/>
      </c>
      <c r="AB80" s="31">
        <f>IFERROR(N80/MIN(H80,AA80),0)</f>
        <v/>
      </c>
    </row>
    <row r="81">
      <c r="A81" s="28" t="inlineStr">
        <is>
          <t>May-25</t>
        </is>
      </c>
      <c r="B81" s="29" t="n">
        <v>31</v>
      </c>
      <c r="C81" s="29" t="n">
        <v>38237</v>
      </c>
      <c r="D81" s="29" t="n">
        <v>77568</v>
      </c>
      <c r="E81" s="29" t="n">
        <v>7295</v>
      </c>
      <c r="F81" s="28" t="n">
        <v>229</v>
      </c>
      <c r="G81" s="28" t="n">
        <v>241</v>
      </c>
      <c r="H81" s="28" t="n">
        <v>227</v>
      </c>
      <c r="I81" s="30" t="n">
        <v>89.37</v>
      </c>
      <c r="J81" s="28" t="n">
        <v>37521.97</v>
      </c>
      <c r="K81" s="28" t="n">
        <v>135635.4</v>
      </c>
      <c r="L81" s="28" t="n">
        <v>15169.22</v>
      </c>
      <c r="M81" s="28" t="n">
        <v>21959.92</v>
      </c>
      <c r="N81" s="28" t="n">
        <v>98204.74000000001</v>
      </c>
      <c r="O81" s="28" t="n">
        <v>23832.16</v>
      </c>
      <c r="P81" s="28" t="n">
        <v>563.5700000000001</v>
      </c>
      <c r="Q81" s="28" t="n">
        <v>1331.55</v>
      </c>
      <c r="R81" s="28" t="n">
        <v>1331.55</v>
      </c>
      <c r="S81" s="30" t="n">
        <v>143.096</v>
      </c>
      <c r="T81" s="29" t="n">
        <v>2</v>
      </c>
      <c r="U81" s="29" t="n">
        <v>21</v>
      </c>
      <c r="V81" s="31">
        <f>C81+D81+E81</f>
        <v/>
      </c>
      <c r="W81" s="31">
        <f>O81/V81</f>
        <v/>
      </c>
      <c r="X81" s="31">
        <f>IF(C81=0,Y81,J81/C81+W81)</f>
        <v/>
      </c>
      <c r="Y81" s="31">
        <f>IF(D81=0,0,K81/D81+W81)</f>
        <v/>
      </c>
      <c r="Z81" s="31">
        <f>IF(E81=0,0,L81/E81+W81)</f>
        <v/>
      </c>
      <c r="AA81" s="31">
        <f>V81/(B81*24*$L$6)</f>
        <v/>
      </c>
      <c r="AB81" s="31">
        <f>IFERROR(N81/MIN(H81,AA81),0)</f>
        <v/>
      </c>
    </row>
    <row r="82">
      <c r="A82" s="28" t="inlineStr">
        <is>
          <t>Jun-25</t>
        </is>
      </c>
      <c r="B82" s="29" t="n">
        <v>30</v>
      </c>
      <c r="C82" s="29" t="n">
        <v>32096</v>
      </c>
      <c r="D82" s="29" t="n">
        <v>61945</v>
      </c>
      <c r="E82" s="29" t="n">
        <v>5938</v>
      </c>
      <c r="F82" s="28" t="n">
        <v>210</v>
      </c>
      <c r="G82" s="28" t="n">
        <v>232</v>
      </c>
      <c r="H82" s="28" t="n">
        <v>195</v>
      </c>
      <c r="I82" s="30" t="n">
        <v>91.16</v>
      </c>
      <c r="J82" s="28" t="n">
        <v>32246.85</v>
      </c>
      <c r="K82" s="28" t="n">
        <v>110887.74</v>
      </c>
      <c r="L82" s="28" t="n">
        <v>12640.81</v>
      </c>
      <c r="M82" s="28" t="n">
        <v>21139.84</v>
      </c>
      <c r="N82" s="28" t="n">
        <v>86365.5</v>
      </c>
      <c r="O82" s="28" t="n">
        <v>19355.94</v>
      </c>
      <c r="P82" s="28" t="n">
        <v>563.5700000000001</v>
      </c>
      <c r="Q82" s="28" t="n">
        <v>-849.6</v>
      </c>
      <c r="R82" s="28" t="n">
        <v>0</v>
      </c>
      <c r="S82" s="30" t="n">
        <v>133.92</v>
      </c>
      <c r="T82" s="29" t="n">
        <v>2</v>
      </c>
      <c r="U82" s="29" t="n">
        <v>21</v>
      </c>
      <c r="V82" s="31">
        <f>C82+D82+E82</f>
        <v/>
      </c>
      <c r="W82" s="31">
        <f>O82/V82</f>
        <v/>
      </c>
      <c r="X82" s="31">
        <f>IF(C82=0,Y82,J82/C82+W82)</f>
        <v/>
      </c>
      <c r="Y82" s="31">
        <f>IF(D82=0,0,K82/D82+W82)</f>
        <v/>
      </c>
      <c r="Z82" s="31">
        <f>IF(E82=0,0,L82/E82+W82)</f>
        <v/>
      </c>
      <c r="AA82" s="31">
        <f>V82/(B82*24*$L$6)</f>
        <v/>
      </c>
      <c r="AB82" s="31">
        <f>IFERROR(N82/MIN(H82,AA82),0)</f>
        <v/>
      </c>
    </row>
    <row r="83">
      <c r="A83" s="28" t="inlineStr">
        <is>
          <t>Jul-25</t>
        </is>
      </c>
      <c r="B83" s="29" t="n">
        <v>31</v>
      </c>
      <c r="C83" s="29" t="n">
        <v>28818</v>
      </c>
      <c r="D83" s="29" t="n">
        <v>65053</v>
      </c>
      <c r="E83" s="29" t="n">
        <v>6374</v>
      </c>
      <c r="F83" s="28" t="n">
        <v>180</v>
      </c>
      <c r="G83" s="28" t="n">
        <v>199</v>
      </c>
      <c r="H83" s="28" t="n">
        <v>165</v>
      </c>
      <c r="I83" s="30" t="n">
        <v>91.11</v>
      </c>
      <c r="J83" s="28" t="n">
        <v>29385.71</v>
      </c>
      <c r="K83" s="28" t="n">
        <v>118201.3</v>
      </c>
      <c r="L83" s="28" t="n">
        <v>13772.94</v>
      </c>
      <c r="M83" s="28" t="n">
        <v>18132.88</v>
      </c>
      <c r="N83" s="28" t="n">
        <v>74174.10000000001</v>
      </c>
      <c r="O83" s="28" t="n">
        <v>19407.44</v>
      </c>
      <c r="P83" s="28" t="n">
        <v>563.5700000000001</v>
      </c>
      <c r="Q83" s="28" t="n">
        <v>-820.91</v>
      </c>
      <c r="R83" s="28" t="n">
        <v>0</v>
      </c>
      <c r="S83" s="30" t="n">
        <v>135.16</v>
      </c>
      <c r="T83" s="29" t="n">
        <v>2</v>
      </c>
      <c r="U83" s="29" t="n">
        <v>23</v>
      </c>
      <c r="V83" s="31">
        <f>C83+D83+E83</f>
        <v/>
      </c>
      <c r="W83" s="31">
        <f>O83/V83</f>
        <v/>
      </c>
      <c r="X83" s="31">
        <f>IF(C83=0,Y83,J83/C83+W83)</f>
        <v/>
      </c>
      <c r="Y83" s="31">
        <f>IF(D83=0,0,K83/D83+W83)</f>
        <v/>
      </c>
      <c r="Z83" s="31">
        <f>IF(E83=0,0,L83/E83+W83)</f>
        <v/>
      </c>
      <c r="AA83" s="31">
        <f>V83/(B83*24*$L$6)</f>
        <v/>
      </c>
      <c r="AB83" s="31">
        <f>IFERROR(N83/MIN(H83,AA83),0)</f>
        <v/>
      </c>
    </row>
    <row r="84">
      <c r="A84" s="28" t="inlineStr">
        <is>
          <t>Ago-25</t>
        </is>
      </c>
      <c r="B84" s="29" t="n">
        <v>31</v>
      </c>
      <c r="C84" s="29" t="n">
        <v>33465</v>
      </c>
      <c r="D84" s="29" t="n">
        <v>67444</v>
      </c>
      <c r="E84" s="29" t="n">
        <v>6165</v>
      </c>
      <c r="F84" s="28" t="n">
        <v>202</v>
      </c>
      <c r="G84" s="28" t="n">
        <v>202</v>
      </c>
      <c r="H84" s="28" t="n">
        <v>197</v>
      </c>
      <c r="I84" s="30" t="n">
        <v>90.31999999999999</v>
      </c>
      <c r="J84" s="28" t="n">
        <v>34171.11</v>
      </c>
      <c r="K84" s="28" t="n">
        <v>122714.36</v>
      </c>
      <c r="L84" s="28" t="n">
        <v>13339.83</v>
      </c>
      <c r="M84" s="28" t="n">
        <v>18406.24</v>
      </c>
      <c r="N84" s="28" t="n">
        <v>88683.49000000001</v>
      </c>
      <c r="O84" s="28" t="n">
        <v>20729.52</v>
      </c>
      <c r="P84" s="28" t="n">
        <v>563.5700000000001</v>
      </c>
      <c r="Q84" s="28" t="n">
        <v>-298.61</v>
      </c>
      <c r="R84" s="28" t="n">
        <v>0</v>
      </c>
      <c r="S84" s="30" t="n">
        <v>126.728</v>
      </c>
      <c r="T84" s="29" t="n">
        <v>2</v>
      </c>
      <c r="U84" s="29" t="n">
        <v>21</v>
      </c>
      <c r="V84" s="31">
        <f>C84+D84+E84</f>
        <v/>
      </c>
      <c r="W84" s="31">
        <f>O84/V84</f>
        <v/>
      </c>
      <c r="X84" s="31">
        <f>IF(C84=0,Y84,J84/C84+W84)</f>
        <v/>
      </c>
      <c r="Y84" s="31">
        <f>IF(D84=0,0,K84/D84+W84)</f>
        <v/>
      </c>
      <c r="Z84" s="31">
        <f>IF(E84=0,0,L84/E84+W84)</f>
        <v/>
      </c>
      <c r="AA84" s="31">
        <f>V84/(B84*24*$L$6)</f>
        <v/>
      </c>
      <c r="AB84" s="31">
        <f>IFERROR(N84/MIN(H84,AA84),0)</f>
        <v/>
      </c>
    </row>
    <row r="85">
      <c r="A85" s="28" t="inlineStr">
        <is>
          <t>Sep-25</t>
        </is>
      </c>
      <c r="B85" s="29" t="n">
        <v>30</v>
      </c>
      <c r="C85" s="29" t="n">
        <v>32056</v>
      </c>
      <c r="D85" s="29" t="n">
        <v>65338</v>
      </c>
      <c r="E85" s="29" t="n">
        <v>6085</v>
      </c>
      <c r="F85" s="28" t="n">
        <v>197</v>
      </c>
      <c r="G85" s="28" t="n">
        <v>221</v>
      </c>
      <c r="H85" s="28" t="n">
        <v>173</v>
      </c>
      <c r="I85" s="30" t="n">
        <v>90.51000000000001</v>
      </c>
      <c r="J85" s="28" t="n">
        <v>32434.26</v>
      </c>
      <c r="K85" s="28" t="n">
        <v>117791.35</v>
      </c>
      <c r="L85" s="28" t="n">
        <v>13046.24</v>
      </c>
      <c r="M85" s="28" t="n">
        <v>20137.52</v>
      </c>
      <c r="N85" s="28" t="n">
        <v>77166.64999999999</v>
      </c>
      <c r="O85" s="28" t="n">
        <v>20457.8</v>
      </c>
      <c r="P85" s="28" t="n">
        <v>563.5700000000001</v>
      </c>
      <c r="Q85" s="28" t="n">
        <v>-281.6</v>
      </c>
      <c r="R85" s="28" t="n">
        <v>0</v>
      </c>
      <c r="S85" s="30" t="n">
        <v>119.52</v>
      </c>
      <c r="T85" s="29" t="n">
        <v>2</v>
      </c>
      <c r="U85" s="29" t="n">
        <v>21</v>
      </c>
      <c r="V85" s="31">
        <f>C85+D85+E85</f>
        <v/>
      </c>
      <c r="W85" s="31">
        <f>O85/V85</f>
        <v/>
      </c>
      <c r="X85" s="31">
        <f>IF(C85=0,Y85,J85/C85+W85)</f>
        <v/>
      </c>
      <c r="Y85" s="31">
        <f>IF(D85=0,0,K85/D85+W85)</f>
        <v/>
      </c>
      <c r="Z85" s="31">
        <f>IF(E85=0,0,L85/E85+W85)</f>
        <v/>
      </c>
      <c r="AA85" s="31">
        <f>V85/(B85*24*$L$6)</f>
        <v/>
      </c>
      <c r="AB85" s="31">
        <f>IFERROR(N85/MIN(H85,AA85),0)</f>
        <v/>
      </c>
    </row>
    <row r="86">
      <c r="A86" s="28" t="inlineStr">
        <is>
          <t>Oct-25</t>
        </is>
      </c>
      <c r="B86" s="29" t="n">
        <v>31</v>
      </c>
      <c r="C86" s="29" t="n">
        <v>29377</v>
      </c>
      <c r="D86" s="29" t="n">
        <v>64589</v>
      </c>
      <c r="E86" s="29" t="n">
        <v>8266</v>
      </c>
      <c r="F86" s="28" t="n">
        <v>189</v>
      </c>
      <c r="G86" s="28" t="n">
        <v>190</v>
      </c>
      <c r="H86" s="28" t="n">
        <v>186</v>
      </c>
      <c r="I86" s="30" t="n">
        <v>91.06999999999999</v>
      </c>
      <c r="J86" s="28" t="n">
        <v>29723.65</v>
      </c>
      <c r="K86" s="28" t="n">
        <v>116447.51</v>
      </c>
      <c r="L86" s="28" t="n">
        <v>17722.3</v>
      </c>
      <c r="M86" s="28" t="n">
        <v>17753.73</v>
      </c>
      <c r="N86" s="28" t="n">
        <v>82967.16</v>
      </c>
      <c r="O86" s="28" t="n">
        <v>20211.27</v>
      </c>
      <c r="P86" s="28" t="n">
        <v>563.5700000000001</v>
      </c>
      <c r="Q86" s="28" t="n">
        <v>-856.17</v>
      </c>
      <c r="R86" s="28" t="n">
        <v>0</v>
      </c>
      <c r="S86" s="30" t="n">
        <v>131.936</v>
      </c>
      <c r="T86" s="29" t="n">
        <v>2</v>
      </c>
      <c r="U86" s="29" t="n">
        <v>23</v>
      </c>
      <c r="V86" s="31">
        <f>C86+D86+E86</f>
        <v/>
      </c>
      <c r="W86" s="31">
        <f>O86/V86</f>
        <v/>
      </c>
      <c r="X86" s="31">
        <f>IF(C86=0,Y86,J86/C86+W86)</f>
        <v/>
      </c>
      <c r="Y86" s="31">
        <f>IF(D86=0,0,K86/D86+W86)</f>
        <v/>
      </c>
      <c r="Z86" s="31">
        <f>IF(E86=0,0,L86/E86+W86)</f>
        <v/>
      </c>
      <c r="AA86" s="31">
        <f>V86/(B86*24*$L$6)</f>
        <v/>
      </c>
      <c r="AB86" s="31">
        <f>IFERROR(N86/MIN(H86,AA86),0)</f>
        <v/>
      </c>
    </row>
    <row r="87">
      <c r="A87" s="28" t="inlineStr">
        <is>
          <t>Nov-25</t>
        </is>
      </c>
      <c r="B87" s="29" t="n">
        <v>30</v>
      </c>
      <c r="C87" s="29" t="n">
        <v>31370</v>
      </c>
      <c r="D87" s="29" t="n">
        <v>50643</v>
      </c>
      <c r="E87" s="29" t="n">
        <v>11895</v>
      </c>
      <c r="F87" s="28" t="n">
        <v>184</v>
      </c>
      <c r="G87" s="28" t="n">
        <v>183</v>
      </c>
      <c r="H87" s="28" t="n">
        <v>166</v>
      </c>
      <c r="I87" s="30" t="n">
        <v>91.75</v>
      </c>
      <c r="J87" s="28" t="n">
        <v>30786.52</v>
      </c>
      <c r="K87" s="28" t="n">
        <v>88559.41</v>
      </c>
      <c r="L87" s="28" t="n">
        <v>24736.84</v>
      </c>
      <c r="M87" s="28" t="n">
        <v>16766.08</v>
      </c>
      <c r="N87" s="28" t="n">
        <v>71821.56</v>
      </c>
      <c r="O87" s="28" t="n">
        <v>18565.62</v>
      </c>
      <c r="P87" s="28" t="n">
        <v>563.5700000000001</v>
      </c>
      <c r="Q87" s="28" t="n">
        <v>-1259</v>
      </c>
      <c r="R87" s="28" t="n">
        <v>0</v>
      </c>
      <c r="S87" s="30" t="n">
        <v>136.56</v>
      </c>
      <c r="T87" s="29" t="n">
        <v>4</v>
      </c>
      <c r="U87" s="29" t="n">
        <v>19</v>
      </c>
      <c r="V87" s="31">
        <f>C87+D87+E87</f>
        <v/>
      </c>
      <c r="W87" s="31">
        <f>O87/V87</f>
        <v/>
      </c>
      <c r="X87" s="31">
        <f>IF(C87=0,Y87,J87/C87+W87)</f>
        <v/>
      </c>
      <c r="Y87" s="31">
        <f>IF(D87=0,0,K87/D87+W87)</f>
        <v/>
      </c>
      <c r="Z87" s="31">
        <f>IF(E87=0,0,L87/E87+W87)</f>
        <v/>
      </c>
      <c r="AA87" s="31">
        <f>V87/(B87*24*$L$6)</f>
        <v/>
      </c>
      <c r="AB87" s="31">
        <f>IFERROR(N87/MIN(H87,AA87),0)</f>
        <v/>
      </c>
    </row>
    <row r="88">
      <c r="A88" s="28" t="inlineStr">
        <is>
          <t>Dic-25</t>
        </is>
      </c>
      <c r="B88" s="29" t="n">
        <v>31</v>
      </c>
      <c r="C88" s="29" t="n">
        <v>28064</v>
      </c>
      <c r="D88" s="29" t="n">
        <v>50519</v>
      </c>
      <c r="E88" s="29" t="n">
        <v>12433</v>
      </c>
      <c r="F88" s="28" t="n">
        <v>185</v>
      </c>
      <c r="G88" s="28" t="n">
        <v>154</v>
      </c>
      <c r="H88" s="28" t="n">
        <v>169</v>
      </c>
      <c r="I88" s="30" t="n">
        <v>91.94</v>
      </c>
      <c r="J88" s="28" t="n">
        <v>26166.87</v>
      </c>
      <c r="K88" s="28" t="n">
        <v>83927.21000000001</v>
      </c>
      <c r="L88" s="28" t="n">
        <v>24563.88</v>
      </c>
      <c r="M88" s="28" t="n">
        <v>16857.2</v>
      </c>
      <c r="N88" s="28" t="n">
        <v>69464.07000000001</v>
      </c>
      <c r="O88" s="28" t="n">
        <v>17993.87</v>
      </c>
      <c r="P88" s="28" t="n">
        <v>563.5700000000001</v>
      </c>
      <c r="Q88" s="28" t="n">
        <v>-1197.68</v>
      </c>
      <c r="R88" s="28" t="n">
        <v>0</v>
      </c>
      <c r="S88" s="30" t="n">
        <v>131.192</v>
      </c>
      <c r="T88" s="29" t="n">
        <v>4</v>
      </c>
      <c r="U88" s="29" t="n">
        <v>22</v>
      </c>
      <c r="V88" s="31">
        <f>C88+D88+E88</f>
        <v/>
      </c>
      <c r="W88" s="31">
        <f>O88/V88</f>
        <v/>
      </c>
      <c r="X88" s="31">
        <f>IF(C88=0,Y88,J88/C88+W88)</f>
        <v/>
      </c>
      <c r="Y88" s="31">
        <f>IF(D88=0,0,K88/D88+W88)</f>
        <v/>
      </c>
      <c r="Z88" s="31">
        <f>IF(E88=0,0,L88/E88+W88)</f>
        <v/>
      </c>
      <c r="AA88" s="31">
        <f>V88/(B88*24*$L$6)</f>
        <v/>
      </c>
      <c r="AB88" s="31">
        <f>IFERROR(N88/MIN(H88,AA88),0)</f>
        <v/>
      </c>
    </row>
    <row r="89">
      <c r="A89" s="28" t="inlineStr">
        <is>
          <t>Ene-26</t>
        </is>
      </c>
      <c r="B89" s="29" t="n">
        <v>31</v>
      </c>
      <c r="C89" s="29" t="n">
        <v>27003</v>
      </c>
      <c r="D89" s="29" t="n">
        <v>47763</v>
      </c>
      <c r="E89" s="29" t="n">
        <v>11813</v>
      </c>
      <c r="F89" s="28" t="n">
        <v>149</v>
      </c>
      <c r="G89" s="28" t="n">
        <v>180</v>
      </c>
      <c r="H89" s="28" t="n">
        <v>153</v>
      </c>
      <c r="I89" s="30" t="n">
        <v>92.01000000000001</v>
      </c>
      <c r="J89" s="28" t="n">
        <v>24610.53</v>
      </c>
      <c r="K89" s="28" t="n">
        <v>77562.34</v>
      </c>
      <c r="L89" s="28" t="n">
        <v>22813.27</v>
      </c>
      <c r="M89" s="28" t="n">
        <v>15507</v>
      </c>
      <c r="N89" s="28" t="n">
        <v>61472.34</v>
      </c>
      <c r="O89" s="28" t="n">
        <v>16848.27</v>
      </c>
      <c r="P89" s="28" t="n">
        <v>703.36</v>
      </c>
      <c r="Q89" s="28" t="n">
        <v>-1097.59</v>
      </c>
      <c r="R89" s="28" t="n">
        <v>0</v>
      </c>
      <c r="S89" s="30" t="n">
        <v>143.096</v>
      </c>
      <c r="T89" s="29" t="n">
        <v>4</v>
      </c>
      <c r="U89" s="29" t="n">
        <v>21</v>
      </c>
      <c r="V89" s="31">
        <f>C89+D89+E89</f>
        <v/>
      </c>
      <c r="W89" s="31">
        <f>O89/V89</f>
        <v/>
      </c>
      <c r="X89" s="31">
        <f>IF(C89=0,Y89,J89/C89+W89)</f>
        <v/>
      </c>
      <c r="Y89" s="31">
        <f>IF(D89=0,0,K89/D89+W89)</f>
        <v/>
      </c>
      <c r="Z89" s="31">
        <f>IF(E89=0,0,L89/E89+W89)</f>
        <v/>
      </c>
      <c r="AA89" s="31">
        <f>V89/(B89*24*$L$6)</f>
        <v/>
      </c>
      <c r="AB89" s="31">
        <f>IFERROR(N89/MIN(H89,AA89),0)</f>
        <v/>
      </c>
    </row>
    <row r="90">
      <c r="A90" s="28" t="inlineStr">
        <is>
          <t>Feb-26</t>
        </is>
      </c>
      <c r="B90" s="29" t="n">
        <v>28</v>
      </c>
      <c r="C90" s="29" t="n">
        <v>28532</v>
      </c>
      <c r="D90" s="29" t="n">
        <v>49886</v>
      </c>
      <c r="E90" s="29" t="n">
        <v>12871</v>
      </c>
      <c r="F90" s="28" t="n">
        <v>181</v>
      </c>
      <c r="G90" s="28" t="n">
        <v>200</v>
      </c>
      <c r="H90" s="28" t="n">
        <v>194</v>
      </c>
      <c r="I90" s="30" t="n">
        <v>90.64</v>
      </c>
      <c r="J90" s="28" t="n">
        <v>26018.33</v>
      </c>
      <c r="K90" s="28" t="n">
        <v>81054.77</v>
      </c>
      <c r="L90" s="28" t="n">
        <v>24870.63</v>
      </c>
      <c r="M90" s="28" t="n">
        <v>17230</v>
      </c>
      <c r="N90" s="28" t="n">
        <v>77989.94</v>
      </c>
      <c r="O90" s="28" t="n">
        <v>17764.83</v>
      </c>
      <c r="P90" s="28" t="n">
        <v>703.36</v>
      </c>
      <c r="Q90" s="28" t="n">
        <v>-491.26</v>
      </c>
      <c r="R90" s="28" t="n">
        <v>0</v>
      </c>
      <c r="S90" s="30" t="n">
        <v>139.104</v>
      </c>
      <c r="T90" s="29" t="n">
        <v>4</v>
      </c>
      <c r="U90" s="29" t="n">
        <v>19</v>
      </c>
      <c r="V90" s="31">
        <f>C90+D90+E90</f>
        <v/>
      </c>
      <c r="W90" s="31">
        <f>O90/V90</f>
        <v/>
      </c>
      <c r="X90" s="31">
        <f>IF(C90=0,Y90,J90/C90+W90)</f>
        <v/>
      </c>
      <c r="Y90" s="31">
        <f>IF(D90=0,0,K90/D90+W90)</f>
        <v/>
      </c>
      <c r="Z90" s="31">
        <f>IF(E90=0,0,L90/E90+W90)</f>
        <v/>
      </c>
      <c r="AA90" s="31">
        <f>V90/(B90*24*$L$6)</f>
        <v/>
      </c>
      <c r="AB90" s="31">
        <f>IFERROR(N90/MIN(H90,AA90),0)</f>
        <v/>
      </c>
    </row>
    <row r="91">
      <c r="A91" s="28" t="inlineStr">
        <is>
          <t>Mar-26</t>
        </is>
      </c>
      <c r="B91" s="29" t="n">
        <v>31</v>
      </c>
      <c r="C91" s="29" t="n">
        <v>33959</v>
      </c>
      <c r="D91" s="29" t="n">
        <v>55377</v>
      </c>
      <c r="E91" s="29" t="n">
        <v>13651</v>
      </c>
      <c r="F91" s="28" t="n">
        <v>193</v>
      </c>
      <c r="G91" s="28" t="n">
        <v>191</v>
      </c>
      <c r="H91" s="28" t="n">
        <v>190</v>
      </c>
      <c r="I91" s="30" t="n">
        <v>90.88</v>
      </c>
      <c r="J91" s="28" t="n">
        <v>30987.59</v>
      </c>
      <c r="K91" s="28" t="n">
        <v>90031.92999999999</v>
      </c>
      <c r="L91" s="28" t="n">
        <v>26394.21</v>
      </c>
      <c r="M91" s="28" t="n">
        <v>16626.95</v>
      </c>
      <c r="N91" s="28" t="n">
        <v>76429.39999999999</v>
      </c>
      <c r="O91" s="28" t="n">
        <v>20041.29</v>
      </c>
      <c r="P91" s="28" t="n">
        <v>703.36</v>
      </c>
      <c r="Q91" s="28" t="n">
        <v>-522.4299999999999</v>
      </c>
      <c r="R91" s="28" t="n">
        <v>0</v>
      </c>
      <c r="S91" s="30" t="n">
        <v>170.376</v>
      </c>
      <c r="T91" s="29" t="n">
        <v>4</v>
      </c>
      <c r="U91" s="29" t="n">
        <v>21</v>
      </c>
      <c r="V91" s="31">
        <f>C91+D91+E91</f>
        <v/>
      </c>
      <c r="W91" s="31">
        <f>O91/V91</f>
        <v/>
      </c>
      <c r="X91" s="31">
        <f>IF(C91=0,Y91,J91/C91+W91)</f>
        <v/>
      </c>
      <c r="Y91" s="31">
        <f>IF(D91=0,0,K91/D91+W91)</f>
        <v/>
      </c>
      <c r="Z91" s="31">
        <f>IF(E91=0,0,L91/E91+W91)</f>
        <v/>
      </c>
      <c r="AA91" s="31">
        <f>V91/(B91*24*$L$6)</f>
        <v/>
      </c>
      <c r="AB91" s="31">
        <f>IFERROR(N91/MIN(H91,AA91),0)</f>
        <v/>
      </c>
    </row>
    <row r="92">
      <c r="A92" s="19" t="inlineStr">
        <is>
          <t>Filas = recibo ancla (parseado) + meses reconstruidos del CONSUMO HISTÓRICO (subtotal al peso; split TOU por shares del ancla). Capacidad a MIN(kW punta, umbral); tarifas por banda = concepto/kWh + vol/kWh; col Q&lt;0 (bonificación FP) aplica claw-back al ahorro. Válido &lt;700 kWp (medición neta). Excedentes PV a $0.</t>
        </is>
      </c>
    </row>
    <row r="94">
      <c r="O94" s="19" t="inlineStr">
        <is>
          <t>Techo — referencia satelital (ruta HelioScope; cruz roja = punto verificado) · confianza ?</t>
        </is>
      </c>
    </row>
  </sheetData>
  <mergeCells count="7">
    <mergeCell ref="A74:K74"/>
    <mergeCell ref="A69:K69"/>
    <mergeCell ref="A72:K72"/>
    <mergeCell ref="A73:K73"/>
    <mergeCell ref="A71:K71"/>
    <mergeCell ref="A70:K70"/>
    <mergeCell ref="A92:AB9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5" t="inlineStr">
        <is>
          <t>Fiesta Americana Condesa Cancún — Memoria de cálculo y propuesta energética</t>
        </is>
      </c>
    </row>
    <row r="2">
      <c r="A2" s="5" t="inlineStr">
        <is>
          <t>RPU 780881200029 · GDMTH SIN · Demanda contratada 5,115 kW · 12 meses de recibo</t>
        </is>
      </c>
    </row>
    <row r="3">
      <c r="A3" s="16" t="inlineStr">
        <is>
          <t>Régimen: GENERADOR EXENTO — Medición Neta (sin permiso; Art. 30 LSE; RES/142/2017)</t>
        </is>
      </c>
    </row>
    <row r="5">
      <c r="A5" s="6" t="inlineStr">
        <is>
          <t>PARÁMETROS (desde Supuestos — edítalos ahí)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7" t="inlineStr">
        <is>
          <t>PV kWp</t>
        </is>
      </c>
      <c r="B6" s="1">
        <f>Supuestos!$B$28</f>
        <v/>
      </c>
      <c r="C6" s="17" t="inlineStr">
        <is>
          <t>BESS kW</t>
        </is>
      </c>
      <c r="D6" s="1">
        <f>Supuestos!$C$28</f>
        <v/>
      </c>
      <c r="E6" s="17" t="inlineStr">
        <is>
          <t>BESS kWh</t>
        </is>
      </c>
      <c r="F6" s="1">
        <f>Supuestos!$D$28</f>
        <v/>
      </c>
      <c r="G6" s="17" t="inlineStr">
        <is>
          <t>FP corrección</t>
        </is>
      </c>
      <c r="H6">
        <f>Supuestos!$E$28</f>
        <v/>
      </c>
      <c r="I6" s="17" t="inlineStr">
        <is>
          <t>Entrega útil kWh</t>
        </is>
      </c>
      <c r="J6" s="1">
        <f>Supuestos!$D$28*Supuestos!$B$17*SQRT(Supuestos!$B$18)</f>
        <v/>
      </c>
      <c r="K6" s="17" t="inlineStr">
        <is>
          <t>FC umbral</t>
        </is>
      </c>
      <c r="L6" s="11" t="n">
        <v>0.57</v>
      </c>
    </row>
    <row r="8">
      <c r="A8" s="6" t="inlineStr">
        <is>
          <t>1. ESTRUCTURA DE COSTO Y AHORRO (pre-IVA, año base · fórmulas vivas ← §3)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18" t="inlineStr">
        <is>
          <t>Concepto</t>
        </is>
      </c>
      <c r="B9" s="18" t="inlineStr">
        <is>
          <t>$ / año</t>
        </is>
      </c>
      <c r="C9" s="18" t="inlineStr">
        <is>
          <t>Nota</t>
        </is>
      </c>
    </row>
    <row r="10">
      <c r="A10" t="inlineStr">
        <is>
          <t>Tarifa Actual (CFE pleno, sin proyecto)</t>
        </is>
      </c>
      <c r="B10" s="1">
        <f>$E$38*$B$39</f>
        <v/>
      </c>
      <c r="C10" s="19" t="inlineStr">
        <is>
          <t>Σ recibos × anualización</t>
        </is>
      </c>
    </row>
    <row r="11">
      <c r="A11" t="inlineStr">
        <is>
          <t>(−) Ahorro PV (energía + demanda)</t>
        </is>
      </c>
      <c r="B11" s="1">
        <f>$F$38*$B$39</f>
        <v/>
      </c>
      <c r="C11" s="19" t="inlineStr">
        <is>
          <t>intermedio + umbral</t>
        </is>
      </c>
    </row>
    <row r="12">
      <c r="A12" t="inlineStr">
        <is>
          <t>(−) Ahorro BESS (punta + arbitraje)</t>
        </is>
      </c>
      <c r="B12" s="1">
        <f>$G$38*$B$39</f>
        <v/>
      </c>
      <c r="C12" s="19" t="inlineStr">
        <is>
          <t>recorte punta + arbitraje (incl. claw)</t>
        </is>
      </c>
    </row>
    <row r="13">
      <c r="A13" t="inlineStr">
        <is>
          <t>(−) Ahorro FP (corrección)</t>
        </is>
      </c>
      <c r="B13" s="1">
        <f>$H$38*$B$39</f>
        <v/>
      </c>
      <c r="C13" s="19" t="inlineStr">
        <is>
          <t>multa factor de potencia</t>
        </is>
      </c>
    </row>
    <row r="14">
      <c r="A14" s="17" t="inlineStr">
        <is>
          <t>(=) Costo neto con proyecto</t>
        </is>
      </c>
      <c r="B14" s="20">
        <f>B10-B11-B12-B13</f>
        <v/>
      </c>
    </row>
    <row r="15">
      <c r="A15" s="17" t="inlineStr">
        <is>
          <t>Ahorro proyecto / año</t>
        </is>
      </c>
      <c r="B15" s="20">
        <f>B11+B12+B13</f>
        <v/>
      </c>
    </row>
    <row r="16">
      <c r="A16" s="17" t="inlineStr">
        <is>
          <t>Ahorro %</t>
        </is>
      </c>
      <c r="B16" s="2">
        <f>B15/B10</f>
        <v/>
      </c>
    </row>
    <row r="18">
      <c r="A18" s="6" t="inlineStr">
        <is>
          <t>2. CAPEX (fórmulas vivas desde Supuestos)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t="inlineStr">
        <is>
          <t>CAPEX PV</t>
        </is>
      </c>
      <c r="B19" s="1">
        <f>Supuestos!$B$28*1000*Supuestos!$F$28*Supuestos!$B$5</f>
        <v/>
      </c>
    </row>
    <row r="20">
      <c r="A20" t="inlineStr">
        <is>
          <t>CAPEX BESS</t>
        </is>
      </c>
      <c r="B20" s="1">
        <f>Supuestos!$D$28*Supuestos!$G$28*Supuestos!$B$5</f>
        <v/>
      </c>
    </row>
    <row r="21">
      <c r="A21" t="inlineStr">
        <is>
          <t>CAPEX capacitor (FP)</t>
        </is>
      </c>
      <c r="B21" s="1">
        <f>Supuestos!$H$28</f>
        <v/>
      </c>
    </row>
    <row r="22">
      <c r="A22" s="17" t="inlineStr">
        <is>
          <t>CAPEX TOTAL</t>
        </is>
      </c>
      <c r="B22" s="20">
        <f>B19+B20+B21</f>
        <v/>
      </c>
    </row>
    <row r="24">
      <c r="A24" s="6" t="inlineStr">
        <is>
          <t>3. RESUMEN MENSUAL — Tarifa Actual vs Con Proyecto (fórmulas vivas ← §6 y Supuestos)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21" t="inlineStr">
        <is>
          <t>Mes</t>
        </is>
      </c>
      <c r="B25" s="21" t="inlineStr">
        <is>
          <t>kWh Consumo</t>
        </is>
      </c>
      <c r="C25" s="21" t="inlineStr">
        <is>
          <t>Gen PV kWh</t>
        </is>
      </c>
      <c r="D25" s="21" t="inlineStr">
        <is>
          <t>BESS desc kWh</t>
        </is>
      </c>
      <c r="E25" s="21" t="inlineStr">
        <is>
          <t>Tarifa Actual $</t>
        </is>
      </c>
      <c r="F25" s="21" t="inlineStr">
        <is>
          <t>Ah PV $</t>
        </is>
      </c>
      <c r="G25" s="21" t="inlineStr">
        <is>
          <t>Ah BESS $</t>
        </is>
      </c>
      <c r="H25" s="21" t="inlineStr">
        <is>
          <t>Ah FP $</t>
        </is>
      </c>
      <c r="I25" s="21" t="inlineStr">
        <is>
          <t>Costo c/proy $</t>
        </is>
      </c>
      <c r="J25" s="21" t="inlineStr">
        <is>
          <t>Ahorro $</t>
        </is>
      </c>
      <c r="K25" s="21" t="inlineStr">
        <is>
          <t>Ahorro %</t>
        </is>
      </c>
    </row>
    <row r="26">
      <c r="A26">
        <f>A80</f>
        <v/>
      </c>
      <c r="B26" s="1">
        <f>V80</f>
        <v/>
      </c>
      <c r="C26" s="1">
        <f>Supuestos!$B$28*S80</f>
        <v/>
      </c>
      <c r="D26" s="1">
        <f>MIN($J$6*U80,E80)</f>
        <v/>
      </c>
      <c r="E26" s="1">
        <f>SUM(J80:Q80)</f>
        <v/>
      </c>
      <c r="F26" s="1">
        <f>(MIN(C26,D80)*Y80+(MIN(H80,AA80)-MIN(H80,(V80-MIN(C26,D80))/($B$80*24*$L$6)))*AB80)*IF(Q80&lt;0,1+Q80/SUM(J80:P80),1)</f>
        <v/>
      </c>
      <c r="G26" s="1">
        <f>((MIN(H80,(V80-MIN(C26,D80))/($B$80*24*$L$6))-MIN(MAX(H80-MIN(Supuestos!$C$28,IF(T80&gt;0,$J$6/T80,0)),0),(V80-MIN(C26,D80))/($B$80*24*$L$6)))*AB80+D26*Z80-D26/Supuestos!$B$18*X80)*IF(Q80&lt;0,1+Q80/SUM(J80:P80),1)</f>
        <v/>
      </c>
      <c r="H26" s="1">
        <f>IF(Supuestos!$E$28="Sí",R80,0)</f>
        <v/>
      </c>
      <c r="I26" s="1">
        <f>E26-J26</f>
        <v/>
      </c>
      <c r="J26" s="1">
        <f>F26+G26+H26</f>
        <v/>
      </c>
      <c r="K26" s="2">
        <f>J26/E26</f>
        <v/>
      </c>
    </row>
    <row r="27">
      <c r="A27">
        <f>A81</f>
        <v/>
      </c>
      <c r="B27" s="1">
        <f>V81</f>
        <v/>
      </c>
      <c r="C27" s="1">
        <f>Supuestos!$B$28*S81</f>
        <v/>
      </c>
      <c r="D27" s="1">
        <f>MIN($J$6*U81,E81)</f>
        <v/>
      </c>
      <c r="E27" s="1">
        <f>SUM(J81:Q81)</f>
        <v/>
      </c>
      <c r="F27" s="1">
        <f>(MIN(C27,D81)*Y81+(MIN(H81,AA81)-MIN(H81,(V81-MIN(C27,D81))/($B$81*24*$L$6)))*AB81)*IF(Q81&lt;0,1+Q81/SUM(J81:P81),1)</f>
        <v/>
      </c>
      <c r="G27" s="1">
        <f>((MIN(H81,(V81-MIN(C27,D81))/($B$81*24*$L$6))-MIN(MAX(H81-MIN(Supuestos!$C$28,IF(T81&gt;0,$J$6/T81,0)),0),(V81-MIN(C27,D81))/($B$81*24*$L$6)))*AB81+D27*Z81-D27/Supuestos!$B$18*X81)*IF(Q81&lt;0,1+Q81/SUM(J81:P81),1)</f>
        <v/>
      </c>
      <c r="H27" s="1">
        <f>IF(Supuestos!$E$28="Sí",R81,0)</f>
        <v/>
      </c>
      <c r="I27" s="1">
        <f>E27-J27</f>
        <v/>
      </c>
      <c r="J27" s="1">
        <f>F27+G27+H27</f>
        <v/>
      </c>
      <c r="K27" s="2">
        <f>J27/E27</f>
        <v/>
      </c>
    </row>
    <row r="28">
      <c r="A28">
        <f>A82</f>
        <v/>
      </c>
      <c r="B28" s="1">
        <f>V82</f>
        <v/>
      </c>
      <c r="C28" s="1">
        <f>Supuestos!$B$28*S82</f>
        <v/>
      </c>
      <c r="D28" s="1">
        <f>MIN($J$6*U82,E82)</f>
        <v/>
      </c>
      <c r="E28" s="1">
        <f>SUM(J82:Q82)</f>
        <v/>
      </c>
      <c r="F28" s="1">
        <f>(MIN(C28,D82)*Y82+(MIN(H82,AA82)-MIN(H82,(V82-MIN(C28,D82))/($B$82*24*$L$6)))*AB82)*IF(Q82&lt;0,1+Q82/SUM(J82:P82),1)</f>
        <v/>
      </c>
      <c r="G28" s="1">
        <f>((MIN(H82,(V82-MIN(C28,D82))/($B$82*24*$L$6))-MIN(MAX(H82-MIN(Supuestos!$C$28,IF(T82&gt;0,$J$6/T82,0)),0),(V82-MIN(C28,D82))/($B$82*24*$L$6)))*AB82+D28*Z82-D28/Supuestos!$B$18*X82)*IF(Q82&lt;0,1+Q82/SUM(J82:P82),1)</f>
        <v/>
      </c>
      <c r="H28" s="1">
        <f>IF(Supuestos!$E$28="Sí",R82,0)</f>
        <v/>
      </c>
      <c r="I28" s="1">
        <f>E28-J28</f>
        <v/>
      </c>
      <c r="J28" s="1">
        <f>F28+G28+H28</f>
        <v/>
      </c>
      <c r="K28" s="2">
        <f>J28/E28</f>
        <v/>
      </c>
    </row>
    <row r="29">
      <c r="A29">
        <f>A83</f>
        <v/>
      </c>
      <c r="B29" s="1">
        <f>V83</f>
        <v/>
      </c>
      <c r="C29" s="1">
        <f>Supuestos!$B$28*S83</f>
        <v/>
      </c>
      <c r="D29" s="1">
        <f>MIN($J$6*U83,E83)</f>
        <v/>
      </c>
      <c r="E29" s="1">
        <f>SUM(J83:Q83)</f>
        <v/>
      </c>
      <c r="F29" s="1">
        <f>(MIN(C29,D83)*Y83+(MIN(H83,AA83)-MIN(H83,(V83-MIN(C29,D83))/($B$83*24*$L$6)))*AB83)*IF(Q83&lt;0,1+Q83/SUM(J83:P83),1)</f>
        <v/>
      </c>
      <c r="G29" s="1">
        <f>((MIN(H83,(V83-MIN(C29,D83))/($B$83*24*$L$6))-MIN(MAX(H83-MIN(Supuestos!$C$28,IF(T83&gt;0,$J$6/T83,0)),0),(V83-MIN(C29,D83))/($B$83*24*$L$6)))*AB83+D29*Z83-D29/Supuestos!$B$18*X83)*IF(Q83&lt;0,1+Q83/SUM(J83:P83),1)</f>
        <v/>
      </c>
      <c r="H29" s="1">
        <f>IF(Supuestos!$E$28="Sí",R83,0)</f>
        <v/>
      </c>
      <c r="I29" s="1">
        <f>E29-J29</f>
        <v/>
      </c>
      <c r="J29" s="1">
        <f>F29+G29+H29</f>
        <v/>
      </c>
      <c r="K29" s="2">
        <f>J29/E29</f>
        <v/>
      </c>
    </row>
    <row r="30">
      <c r="A30">
        <f>A84</f>
        <v/>
      </c>
      <c r="B30" s="1">
        <f>V84</f>
        <v/>
      </c>
      <c r="C30" s="1">
        <f>Supuestos!$B$28*S84</f>
        <v/>
      </c>
      <c r="D30" s="1">
        <f>MIN($J$6*U84,E84)</f>
        <v/>
      </c>
      <c r="E30" s="1">
        <f>SUM(J84:Q84)</f>
        <v/>
      </c>
      <c r="F30" s="1">
        <f>(MIN(C30,D84)*Y84+(MIN(H84,AA84)-MIN(H84,(V84-MIN(C30,D84))/($B$84*24*$L$6)))*AB84)*IF(Q84&lt;0,1+Q84/SUM(J84:P84),1)</f>
        <v/>
      </c>
      <c r="G30" s="1">
        <f>((MIN(H84,(V84-MIN(C30,D84))/($B$84*24*$L$6))-MIN(MAX(H84-MIN(Supuestos!$C$28,IF(T84&gt;0,$J$6/T84,0)),0),(V84-MIN(C30,D84))/($B$84*24*$L$6)))*AB84+D30*Z84-D30/Supuestos!$B$18*X84)*IF(Q84&lt;0,1+Q84/SUM(J84:P84),1)</f>
        <v/>
      </c>
      <c r="H30" s="1">
        <f>IF(Supuestos!$E$28="Sí",R84,0)</f>
        <v/>
      </c>
      <c r="I30" s="1">
        <f>E30-J30</f>
        <v/>
      </c>
      <c r="J30" s="1">
        <f>F30+G30+H30</f>
        <v/>
      </c>
      <c r="K30" s="2">
        <f>J30/E30</f>
        <v/>
      </c>
    </row>
    <row r="31">
      <c r="A31">
        <f>A85</f>
        <v/>
      </c>
      <c r="B31" s="1">
        <f>V85</f>
        <v/>
      </c>
      <c r="C31" s="1">
        <f>Supuestos!$B$28*S85</f>
        <v/>
      </c>
      <c r="D31" s="1">
        <f>MIN($J$6*U85,E85)</f>
        <v/>
      </c>
      <c r="E31" s="1">
        <f>SUM(J85:Q85)</f>
        <v/>
      </c>
      <c r="F31" s="1">
        <f>(MIN(C31,D85)*Y85+(MIN(H85,AA85)-MIN(H85,(V85-MIN(C31,D85))/($B$85*24*$L$6)))*AB85)*IF(Q85&lt;0,1+Q85/SUM(J85:P85),1)</f>
        <v/>
      </c>
      <c r="G31" s="1">
        <f>((MIN(H85,(V85-MIN(C31,D85))/($B$85*24*$L$6))-MIN(MAX(H85-MIN(Supuestos!$C$28,IF(T85&gt;0,$J$6/T85,0)),0),(V85-MIN(C31,D85))/($B$85*24*$L$6)))*AB85+D31*Z85-D31/Supuestos!$B$18*X85)*IF(Q85&lt;0,1+Q85/SUM(J85:P85),1)</f>
        <v/>
      </c>
      <c r="H31" s="1">
        <f>IF(Supuestos!$E$28="Sí",R85,0)</f>
        <v/>
      </c>
      <c r="I31" s="1">
        <f>E31-J31</f>
        <v/>
      </c>
      <c r="J31" s="1">
        <f>F31+G31+H31</f>
        <v/>
      </c>
      <c r="K31" s="2">
        <f>J31/E31</f>
        <v/>
      </c>
    </row>
    <row r="32">
      <c r="A32">
        <f>A86</f>
        <v/>
      </c>
      <c r="B32" s="1">
        <f>V86</f>
        <v/>
      </c>
      <c r="C32" s="1">
        <f>Supuestos!$B$28*S86</f>
        <v/>
      </c>
      <c r="D32" s="1">
        <f>MIN($J$6*U86,E86)</f>
        <v/>
      </c>
      <c r="E32" s="1">
        <f>SUM(J86:Q86)</f>
        <v/>
      </c>
      <c r="F32" s="1">
        <f>(MIN(C32,D86)*Y86+(MIN(H86,AA86)-MIN(H86,(V86-MIN(C32,D86))/($B$86*24*$L$6)))*AB86)*IF(Q86&lt;0,1+Q86/SUM(J86:P86),1)</f>
        <v/>
      </c>
      <c r="G32" s="1">
        <f>((MIN(H86,(V86-MIN(C32,D86))/($B$86*24*$L$6))-MIN(MAX(H86-MIN(Supuestos!$C$28,IF(T86&gt;0,$J$6/T86,0)),0),(V86-MIN(C32,D86))/($B$86*24*$L$6)))*AB86+D32*Z86-D32/Supuestos!$B$18*X86)*IF(Q86&lt;0,1+Q86/SUM(J86:P86),1)</f>
        <v/>
      </c>
      <c r="H32" s="1">
        <f>IF(Supuestos!$E$28="Sí",R86,0)</f>
        <v/>
      </c>
      <c r="I32" s="1">
        <f>E32-J32</f>
        <v/>
      </c>
      <c r="J32" s="1">
        <f>F32+G32+H32</f>
        <v/>
      </c>
      <c r="K32" s="2">
        <f>J32/E32</f>
        <v/>
      </c>
    </row>
    <row r="33">
      <c r="A33">
        <f>A87</f>
        <v/>
      </c>
      <c r="B33" s="1">
        <f>V87</f>
        <v/>
      </c>
      <c r="C33" s="1">
        <f>Supuestos!$B$28*S87</f>
        <v/>
      </c>
      <c r="D33" s="1">
        <f>MIN($J$6*U87,E87)</f>
        <v/>
      </c>
      <c r="E33" s="1">
        <f>SUM(J87:Q87)</f>
        <v/>
      </c>
      <c r="F33" s="1">
        <f>(MIN(C33,D87)*Y87+(MIN(H87,AA87)-MIN(H87,(V87-MIN(C33,D87))/($B$87*24*$L$6)))*AB87)*IF(Q87&lt;0,1+Q87/SUM(J87:P87),1)</f>
        <v/>
      </c>
      <c r="G33" s="1">
        <f>((MIN(H87,(V87-MIN(C33,D87))/($B$87*24*$L$6))-MIN(MAX(H87-MIN(Supuestos!$C$28,IF(T87&gt;0,$J$6/T87,0)),0),(V87-MIN(C33,D87))/($B$87*24*$L$6)))*AB87+D33*Z87-D33/Supuestos!$B$18*X87)*IF(Q87&lt;0,1+Q87/SUM(J87:P87),1)</f>
        <v/>
      </c>
      <c r="H33" s="1">
        <f>IF(Supuestos!$E$28="Sí",R87,0)</f>
        <v/>
      </c>
      <c r="I33" s="1">
        <f>E33-J33</f>
        <v/>
      </c>
      <c r="J33" s="1">
        <f>F33+G33+H33</f>
        <v/>
      </c>
      <c r="K33" s="2">
        <f>J33/E33</f>
        <v/>
      </c>
    </row>
    <row r="34">
      <c r="A34">
        <f>A88</f>
        <v/>
      </c>
      <c r="B34" s="1">
        <f>V88</f>
        <v/>
      </c>
      <c r="C34" s="1">
        <f>Supuestos!$B$28*S88</f>
        <v/>
      </c>
      <c r="D34" s="1">
        <f>MIN($J$6*U88,E88)</f>
        <v/>
      </c>
      <c r="E34" s="1">
        <f>SUM(J88:Q88)</f>
        <v/>
      </c>
      <c r="F34" s="1">
        <f>(MIN(C34,D88)*Y88+(MIN(H88,AA88)-MIN(H88,(V88-MIN(C34,D88))/($B$88*24*$L$6)))*AB88)*IF(Q88&lt;0,1+Q88/SUM(J88:P88),1)</f>
        <v/>
      </c>
      <c r="G34" s="1">
        <f>((MIN(H88,(V88-MIN(C34,D88))/($B$88*24*$L$6))-MIN(MAX(H88-MIN(Supuestos!$C$28,IF(T88&gt;0,$J$6/T88,0)),0),(V88-MIN(C34,D88))/($B$88*24*$L$6)))*AB88+D34*Z88-D34/Supuestos!$B$18*X88)*IF(Q88&lt;0,1+Q88/SUM(J88:P88),1)</f>
        <v/>
      </c>
      <c r="H34" s="1">
        <f>IF(Supuestos!$E$28="Sí",R88,0)</f>
        <v/>
      </c>
      <c r="I34" s="1">
        <f>E34-J34</f>
        <v/>
      </c>
      <c r="J34" s="1">
        <f>F34+G34+H34</f>
        <v/>
      </c>
      <c r="K34" s="2">
        <f>J34/E34</f>
        <v/>
      </c>
    </row>
    <row r="35">
      <c r="A35">
        <f>A89</f>
        <v/>
      </c>
      <c r="B35" s="1">
        <f>V89</f>
        <v/>
      </c>
      <c r="C35" s="1">
        <f>Supuestos!$B$28*S89</f>
        <v/>
      </c>
      <c r="D35" s="1">
        <f>MIN($J$6*U89,E89)</f>
        <v/>
      </c>
      <c r="E35" s="1">
        <f>SUM(J89:Q89)</f>
        <v/>
      </c>
      <c r="F35" s="1">
        <f>(MIN(C35,D89)*Y89+(MIN(H89,AA89)-MIN(H89,(V89-MIN(C35,D89))/($B$89*24*$L$6)))*AB89)*IF(Q89&lt;0,1+Q89/SUM(J89:P89),1)</f>
        <v/>
      </c>
      <c r="G35" s="1">
        <f>((MIN(H89,(V89-MIN(C35,D89))/($B$89*24*$L$6))-MIN(MAX(H89-MIN(Supuestos!$C$28,IF(T89&gt;0,$J$6/T89,0)),0),(V89-MIN(C35,D89))/($B$89*24*$L$6)))*AB89+D35*Z89-D35/Supuestos!$B$18*X89)*IF(Q89&lt;0,1+Q89/SUM(J89:P89),1)</f>
        <v/>
      </c>
      <c r="H35" s="1">
        <f>IF(Supuestos!$E$28="Sí",R89,0)</f>
        <v/>
      </c>
      <c r="I35" s="1">
        <f>E35-J35</f>
        <v/>
      </c>
      <c r="J35" s="1">
        <f>F35+G35+H35</f>
        <v/>
      </c>
      <c r="K35" s="2">
        <f>J35/E35</f>
        <v/>
      </c>
    </row>
    <row r="36">
      <c r="A36">
        <f>A90</f>
        <v/>
      </c>
      <c r="B36" s="1">
        <f>V90</f>
        <v/>
      </c>
      <c r="C36" s="1">
        <f>Supuestos!$B$28*S90</f>
        <v/>
      </c>
      <c r="D36" s="1">
        <f>MIN($J$6*U90,E90)</f>
        <v/>
      </c>
      <c r="E36" s="1">
        <f>SUM(J90:Q90)</f>
        <v/>
      </c>
      <c r="F36" s="1">
        <f>(MIN(C36,D90)*Y90+(MIN(H90,AA90)-MIN(H90,(V90-MIN(C36,D90))/($B$90*24*$L$6)))*AB90)*IF(Q90&lt;0,1+Q90/SUM(J90:P90),1)</f>
        <v/>
      </c>
      <c r="G36" s="1">
        <f>((MIN(H90,(V90-MIN(C36,D90))/($B$90*24*$L$6))-MIN(MAX(H90-MIN(Supuestos!$C$28,IF(T90&gt;0,$J$6/T90,0)),0),(V90-MIN(C36,D90))/($B$90*24*$L$6)))*AB90+D36*Z90-D36/Supuestos!$B$18*X90)*IF(Q90&lt;0,1+Q90/SUM(J90:P90),1)</f>
        <v/>
      </c>
      <c r="H36" s="1">
        <f>IF(Supuestos!$E$28="Sí",R90,0)</f>
        <v/>
      </c>
      <c r="I36" s="1">
        <f>E36-J36</f>
        <v/>
      </c>
      <c r="J36" s="1">
        <f>F36+G36+H36</f>
        <v/>
      </c>
      <c r="K36" s="2">
        <f>J36/E36</f>
        <v/>
      </c>
    </row>
    <row r="37">
      <c r="A37">
        <f>A91</f>
        <v/>
      </c>
      <c r="B37" s="1">
        <f>V91</f>
        <v/>
      </c>
      <c r="C37" s="1">
        <f>Supuestos!$B$28*S91</f>
        <v/>
      </c>
      <c r="D37" s="1">
        <f>MIN($J$6*U91,E91)</f>
        <v/>
      </c>
      <c r="E37" s="1">
        <f>SUM(J91:Q91)</f>
        <v/>
      </c>
      <c r="F37" s="1">
        <f>(MIN(C37,D91)*Y91+(MIN(H91,AA91)-MIN(H91,(V91-MIN(C37,D91))/($B$91*24*$L$6)))*AB91)*IF(Q91&lt;0,1+Q91/SUM(J91:P91),1)</f>
        <v/>
      </c>
      <c r="G37" s="1">
        <f>((MIN(H91,(V91-MIN(C37,D91))/($B$91*24*$L$6))-MIN(MAX(H91-MIN(Supuestos!$C$28,IF(T91&gt;0,$J$6/T91,0)),0),(V91-MIN(C37,D91))/($B$91*24*$L$6)))*AB91+D37*Z91-D37/Supuestos!$B$18*X91)*IF(Q91&lt;0,1+Q91/SUM(J91:P91),1)</f>
        <v/>
      </c>
      <c r="H37" s="1">
        <f>IF(Supuestos!$E$28="Sí",R91,0)</f>
        <v/>
      </c>
      <c r="I37" s="1">
        <f>E37-J37</f>
        <v/>
      </c>
      <c r="J37" s="1">
        <f>F37+G37+H37</f>
        <v/>
      </c>
      <c r="K37" s="2">
        <f>J37/E37</f>
        <v/>
      </c>
    </row>
    <row r="38">
      <c r="A38" s="17" t="inlineStr">
        <is>
          <t>TOTAL</t>
        </is>
      </c>
      <c r="B38" s="22">
        <f>SUM(B26:B37)</f>
        <v/>
      </c>
      <c r="C38" s="22">
        <f>SUM(C26:C37)</f>
        <v/>
      </c>
      <c r="D38" s="22">
        <f>SUM(D26:D37)</f>
        <v/>
      </c>
      <c r="E38" s="22">
        <f>SUM(E26:E37)</f>
        <v/>
      </c>
      <c r="F38" s="22">
        <f>SUM(F26:F37)</f>
        <v/>
      </c>
      <c r="G38" s="22">
        <f>SUM(G26:G37)</f>
        <v/>
      </c>
      <c r="H38" s="22">
        <f>SUM(H26:H37)</f>
        <v/>
      </c>
      <c r="I38" s="22">
        <f>SUM(I26:I37)</f>
        <v/>
      </c>
      <c r="J38" s="22">
        <f>SUM(J26:J37)</f>
        <v/>
      </c>
      <c r="K38" s="23">
        <f>J38/E38</f>
        <v/>
      </c>
    </row>
    <row r="39">
      <c r="A39" s="5" t="inlineStr">
        <is>
          <t>Factor anualización (12/meses):</t>
        </is>
      </c>
      <c r="B39" s="24" t="n">
        <v>1</v>
      </c>
    </row>
    <row r="40">
      <c r="A40" s="6" t="inlineStr">
        <is>
          <t>4. PROYECCIÓN 20 AÑOS — Comprar vs PPA/Ahorro compartido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12" t="inlineStr">
        <is>
          <t>Año</t>
        </is>
      </c>
      <c r="B41" s="12" t="inlineStr">
        <is>
          <t>Tarifa Actual $</t>
        </is>
      </c>
      <c r="C41" s="12" t="inlineStr">
        <is>
          <t>Ah PV $</t>
        </is>
      </c>
      <c r="D41" s="12" t="inlineStr">
        <is>
          <t>Ah BESS $</t>
        </is>
      </c>
      <c r="E41" s="12" t="inlineStr">
        <is>
          <t>Ah FP $</t>
        </is>
      </c>
      <c r="F41" s="12" t="inlineStr">
        <is>
          <t>Costo c/proy $</t>
        </is>
      </c>
      <c r="G41" s="12" t="inlineStr">
        <is>
          <t>Flujo Compra $</t>
        </is>
      </c>
      <c r="H41" s="12" t="inlineStr">
        <is>
          <t>Pago PPA $</t>
        </is>
      </c>
      <c r="I41" s="12" t="inlineStr">
        <is>
          <t>Comisión $</t>
        </is>
      </c>
      <c r="J41" s="12" t="inlineStr">
        <is>
          <t>Flujo Cliente PPA $</t>
        </is>
      </c>
      <c r="K41" s="12" t="inlineStr">
        <is>
          <t>Flujo Financiador $</t>
        </is>
      </c>
      <c r="L41" s="12" t="inlineStr">
        <is>
          <t>Acum Compra $</t>
        </is>
      </c>
      <c r="M41" s="12" t="inlineStr">
        <is>
          <t>Acum Cliente PPA $</t>
        </is>
      </c>
    </row>
    <row r="42">
      <c r="A42" t="n">
        <v>0</v>
      </c>
      <c r="G42" s="1">
        <f>-B22</f>
        <v/>
      </c>
      <c r="K42" s="1">
        <f>-B22</f>
        <v/>
      </c>
      <c r="L42" s="1">
        <f>G42</f>
        <v/>
      </c>
      <c r="M42" s="1" t="n">
        <v>0</v>
      </c>
    </row>
    <row r="43">
      <c r="A43" t="n">
        <v>1</v>
      </c>
      <c r="B43" s="1">
        <f>$E$38*$B$39*(1+Supuestos!$B$8)^1</f>
        <v/>
      </c>
      <c r="C43" s="1">
        <f>$F$38*$B$39*(1+Supuestos!$B$8)^1*((1-Supuestos!$B$11)*(1-Supuestos!$B$12)^0)</f>
        <v/>
      </c>
      <c r="D43" s="1">
        <f>$G$38*$B$39*(1+Supuestos!$B$8)^1*(1-Supuestos!$B$13)^1*Supuestos!$B$10</f>
        <v/>
      </c>
      <c r="E43" s="1">
        <f>$H$38*$B$39*(1+Supuestos!$B$8)^1</f>
        <v/>
      </c>
      <c r="F43" s="1">
        <f>B43-C43-D43-E43</f>
        <v/>
      </c>
      <c r="G43" s="1">
        <f>C43+D43+E43-(IF(1&lt;=Supuestos!$J$28,Supuestos!$B$19*Supuestos!$B$28*(1+Supuestos!$B$8)^0,0)+IF(1&lt;=Supuestos!$B$22,Supuestos!$B$20*Supuestos!$D$28*(1+Supuestos!$B$8)^0,0))</f>
        <v/>
      </c>
      <c r="H43" s="1">
        <f>IF(1&lt;=Supuestos!$J$28,$C$38*$B$39*((1-Supuestos!$B$11)*(1-Supuestos!$B$12)^0)*Supuestos!$I$28*(1+Supuestos!$B$9)^0,0)</f>
        <v/>
      </c>
      <c r="I43" s="1">
        <f>IF(1&lt;=Supuestos!$B$22,D43*Supuestos!$K$28,0)</f>
        <v/>
      </c>
      <c r="J43" s="1">
        <f>C43+D43+E43-H43-I43</f>
        <v/>
      </c>
      <c r="K43" s="1">
        <f>H43+I43-(IF(1&lt;=Supuestos!$J$28,Supuestos!$B$19*Supuestos!$B$28*(1+Supuestos!$B$8)^0,0)+IF(1&lt;=Supuestos!$B$22,Supuestos!$B$20*Supuestos!$D$28*(1+Supuestos!$B$8)^0,0))-H43*Supuestos!$B$21</f>
        <v/>
      </c>
      <c r="L43" s="1">
        <f>L42+G43</f>
        <v/>
      </c>
      <c r="M43" s="1">
        <f>M42+J43</f>
        <v/>
      </c>
    </row>
    <row r="44">
      <c r="A44" t="n">
        <v>2</v>
      </c>
      <c r="B44" s="1">
        <f>$E$38*$B$39*(1+Supuestos!$B$8)^2</f>
        <v/>
      </c>
      <c r="C44" s="1">
        <f>$F$38*$B$39*(1+Supuestos!$B$8)^2*((1-Supuestos!$B$11)*(1-Supuestos!$B$12)^1)</f>
        <v/>
      </c>
      <c r="D44" s="1">
        <f>$G$38*$B$39*(1+Supuestos!$B$8)^2*(1-Supuestos!$B$13)^2*Supuestos!$B$10</f>
        <v/>
      </c>
      <c r="E44" s="1">
        <f>$H$38*$B$39*(1+Supuestos!$B$8)^2</f>
        <v/>
      </c>
      <c r="F44" s="1">
        <f>B44-C44-D44-E44</f>
        <v/>
      </c>
      <c r="G44" s="1">
        <f>C44+D44+E44-(IF(2&lt;=Supuestos!$J$28,Supuestos!$B$19*Supuestos!$B$28*(1+Supuestos!$B$8)^1,0)+IF(2&lt;=Supuestos!$B$22,Supuestos!$B$20*Supuestos!$D$28*(1+Supuestos!$B$8)^1,0))</f>
        <v/>
      </c>
      <c r="H44" s="1">
        <f>IF(2&lt;=Supuestos!$J$28,$C$38*$B$39*((1-Supuestos!$B$11)*(1-Supuestos!$B$12)^1)*Supuestos!$I$28*(1+Supuestos!$B$9)^1,0)</f>
        <v/>
      </c>
      <c r="I44" s="1">
        <f>IF(2&lt;=Supuestos!$B$22,D44*Supuestos!$K$28,0)</f>
        <v/>
      </c>
      <c r="J44" s="1">
        <f>C44+D44+E44-H44-I44</f>
        <v/>
      </c>
      <c r="K44" s="1">
        <f>H44+I44-(IF(2&lt;=Supuestos!$J$28,Supuestos!$B$19*Supuestos!$B$28*(1+Supuestos!$B$8)^1,0)+IF(2&lt;=Supuestos!$B$22,Supuestos!$B$20*Supuestos!$D$28*(1+Supuestos!$B$8)^1,0))-H44*Supuestos!$B$21</f>
        <v/>
      </c>
      <c r="L44" s="1">
        <f>L43+G44</f>
        <v/>
      </c>
      <c r="M44" s="1">
        <f>M43+J44</f>
        <v/>
      </c>
    </row>
    <row r="45">
      <c r="A45" t="n">
        <v>3</v>
      </c>
      <c r="B45" s="1">
        <f>$E$38*$B$39*(1+Supuestos!$B$8)^3</f>
        <v/>
      </c>
      <c r="C45" s="1">
        <f>$F$38*$B$39*(1+Supuestos!$B$8)^3*((1-Supuestos!$B$11)*(1-Supuestos!$B$12)^2)</f>
        <v/>
      </c>
      <c r="D45" s="1">
        <f>$G$38*$B$39*(1+Supuestos!$B$8)^3*(1-Supuestos!$B$13)^3*Supuestos!$B$10</f>
        <v/>
      </c>
      <c r="E45" s="1">
        <f>$H$38*$B$39*(1+Supuestos!$B$8)^3</f>
        <v/>
      </c>
      <c r="F45" s="1">
        <f>B45-C45-D45-E45</f>
        <v/>
      </c>
      <c r="G45" s="1">
        <f>C45+D45+E45-(IF(3&lt;=Supuestos!$J$28,Supuestos!$B$19*Supuestos!$B$28*(1+Supuestos!$B$8)^2,0)+IF(3&lt;=Supuestos!$B$22,Supuestos!$B$20*Supuestos!$D$28*(1+Supuestos!$B$8)^2,0))</f>
        <v/>
      </c>
      <c r="H45" s="1">
        <f>IF(3&lt;=Supuestos!$J$28,$C$38*$B$39*((1-Supuestos!$B$11)*(1-Supuestos!$B$12)^2)*Supuestos!$I$28*(1+Supuestos!$B$9)^2,0)</f>
        <v/>
      </c>
      <c r="I45" s="1">
        <f>IF(3&lt;=Supuestos!$B$22,D45*Supuestos!$K$28,0)</f>
        <v/>
      </c>
      <c r="J45" s="1">
        <f>C45+D45+E45-H45-I45</f>
        <v/>
      </c>
      <c r="K45" s="1">
        <f>H45+I45-(IF(3&lt;=Supuestos!$J$28,Supuestos!$B$19*Supuestos!$B$28*(1+Supuestos!$B$8)^2,0)+IF(3&lt;=Supuestos!$B$22,Supuestos!$B$20*Supuestos!$D$28*(1+Supuestos!$B$8)^2,0))-H45*Supuestos!$B$21</f>
        <v/>
      </c>
      <c r="L45" s="1">
        <f>L44+G45</f>
        <v/>
      </c>
      <c r="M45" s="1">
        <f>M44+J45</f>
        <v/>
      </c>
    </row>
    <row r="46">
      <c r="A46" t="n">
        <v>4</v>
      </c>
      <c r="B46" s="1">
        <f>$E$38*$B$39*(1+Supuestos!$B$8)^4</f>
        <v/>
      </c>
      <c r="C46" s="1">
        <f>$F$38*$B$39*(1+Supuestos!$B$8)^4*((1-Supuestos!$B$11)*(1-Supuestos!$B$12)^3)</f>
        <v/>
      </c>
      <c r="D46" s="1">
        <f>$G$38*$B$39*(1+Supuestos!$B$8)^4*(1-Supuestos!$B$13)^4*Supuestos!$B$10</f>
        <v/>
      </c>
      <c r="E46" s="1">
        <f>$H$38*$B$39*(1+Supuestos!$B$8)^4</f>
        <v/>
      </c>
      <c r="F46" s="1">
        <f>B46-C46-D46-E46</f>
        <v/>
      </c>
      <c r="G46" s="1">
        <f>C46+D46+E46-(IF(4&lt;=Supuestos!$J$28,Supuestos!$B$19*Supuestos!$B$28*(1+Supuestos!$B$8)^3,0)+IF(4&lt;=Supuestos!$B$22,Supuestos!$B$20*Supuestos!$D$28*(1+Supuestos!$B$8)^3,0))</f>
        <v/>
      </c>
      <c r="H46" s="1">
        <f>IF(4&lt;=Supuestos!$J$28,$C$38*$B$39*((1-Supuestos!$B$11)*(1-Supuestos!$B$12)^3)*Supuestos!$I$28*(1+Supuestos!$B$9)^3,0)</f>
        <v/>
      </c>
      <c r="I46" s="1">
        <f>IF(4&lt;=Supuestos!$B$22,D46*Supuestos!$K$28,0)</f>
        <v/>
      </c>
      <c r="J46" s="1">
        <f>C46+D46+E46-H46-I46</f>
        <v/>
      </c>
      <c r="K46" s="1">
        <f>H46+I46-(IF(4&lt;=Supuestos!$J$28,Supuestos!$B$19*Supuestos!$B$28*(1+Supuestos!$B$8)^3,0)+IF(4&lt;=Supuestos!$B$22,Supuestos!$B$20*Supuestos!$D$28*(1+Supuestos!$B$8)^3,0))-H46*Supuestos!$B$21</f>
        <v/>
      </c>
      <c r="L46" s="1">
        <f>L45+G46</f>
        <v/>
      </c>
      <c r="M46" s="1">
        <f>M45+J46</f>
        <v/>
      </c>
    </row>
    <row r="47">
      <c r="A47" t="n">
        <v>5</v>
      </c>
      <c r="B47" s="1">
        <f>$E$38*$B$39*(1+Supuestos!$B$8)^5</f>
        <v/>
      </c>
      <c r="C47" s="1">
        <f>$F$38*$B$39*(1+Supuestos!$B$8)^5*((1-Supuestos!$B$11)*(1-Supuestos!$B$12)^4)</f>
        <v/>
      </c>
      <c r="D47" s="1">
        <f>$G$38*$B$39*(1+Supuestos!$B$8)^5*(1-Supuestos!$B$13)^5*Supuestos!$B$10</f>
        <v/>
      </c>
      <c r="E47" s="1">
        <f>$H$38*$B$39*(1+Supuestos!$B$8)^5</f>
        <v/>
      </c>
      <c r="F47" s="1">
        <f>B47-C47-D47-E47</f>
        <v/>
      </c>
      <c r="G47" s="1">
        <f>C47+D47+E47-(IF(5&lt;=Supuestos!$J$28,Supuestos!$B$19*Supuestos!$B$28*(1+Supuestos!$B$8)^4,0)+IF(5&lt;=Supuestos!$B$22,Supuestos!$B$20*Supuestos!$D$28*(1+Supuestos!$B$8)^4,0))</f>
        <v/>
      </c>
      <c r="H47" s="1">
        <f>IF(5&lt;=Supuestos!$J$28,$C$38*$B$39*((1-Supuestos!$B$11)*(1-Supuestos!$B$12)^4)*Supuestos!$I$28*(1+Supuestos!$B$9)^4,0)</f>
        <v/>
      </c>
      <c r="I47" s="1">
        <f>IF(5&lt;=Supuestos!$B$22,D47*Supuestos!$K$28,0)</f>
        <v/>
      </c>
      <c r="J47" s="1">
        <f>C47+D47+E47-H47-I47</f>
        <v/>
      </c>
      <c r="K47" s="1">
        <f>H47+I47-(IF(5&lt;=Supuestos!$J$28,Supuestos!$B$19*Supuestos!$B$28*(1+Supuestos!$B$8)^4,0)+IF(5&lt;=Supuestos!$B$22,Supuestos!$B$20*Supuestos!$D$28*(1+Supuestos!$B$8)^4,0))-H47*Supuestos!$B$21</f>
        <v/>
      </c>
      <c r="L47" s="1">
        <f>L46+G47</f>
        <v/>
      </c>
      <c r="M47" s="1">
        <f>M46+J47</f>
        <v/>
      </c>
    </row>
    <row r="48">
      <c r="A48" t="n">
        <v>6</v>
      </c>
      <c r="B48" s="1">
        <f>$E$38*$B$39*(1+Supuestos!$B$8)^6</f>
        <v/>
      </c>
      <c r="C48" s="1">
        <f>$F$38*$B$39*(1+Supuestos!$B$8)^6*((1-Supuestos!$B$11)*(1-Supuestos!$B$12)^5)</f>
        <v/>
      </c>
      <c r="D48" s="1">
        <f>$G$38*$B$39*(1+Supuestos!$B$8)^6*(1-Supuestos!$B$13)^6*Supuestos!$B$10</f>
        <v/>
      </c>
      <c r="E48" s="1">
        <f>$H$38*$B$39*(1+Supuestos!$B$8)^6</f>
        <v/>
      </c>
      <c r="F48" s="1">
        <f>B48-C48-D48-E48</f>
        <v/>
      </c>
      <c r="G48" s="1">
        <f>C48+D48+E48-(IF(6&lt;=Supuestos!$J$28,Supuestos!$B$19*Supuestos!$B$28*(1+Supuestos!$B$8)^5,0)+IF(6&lt;=Supuestos!$B$22,Supuestos!$B$20*Supuestos!$D$28*(1+Supuestos!$B$8)^5,0))</f>
        <v/>
      </c>
      <c r="H48" s="1">
        <f>IF(6&lt;=Supuestos!$J$28,$C$38*$B$39*((1-Supuestos!$B$11)*(1-Supuestos!$B$12)^5)*Supuestos!$I$28*(1+Supuestos!$B$9)^5,0)</f>
        <v/>
      </c>
      <c r="I48" s="1">
        <f>IF(6&lt;=Supuestos!$B$22,D48*Supuestos!$K$28,0)</f>
        <v/>
      </c>
      <c r="J48" s="1">
        <f>C48+D48+E48-H48-I48</f>
        <v/>
      </c>
      <c r="K48" s="1">
        <f>H48+I48-(IF(6&lt;=Supuestos!$J$28,Supuestos!$B$19*Supuestos!$B$28*(1+Supuestos!$B$8)^5,0)+IF(6&lt;=Supuestos!$B$22,Supuestos!$B$20*Supuestos!$D$28*(1+Supuestos!$B$8)^5,0))-H48*Supuestos!$B$21</f>
        <v/>
      </c>
      <c r="L48" s="1">
        <f>L47+G48</f>
        <v/>
      </c>
      <c r="M48" s="1">
        <f>M47+J48</f>
        <v/>
      </c>
    </row>
    <row r="49">
      <c r="A49" t="n">
        <v>7</v>
      </c>
      <c r="B49" s="1">
        <f>$E$38*$B$39*(1+Supuestos!$B$8)^7</f>
        <v/>
      </c>
      <c r="C49" s="1">
        <f>$F$38*$B$39*(1+Supuestos!$B$8)^7*((1-Supuestos!$B$11)*(1-Supuestos!$B$12)^6)</f>
        <v/>
      </c>
      <c r="D49" s="1">
        <f>$G$38*$B$39*(1+Supuestos!$B$8)^7*(1-Supuestos!$B$13)^7*Supuestos!$B$10</f>
        <v/>
      </c>
      <c r="E49" s="1">
        <f>$H$38*$B$39*(1+Supuestos!$B$8)^7</f>
        <v/>
      </c>
      <c r="F49" s="1">
        <f>B49-C49-D49-E49</f>
        <v/>
      </c>
      <c r="G49" s="1">
        <f>C49+D49+E49-(IF(7&lt;=Supuestos!$J$28,Supuestos!$B$19*Supuestos!$B$28*(1+Supuestos!$B$8)^6,0)+IF(7&lt;=Supuestos!$B$22,Supuestos!$B$20*Supuestos!$D$28*(1+Supuestos!$B$8)^6,0))</f>
        <v/>
      </c>
      <c r="H49" s="1">
        <f>IF(7&lt;=Supuestos!$J$28,$C$38*$B$39*((1-Supuestos!$B$11)*(1-Supuestos!$B$12)^6)*Supuestos!$I$28*(1+Supuestos!$B$9)^6,0)</f>
        <v/>
      </c>
      <c r="I49" s="1">
        <f>IF(7&lt;=Supuestos!$B$22,D49*Supuestos!$K$28,0)</f>
        <v/>
      </c>
      <c r="J49" s="1">
        <f>C49+D49+E49-H49-I49</f>
        <v/>
      </c>
      <c r="K49" s="1">
        <f>H49+I49-(IF(7&lt;=Supuestos!$J$28,Supuestos!$B$19*Supuestos!$B$28*(1+Supuestos!$B$8)^6,0)+IF(7&lt;=Supuestos!$B$22,Supuestos!$B$20*Supuestos!$D$28*(1+Supuestos!$B$8)^6,0))-H49*Supuestos!$B$21</f>
        <v/>
      </c>
      <c r="L49" s="1">
        <f>L48+G49</f>
        <v/>
      </c>
      <c r="M49" s="1">
        <f>M48+J49</f>
        <v/>
      </c>
    </row>
    <row r="50">
      <c r="A50" t="n">
        <v>8</v>
      </c>
      <c r="B50" s="1">
        <f>$E$38*$B$39*(1+Supuestos!$B$8)^8</f>
        <v/>
      </c>
      <c r="C50" s="1">
        <f>$F$38*$B$39*(1+Supuestos!$B$8)^8*((1-Supuestos!$B$11)*(1-Supuestos!$B$12)^7)</f>
        <v/>
      </c>
      <c r="D50" s="1">
        <f>$G$38*$B$39*(1+Supuestos!$B$8)^8*(1-Supuestos!$B$13)^8*Supuestos!$B$10</f>
        <v/>
      </c>
      <c r="E50" s="1">
        <f>$H$38*$B$39*(1+Supuestos!$B$8)^8</f>
        <v/>
      </c>
      <c r="F50" s="1">
        <f>B50-C50-D50-E50</f>
        <v/>
      </c>
      <c r="G50" s="1">
        <f>C50+D50+E50-(IF(8&lt;=Supuestos!$J$28,Supuestos!$B$19*Supuestos!$B$28*(1+Supuestos!$B$8)^7,0)+IF(8&lt;=Supuestos!$B$22,Supuestos!$B$20*Supuestos!$D$28*(1+Supuestos!$B$8)^7,0))</f>
        <v/>
      </c>
      <c r="H50" s="1">
        <f>IF(8&lt;=Supuestos!$J$28,$C$38*$B$39*((1-Supuestos!$B$11)*(1-Supuestos!$B$12)^7)*Supuestos!$I$28*(1+Supuestos!$B$9)^7,0)</f>
        <v/>
      </c>
      <c r="I50" s="1">
        <f>IF(8&lt;=Supuestos!$B$22,D50*Supuestos!$K$28,0)</f>
        <v/>
      </c>
      <c r="J50" s="1">
        <f>C50+D50+E50-H50-I50</f>
        <v/>
      </c>
      <c r="K50" s="1">
        <f>H50+I50-(IF(8&lt;=Supuestos!$J$28,Supuestos!$B$19*Supuestos!$B$28*(1+Supuestos!$B$8)^7,0)+IF(8&lt;=Supuestos!$B$22,Supuestos!$B$20*Supuestos!$D$28*(1+Supuestos!$B$8)^7,0))-H50*Supuestos!$B$21</f>
        <v/>
      </c>
      <c r="L50" s="1">
        <f>L49+G50</f>
        <v/>
      </c>
      <c r="M50" s="1">
        <f>M49+J50</f>
        <v/>
      </c>
    </row>
    <row r="51">
      <c r="A51" t="n">
        <v>9</v>
      </c>
      <c r="B51" s="1">
        <f>$E$38*$B$39*(1+Supuestos!$B$8)^9</f>
        <v/>
      </c>
      <c r="C51" s="1">
        <f>$F$38*$B$39*(1+Supuestos!$B$8)^9*((1-Supuestos!$B$11)*(1-Supuestos!$B$12)^8)</f>
        <v/>
      </c>
      <c r="D51" s="1">
        <f>$G$38*$B$39*(1+Supuestos!$B$8)^9*(1-Supuestos!$B$13)^9*Supuestos!$B$10</f>
        <v/>
      </c>
      <c r="E51" s="1">
        <f>$H$38*$B$39*(1+Supuestos!$B$8)^9</f>
        <v/>
      </c>
      <c r="F51" s="1">
        <f>B51-C51-D51-E51</f>
        <v/>
      </c>
      <c r="G51" s="1">
        <f>C51+D51+E51-(IF(9&lt;=Supuestos!$J$28,Supuestos!$B$19*Supuestos!$B$28*(1+Supuestos!$B$8)^8,0)+IF(9&lt;=Supuestos!$B$22,Supuestos!$B$20*Supuestos!$D$28*(1+Supuestos!$B$8)^8,0))</f>
        <v/>
      </c>
      <c r="H51" s="1">
        <f>IF(9&lt;=Supuestos!$J$28,$C$38*$B$39*((1-Supuestos!$B$11)*(1-Supuestos!$B$12)^8)*Supuestos!$I$28*(1+Supuestos!$B$9)^8,0)</f>
        <v/>
      </c>
      <c r="I51" s="1">
        <f>IF(9&lt;=Supuestos!$B$22,D51*Supuestos!$K$28,0)</f>
        <v/>
      </c>
      <c r="J51" s="1">
        <f>C51+D51+E51-H51-I51</f>
        <v/>
      </c>
      <c r="K51" s="1">
        <f>H51+I51-(IF(9&lt;=Supuestos!$J$28,Supuestos!$B$19*Supuestos!$B$28*(1+Supuestos!$B$8)^8,0)+IF(9&lt;=Supuestos!$B$22,Supuestos!$B$20*Supuestos!$D$28*(1+Supuestos!$B$8)^8,0))-H51*Supuestos!$B$21</f>
        <v/>
      </c>
      <c r="L51" s="1">
        <f>L50+G51</f>
        <v/>
      </c>
      <c r="M51" s="1">
        <f>M50+J51</f>
        <v/>
      </c>
    </row>
    <row r="52">
      <c r="A52" t="n">
        <v>10</v>
      </c>
      <c r="B52" s="1">
        <f>$E$38*$B$39*(1+Supuestos!$B$8)^10</f>
        <v/>
      </c>
      <c r="C52" s="1">
        <f>$F$38*$B$39*(1+Supuestos!$B$8)^10*((1-Supuestos!$B$11)*(1-Supuestos!$B$12)^9)</f>
        <v/>
      </c>
      <c r="D52" s="1">
        <f>$G$38*$B$39*(1+Supuestos!$B$8)^10*(1-Supuestos!$B$13)^10*Supuestos!$B$10</f>
        <v/>
      </c>
      <c r="E52" s="1">
        <f>$H$38*$B$39*(1+Supuestos!$B$8)^10</f>
        <v/>
      </c>
      <c r="F52" s="1">
        <f>B52-C52-D52-E52</f>
        <v/>
      </c>
      <c r="G52" s="1">
        <f>C52+D52+E52-(IF(10&lt;=Supuestos!$J$28,Supuestos!$B$19*Supuestos!$B$28*(1+Supuestos!$B$8)^9,0)+IF(10&lt;=Supuestos!$B$22,Supuestos!$B$20*Supuestos!$D$28*(1+Supuestos!$B$8)^9,0))</f>
        <v/>
      </c>
      <c r="H52" s="1">
        <f>IF(10&lt;=Supuestos!$J$28,$C$38*$B$39*((1-Supuestos!$B$11)*(1-Supuestos!$B$12)^9)*Supuestos!$I$28*(1+Supuestos!$B$9)^9,0)</f>
        <v/>
      </c>
      <c r="I52" s="1">
        <f>IF(10&lt;=Supuestos!$B$22,D52*Supuestos!$K$28,0)</f>
        <v/>
      </c>
      <c r="J52" s="1">
        <f>C52+D52+E52-H52-I52</f>
        <v/>
      </c>
      <c r="K52" s="1">
        <f>H52+I52-(IF(10&lt;=Supuestos!$J$28,Supuestos!$B$19*Supuestos!$B$28*(1+Supuestos!$B$8)^9,0)+IF(10&lt;=Supuestos!$B$22,Supuestos!$B$20*Supuestos!$D$28*(1+Supuestos!$B$8)^9,0))-H52*Supuestos!$B$21</f>
        <v/>
      </c>
      <c r="L52" s="1">
        <f>L51+G52</f>
        <v/>
      </c>
      <c r="M52" s="1">
        <f>M51+J52</f>
        <v/>
      </c>
    </row>
    <row r="53">
      <c r="A53" t="n">
        <v>11</v>
      </c>
      <c r="B53" s="1">
        <f>$E$38*$B$39*(1+Supuestos!$B$8)^11</f>
        <v/>
      </c>
      <c r="C53" s="1">
        <f>$F$38*$B$39*(1+Supuestos!$B$8)^11*((1-Supuestos!$B$11)*(1-Supuestos!$B$12)^10)</f>
        <v/>
      </c>
      <c r="D53" s="1">
        <f>$G$38*$B$39*(1+Supuestos!$B$8)^11*(1-Supuestos!$B$13)^11*Supuestos!$B$10</f>
        <v/>
      </c>
      <c r="E53" s="1">
        <f>$H$38*$B$39*(1+Supuestos!$B$8)^11</f>
        <v/>
      </c>
      <c r="F53" s="1">
        <f>B53-C53-D53-E53</f>
        <v/>
      </c>
      <c r="G53" s="1">
        <f>C53+D53+E53-(IF(11&lt;=Supuestos!$J$28,Supuestos!$B$19*Supuestos!$B$28*(1+Supuestos!$B$8)^10,0)+IF(11&lt;=Supuestos!$B$22,Supuestos!$B$20*Supuestos!$D$28*(1+Supuestos!$B$8)^10,0))</f>
        <v/>
      </c>
      <c r="H53" s="1">
        <f>IF(11&lt;=Supuestos!$J$28,$C$38*$B$39*((1-Supuestos!$B$11)*(1-Supuestos!$B$12)^10)*Supuestos!$I$28*(1+Supuestos!$B$9)^10,0)</f>
        <v/>
      </c>
      <c r="I53" s="1">
        <f>IF(11&lt;=Supuestos!$B$22,D53*Supuestos!$K$28,0)</f>
        <v/>
      </c>
      <c r="J53" s="1">
        <f>C53+D53+E53-H53-I53</f>
        <v/>
      </c>
      <c r="K53" s="1">
        <f>H53+I53-(IF(11&lt;=Supuestos!$J$28,Supuestos!$B$19*Supuestos!$B$28*(1+Supuestos!$B$8)^10,0)+IF(11&lt;=Supuestos!$B$22,Supuestos!$B$20*Supuestos!$D$28*(1+Supuestos!$B$8)^10,0))-H53*Supuestos!$B$21</f>
        <v/>
      </c>
      <c r="L53" s="1">
        <f>L52+G53</f>
        <v/>
      </c>
      <c r="M53" s="1">
        <f>M52+J53</f>
        <v/>
      </c>
    </row>
    <row r="54">
      <c r="A54" t="n">
        <v>12</v>
      </c>
      <c r="B54" s="1">
        <f>$E$38*$B$39*(1+Supuestos!$B$8)^12</f>
        <v/>
      </c>
      <c r="C54" s="1">
        <f>$F$38*$B$39*(1+Supuestos!$B$8)^12*((1-Supuestos!$B$11)*(1-Supuestos!$B$12)^11)</f>
        <v/>
      </c>
      <c r="D54" s="1">
        <f>$G$38*$B$39*(1+Supuestos!$B$8)^12*(1-Supuestos!$B$13)^12*Supuestos!$B$10</f>
        <v/>
      </c>
      <c r="E54" s="1">
        <f>$H$38*$B$39*(1+Supuestos!$B$8)^12</f>
        <v/>
      </c>
      <c r="F54" s="1">
        <f>B54-C54-D54-E54</f>
        <v/>
      </c>
      <c r="G54" s="1">
        <f>C54+D54+E54-(IF(12&lt;=Supuestos!$J$28,Supuestos!$B$19*Supuestos!$B$28*(1+Supuestos!$B$8)^11,0)+IF(12&lt;=Supuestos!$B$22,Supuestos!$B$20*Supuestos!$D$28*(1+Supuestos!$B$8)^11,0))</f>
        <v/>
      </c>
      <c r="H54" s="1">
        <f>IF(12&lt;=Supuestos!$J$28,$C$38*$B$39*((1-Supuestos!$B$11)*(1-Supuestos!$B$12)^11)*Supuestos!$I$28*(1+Supuestos!$B$9)^11,0)</f>
        <v/>
      </c>
      <c r="I54" s="1">
        <f>IF(12&lt;=Supuestos!$B$22,D54*Supuestos!$K$28,0)</f>
        <v/>
      </c>
      <c r="J54" s="1">
        <f>C54+D54+E54-H54-I54</f>
        <v/>
      </c>
      <c r="K54" s="1">
        <f>H54+I54-(IF(12&lt;=Supuestos!$J$28,Supuestos!$B$19*Supuestos!$B$28*(1+Supuestos!$B$8)^11,0)+IF(12&lt;=Supuestos!$B$22,Supuestos!$B$20*Supuestos!$D$28*(1+Supuestos!$B$8)^11,0))-H54*Supuestos!$B$21</f>
        <v/>
      </c>
      <c r="L54" s="1">
        <f>L53+G54</f>
        <v/>
      </c>
      <c r="M54" s="1">
        <f>M53+J54</f>
        <v/>
      </c>
    </row>
    <row r="55">
      <c r="A55" t="n">
        <v>13</v>
      </c>
      <c r="B55" s="1">
        <f>$E$38*$B$39*(1+Supuestos!$B$8)^13</f>
        <v/>
      </c>
      <c r="C55" s="1">
        <f>$F$38*$B$39*(1+Supuestos!$B$8)^13*((1-Supuestos!$B$11)*(1-Supuestos!$B$12)^12)</f>
        <v/>
      </c>
      <c r="D55" s="1">
        <f>$G$38*$B$39*(1+Supuestos!$B$8)^13*(1-Supuestos!$B$13)^13*Supuestos!$B$10</f>
        <v/>
      </c>
      <c r="E55" s="1">
        <f>$H$38*$B$39*(1+Supuestos!$B$8)^13</f>
        <v/>
      </c>
      <c r="F55" s="1">
        <f>B55-C55-D55-E55</f>
        <v/>
      </c>
      <c r="G55" s="1">
        <f>C55+D55+E55-(IF(13&lt;=Supuestos!$J$28,Supuestos!$B$19*Supuestos!$B$28*(1+Supuestos!$B$8)^12,0)+IF(13&lt;=Supuestos!$B$22,Supuestos!$B$20*Supuestos!$D$28*(1+Supuestos!$B$8)^12,0))</f>
        <v/>
      </c>
      <c r="H55" s="1">
        <f>IF(13&lt;=Supuestos!$J$28,$C$38*$B$39*((1-Supuestos!$B$11)*(1-Supuestos!$B$12)^12)*Supuestos!$I$28*(1+Supuestos!$B$9)^12,0)</f>
        <v/>
      </c>
      <c r="I55" s="1">
        <f>IF(13&lt;=Supuestos!$B$22,D55*Supuestos!$K$28,0)</f>
        <v/>
      </c>
      <c r="J55" s="1">
        <f>C55+D55+E55-H55-I55</f>
        <v/>
      </c>
      <c r="K55" s="1">
        <f>H55+I55-(IF(13&lt;=Supuestos!$J$28,Supuestos!$B$19*Supuestos!$B$28*(1+Supuestos!$B$8)^12,0)+IF(13&lt;=Supuestos!$B$22,Supuestos!$B$20*Supuestos!$D$28*(1+Supuestos!$B$8)^12,0))-H55*Supuestos!$B$21</f>
        <v/>
      </c>
      <c r="L55" s="1">
        <f>L54+G55</f>
        <v/>
      </c>
      <c r="M55" s="1">
        <f>M54+J55</f>
        <v/>
      </c>
    </row>
    <row r="56">
      <c r="A56" t="n">
        <v>14</v>
      </c>
      <c r="B56" s="1">
        <f>$E$38*$B$39*(1+Supuestos!$B$8)^14</f>
        <v/>
      </c>
      <c r="C56" s="1">
        <f>$F$38*$B$39*(1+Supuestos!$B$8)^14*((1-Supuestos!$B$11)*(1-Supuestos!$B$12)^13)</f>
        <v/>
      </c>
      <c r="D56" s="1">
        <f>$G$38*$B$39*(1+Supuestos!$B$8)^14*(1-Supuestos!$B$13)^14*Supuestos!$B$10</f>
        <v/>
      </c>
      <c r="E56" s="1">
        <f>$H$38*$B$39*(1+Supuestos!$B$8)^14</f>
        <v/>
      </c>
      <c r="F56" s="1">
        <f>B56-C56-D56-E56</f>
        <v/>
      </c>
      <c r="G56" s="1">
        <f>C56+D56+E56-(IF(14&lt;=Supuestos!$J$28,Supuestos!$B$19*Supuestos!$B$28*(1+Supuestos!$B$8)^13,0)+IF(14&lt;=Supuestos!$B$22,Supuestos!$B$20*Supuestos!$D$28*(1+Supuestos!$B$8)^13,0))</f>
        <v/>
      </c>
      <c r="H56" s="1">
        <f>IF(14&lt;=Supuestos!$J$28,$C$38*$B$39*((1-Supuestos!$B$11)*(1-Supuestos!$B$12)^13)*Supuestos!$I$28*(1+Supuestos!$B$9)^13,0)</f>
        <v/>
      </c>
      <c r="I56" s="1">
        <f>IF(14&lt;=Supuestos!$B$22,D56*Supuestos!$K$28,0)</f>
        <v/>
      </c>
      <c r="J56" s="1">
        <f>C56+D56+E56-H56-I56</f>
        <v/>
      </c>
      <c r="K56" s="1">
        <f>H56+I56-(IF(14&lt;=Supuestos!$J$28,Supuestos!$B$19*Supuestos!$B$28*(1+Supuestos!$B$8)^13,0)+IF(14&lt;=Supuestos!$B$22,Supuestos!$B$20*Supuestos!$D$28*(1+Supuestos!$B$8)^13,0))-H56*Supuestos!$B$21</f>
        <v/>
      </c>
      <c r="L56" s="1">
        <f>L55+G56</f>
        <v/>
      </c>
      <c r="M56" s="1">
        <f>M55+J56</f>
        <v/>
      </c>
    </row>
    <row r="57">
      <c r="A57" t="n">
        <v>15</v>
      </c>
      <c r="B57" s="1">
        <f>$E$38*$B$39*(1+Supuestos!$B$8)^15</f>
        <v/>
      </c>
      <c r="C57" s="1">
        <f>$F$38*$B$39*(1+Supuestos!$B$8)^15*((1-Supuestos!$B$11)*(1-Supuestos!$B$12)^14)</f>
        <v/>
      </c>
      <c r="D57" s="1">
        <f>$G$38*$B$39*(1+Supuestos!$B$8)^15*(1-Supuestos!$B$13)^15*Supuestos!$B$10</f>
        <v/>
      </c>
      <c r="E57" s="1">
        <f>$H$38*$B$39*(1+Supuestos!$B$8)^15</f>
        <v/>
      </c>
      <c r="F57" s="1">
        <f>B57-C57-D57-E57</f>
        <v/>
      </c>
      <c r="G57" s="1">
        <f>C57+D57+E57-(IF(15&lt;=Supuestos!$J$28,Supuestos!$B$19*Supuestos!$B$28*(1+Supuestos!$B$8)^14,0)+IF(15&lt;=Supuestos!$B$22,Supuestos!$B$20*Supuestos!$D$28*(1+Supuestos!$B$8)^14,0))</f>
        <v/>
      </c>
      <c r="H57" s="1">
        <f>IF(15&lt;=Supuestos!$J$28,$C$38*$B$39*((1-Supuestos!$B$11)*(1-Supuestos!$B$12)^14)*Supuestos!$I$28*(1+Supuestos!$B$9)^14,0)</f>
        <v/>
      </c>
      <c r="I57" s="1">
        <f>IF(15&lt;=Supuestos!$B$22,D57*Supuestos!$K$28,0)</f>
        <v/>
      </c>
      <c r="J57" s="1">
        <f>C57+D57+E57-H57-I57</f>
        <v/>
      </c>
      <c r="K57" s="1">
        <f>H57+I57-(IF(15&lt;=Supuestos!$J$28,Supuestos!$B$19*Supuestos!$B$28*(1+Supuestos!$B$8)^14,0)+IF(15&lt;=Supuestos!$B$22,Supuestos!$B$20*Supuestos!$D$28*(1+Supuestos!$B$8)^14,0))-H57*Supuestos!$B$21</f>
        <v/>
      </c>
      <c r="L57" s="1">
        <f>L56+G57</f>
        <v/>
      </c>
      <c r="M57" s="1">
        <f>M56+J57</f>
        <v/>
      </c>
    </row>
    <row r="58">
      <c r="A58" t="n">
        <v>16</v>
      </c>
      <c r="B58" s="1">
        <f>$E$38*$B$39*(1+Supuestos!$B$8)^16</f>
        <v/>
      </c>
      <c r="C58" s="1">
        <f>$F$38*$B$39*(1+Supuestos!$B$8)^16*((1-Supuestos!$B$11)*(1-Supuestos!$B$12)^15)</f>
        <v/>
      </c>
      <c r="D58" s="1">
        <f>$G$38*$B$39*(1+Supuestos!$B$8)^16*(1-Supuestos!$B$13)^16*Supuestos!$B$10</f>
        <v/>
      </c>
      <c r="E58" s="1">
        <f>$H$38*$B$39*(1+Supuestos!$B$8)^16</f>
        <v/>
      </c>
      <c r="F58" s="1">
        <f>B58-C58-D58-E58</f>
        <v/>
      </c>
      <c r="G58" s="1">
        <f>C58+D58+E58-(IF(16&lt;=Supuestos!$J$28,Supuestos!$B$19*Supuestos!$B$28*(1+Supuestos!$B$8)^15,0)+IF(16&lt;=Supuestos!$B$22,Supuestos!$B$20*Supuestos!$D$28*(1+Supuestos!$B$8)^15,0))</f>
        <v/>
      </c>
      <c r="H58" s="1">
        <f>IF(16&lt;=Supuestos!$J$28,$C$38*$B$39*((1-Supuestos!$B$11)*(1-Supuestos!$B$12)^15)*Supuestos!$I$28*(1+Supuestos!$B$9)^15,0)</f>
        <v/>
      </c>
      <c r="I58" s="1">
        <f>IF(16&lt;=Supuestos!$B$22,D58*Supuestos!$K$28,0)</f>
        <v/>
      </c>
      <c r="J58" s="1">
        <f>C58+D58+E58-H58-I58</f>
        <v/>
      </c>
      <c r="K58" s="1">
        <f>H58+I58-(IF(16&lt;=Supuestos!$J$28,Supuestos!$B$19*Supuestos!$B$28*(1+Supuestos!$B$8)^15,0)+IF(16&lt;=Supuestos!$B$22,Supuestos!$B$20*Supuestos!$D$28*(1+Supuestos!$B$8)^15,0))-H58*Supuestos!$B$21</f>
        <v/>
      </c>
      <c r="L58" s="1">
        <f>L57+G58</f>
        <v/>
      </c>
      <c r="M58" s="1">
        <f>M57+J58</f>
        <v/>
      </c>
    </row>
    <row r="59">
      <c r="A59" t="n">
        <v>17</v>
      </c>
      <c r="B59" s="1">
        <f>$E$38*$B$39*(1+Supuestos!$B$8)^17</f>
        <v/>
      </c>
      <c r="C59" s="1">
        <f>$F$38*$B$39*(1+Supuestos!$B$8)^17*((1-Supuestos!$B$11)*(1-Supuestos!$B$12)^16)</f>
        <v/>
      </c>
      <c r="D59" s="1">
        <f>$G$38*$B$39*(1+Supuestos!$B$8)^17*(1-Supuestos!$B$13)^17*Supuestos!$B$10</f>
        <v/>
      </c>
      <c r="E59" s="1">
        <f>$H$38*$B$39*(1+Supuestos!$B$8)^17</f>
        <v/>
      </c>
      <c r="F59" s="1">
        <f>B59-C59-D59-E59</f>
        <v/>
      </c>
      <c r="G59" s="1">
        <f>C59+D59+E59-(IF(17&lt;=Supuestos!$J$28,Supuestos!$B$19*Supuestos!$B$28*(1+Supuestos!$B$8)^16,0)+IF(17&lt;=Supuestos!$B$22,Supuestos!$B$20*Supuestos!$D$28*(1+Supuestos!$B$8)^16,0))</f>
        <v/>
      </c>
      <c r="H59" s="1">
        <f>IF(17&lt;=Supuestos!$J$28,$C$38*$B$39*((1-Supuestos!$B$11)*(1-Supuestos!$B$12)^16)*Supuestos!$I$28*(1+Supuestos!$B$9)^16,0)</f>
        <v/>
      </c>
      <c r="I59" s="1">
        <f>IF(17&lt;=Supuestos!$B$22,D59*Supuestos!$K$28,0)</f>
        <v/>
      </c>
      <c r="J59" s="1">
        <f>C59+D59+E59-H59-I59</f>
        <v/>
      </c>
      <c r="K59" s="1">
        <f>H59+I59-(IF(17&lt;=Supuestos!$J$28,Supuestos!$B$19*Supuestos!$B$28*(1+Supuestos!$B$8)^16,0)+IF(17&lt;=Supuestos!$B$22,Supuestos!$B$20*Supuestos!$D$28*(1+Supuestos!$B$8)^16,0))-H59*Supuestos!$B$21</f>
        <v/>
      </c>
      <c r="L59" s="1">
        <f>L58+G59</f>
        <v/>
      </c>
      <c r="M59" s="1">
        <f>M58+J59</f>
        <v/>
      </c>
    </row>
    <row r="60">
      <c r="A60" t="n">
        <v>18</v>
      </c>
      <c r="B60" s="1">
        <f>$E$38*$B$39*(1+Supuestos!$B$8)^18</f>
        <v/>
      </c>
      <c r="C60" s="1">
        <f>$F$38*$B$39*(1+Supuestos!$B$8)^18*((1-Supuestos!$B$11)*(1-Supuestos!$B$12)^17)</f>
        <v/>
      </c>
      <c r="D60" s="1">
        <f>$G$38*$B$39*(1+Supuestos!$B$8)^18*(1-Supuestos!$B$13)^18*Supuestos!$B$10</f>
        <v/>
      </c>
      <c r="E60" s="1">
        <f>$H$38*$B$39*(1+Supuestos!$B$8)^18</f>
        <v/>
      </c>
      <c r="F60" s="1">
        <f>B60-C60-D60-E60</f>
        <v/>
      </c>
      <c r="G60" s="1">
        <f>C60+D60+E60-(IF(18&lt;=Supuestos!$J$28,Supuestos!$B$19*Supuestos!$B$28*(1+Supuestos!$B$8)^17,0)+IF(18&lt;=Supuestos!$B$22,Supuestos!$B$20*Supuestos!$D$28*(1+Supuestos!$B$8)^17,0))</f>
        <v/>
      </c>
      <c r="H60" s="1">
        <f>IF(18&lt;=Supuestos!$J$28,$C$38*$B$39*((1-Supuestos!$B$11)*(1-Supuestos!$B$12)^17)*Supuestos!$I$28*(1+Supuestos!$B$9)^17,0)</f>
        <v/>
      </c>
      <c r="I60" s="1">
        <f>IF(18&lt;=Supuestos!$B$22,D60*Supuestos!$K$28,0)</f>
        <v/>
      </c>
      <c r="J60" s="1">
        <f>C60+D60+E60-H60-I60</f>
        <v/>
      </c>
      <c r="K60" s="1">
        <f>H60+I60-(IF(18&lt;=Supuestos!$J$28,Supuestos!$B$19*Supuestos!$B$28*(1+Supuestos!$B$8)^17,0)+IF(18&lt;=Supuestos!$B$22,Supuestos!$B$20*Supuestos!$D$28*(1+Supuestos!$B$8)^17,0))-H60*Supuestos!$B$21</f>
        <v/>
      </c>
      <c r="L60" s="1">
        <f>L59+G60</f>
        <v/>
      </c>
      <c r="M60" s="1">
        <f>M59+J60</f>
        <v/>
      </c>
    </row>
    <row r="61">
      <c r="A61" t="n">
        <v>19</v>
      </c>
      <c r="B61" s="1">
        <f>$E$38*$B$39*(1+Supuestos!$B$8)^19</f>
        <v/>
      </c>
      <c r="C61" s="1">
        <f>$F$38*$B$39*(1+Supuestos!$B$8)^19*((1-Supuestos!$B$11)*(1-Supuestos!$B$12)^18)</f>
        <v/>
      </c>
      <c r="D61" s="1">
        <f>$G$38*$B$39*(1+Supuestos!$B$8)^19*(1-Supuestos!$B$13)^19*Supuestos!$B$10</f>
        <v/>
      </c>
      <c r="E61" s="1">
        <f>$H$38*$B$39*(1+Supuestos!$B$8)^19</f>
        <v/>
      </c>
      <c r="F61" s="1">
        <f>B61-C61-D61-E61</f>
        <v/>
      </c>
      <c r="G61" s="1">
        <f>C61+D61+E61-(IF(19&lt;=Supuestos!$J$28,Supuestos!$B$19*Supuestos!$B$28*(1+Supuestos!$B$8)^18,0)+IF(19&lt;=Supuestos!$B$22,Supuestos!$B$20*Supuestos!$D$28*(1+Supuestos!$B$8)^18,0))</f>
        <v/>
      </c>
      <c r="H61" s="1">
        <f>IF(19&lt;=Supuestos!$J$28,$C$38*$B$39*((1-Supuestos!$B$11)*(1-Supuestos!$B$12)^18)*Supuestos!$I$28*(1+Supuestos!$B$9)^18,0)</f>
        <v/>
      </c>
      <c r="I61" s="1">
        <f>IF(19&lt;=Supuestos!$B$22,D61*Supuestos!$K$28,0)</f>
        <v/>
      </c>
      <c r="J61" s="1">
        <f>C61+D61+E61-H61-I61</f>
        <v/>
      </c>
      <c r="K61" s="1">
        <f>H61+I61-(IF(19&lt;=Supuestos!$J$28,Supuestos!$B$19*Supuestos!$B$28*(1+Supuestos!$B$8)^18,0)+IF(19&lt;=Supuestos!$B$22,Supuestos!$B$20*Supuestos!$D$28*(1+Supuestos!$B$8)^18,0))-H61*Supuestos!$B$21</f>
        <v/>
      </c>
      <c r="L61" s="1">
        <f>L60+G61</f>
        <v/>
      </c>
      <c r="M61" s="1">
        <f>M60+J61</f>
        <v/>
      </c>
    </row>
    <row r="62">
      <c r="A62" t="n">
        <v>20</v>
      </c>
      <c r="B62" s="1">
        <f>$E$38*$B$39*(1+Supuestos!$B$8)^20</f>
        <v/>
      </c>
      <c r="C62" s="1">
        <f>$F$38*$B$39*(1+Supuestos!$B$8)^20*((1-Supuestos!$B$11)*(1-Supuestos!$B$12)^19)</f>
        <v/>
      </c>
      <c r="D62" s="1">
        <f>$G$38*$B$39*(1+Supuestos!$B$8)^20*(1-Supuestos!$B$13)^20*Supuestos!$B$10</f>
        <v/>
      </c>
      <c r="E62" s="1">
        <f>$H$38*$B$39*(1+Supuestos!$B$8)^20</f>
        <v/>
      </c>
      <c r="F62" s="1">
        <f>B62-C62-D62-E62</f>
        <v/>
      </c>
      <c r="G62" s="1">
        <f>C62+D62+E62-(IF(20&lt;=Supuestos!$J$28,Supuestos!$B$19*Supuestos!$B$28*(1+Supuestos!$B$8)^19,0)+IF(20&lt;=Supuestos!$B$22,Supuestos!$B$20*Supuestos!$D$28*(1+Supuestos!$B$8)^19,0))</f>
        <v/>
      </c>
      <c r="H62" s="1">
        <f>IF(20&lt;=Supuestos!$J$28,$C$38*$B$39*((1-Supuestos!$B$11)*(1-Supuestos!$B$12)^19)*Supuestos!$I$28*(1+Supuestos!$B$9)^19,0)</f>
        <v/>
      </c>
      <c r="I62" s="1">
        <f>IF(20&lt;=Supuestos!$B$22,D62*Supuestos!$K$28,0)</f>
        <v/>
      </c>
      <c r="J62" s="1">
        <f>C62+D62+E62-H62-I62</f>
        <v/>
      </c>
      <c r="K62" s="1">
        <f>H62+I62-(IF(20&lt;=Supuestos!$J$28,Supuestos!$B$19*Supuestos!$B$28*(1+Supuestos!$B$8)^19,0)+IF(20&lt;=Supuestos!$B$22,Supuestos!$B$20*Supuestos!$D$28*(1+Supuestos!$B$8)^19,0))-H62*Supuestos!$B$21</f>
        <v/>
      </c>
      <c r="L62" s="1">
        <f>L61+G62</f>
        <v/>
      </c>
      <c r="M62" s="1">
        <f>M61+J62</f>
        <v/>
      </c>
    </row>
    <row r="64">
      <c r="A64" s="17" t="inlineStr">
        <is>
          <t>TIR compra (proyecto):</t>
        </is>
      </c>
      <c r="B64" s="2">
        <f>IRR(G42:G62)</f>
        <v/>
      </c>
      <c r="C64" s="25" t="inlineStr">
        <is>
          <t>VPN compra @WACC:</t>
        </is>
      </c>
      <c r="D64" s="1">
        <f>G42+NPV(Supuestos!$B$7,G43:G62)</f>
        <v/>
      </c>
    </row>
    <row r="65">
      <c r="A65" s="17" t="inlineStr">
        <is>
          <t>TIR financiador:</t>
        </is>
      </c>
      <c r="B65" s="2">
        <f>IRR(K42:K62)</f>
        <v/>
      </c>
      <c r="C65" s="25" t="inlineStr">
        <is>
          <t>VPN cliente PPA @WACC:</t>
        </is>
      </c>
      <c r="D65" s="1">
        <f>NPV(Supuestos!$B$7,J43:J62)</f>
        <v/>
      </c>
    </row>
    <row r="66">
      <c r="A66" s="17" t="inlineStr">
        <is>
          <t>Acumulado cliente PPA 20a:</t>
        </is>
      </c>
      <c r="B66" s="20">
        <f>SUM(J43:J62)</f>
        <v/>
      </c>
      <c r="C66" s="25" t="inlineStr">
        <is>
          <t>Acumulado compra 20a:</t>
        </is>
      </c>
      <c r="D66" s="1">
        <f>SUM(G42:G62)</f>
        <v/>
      </c>
    </row>
    <row r="68">
      <c r="A68" s="6" t="inlineStr">
        <is>
          <t>5. POR QUÉ ESTE DIMENSIONAMIENTO ES ÓPTIMO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26" t="inlineStr">
        <is>
          <t>• PV 194 kWp — generador exento &lt;0.7 MW (medición neta, sin permiso CNE). En SIN la generación solar cae en intermedio → recorta energía intermedia; no genera en punta, por lo que el BESS es la palanca de demanda.</t>
        </is>
      </c>
    </row>
    <row r="70">
      <c r="A70" s="26" t="inlineStr">
        <is>
          <t>• BESS 1,503 kW / 2,940 kWh — recorta el pico de punta (arbitraje carga en base, descarga en punta, topado al kWh punta del recibo).</t>
        </is>
      </c>
    </row>
    <row r="71">
      <c r="A71" s="26" t="inlineStr">
        <is>
          <t>• Dimensionado al consumo (rend. inputs.json); excedentes bajo medición neta expiran en 12 meses, por eso no se sobredimensiona el PV.</t>
        </is>
      </c>
    </row>
    <row r="72">
      <c r="A72" s="26" t="inlineStr">
        <is>
          <t>• Corrección de factor de potencia incluida — palanca separada, capacitores a cargo del financiador en el esquema PPA (el cliente conserva 100% del ahorro FP).</t>
        </is>
      </c>
    </row>
    <row r="73">
      <c r="A73" s="26" t="inlineStr">
        <is>
          <t>• LIBRO 100% EN VIVO: motor mensual §3 = fórmulas sobre los datos del recibo (§6) y Supuestos (réplica exacta del motor determinista, verificada al peso) — edita kWp/BESS/FC/tarifas o cualquier mes y TODO recalcula hasta la TIR.</t>
        </is>
      </c>
    </row>
    <row r="78">
      <c r="A78" s="6" t="inlineStr">
        <is>
          <t>6. DATOS DEL RECIBO (editables — el motor mensual §3 se alimenta de aquí)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27" t="inlineStr">
        <is>
          <t>Mes</t>
        </is>
      </c>
      <c r="B79" s="27" t="inlineStr">
        <is>
          <t>Días</t>
        </is>
      </c>
      <c r="C79" s="27" t="inlineStr">
        <is>
          <t>kWh B</t>
        </is>
      </c>
      <c r="D79" s="27" t="inlineStr">
        <is>
          <t>kWh I</t>
        </is>
      </c>
      <c r="E79" s="27" t="inlineStr">
        <is>
          <t>kWh P</t>
        </is>
      </c>
      <c r="F79" s="27" t="inlineStr">
        <is>
          <t>kW B</t>
        </is>
      </c>
      <c r="G79" s="27" t="inlineStr">
        <is>
          <t>kW I</t>
        </is>
      </c>
      <c r="H79" s="27" t="inlineStr">
        <is>
          <t>kW P</t>
        </is>
      </c>
      <c r="I79" s="27" t="inlineStr">
        <is>
          <t>FP %</t>
        </is>
      </c>
      <c r="J79" s="27" t="inlineStr">
        <is>
          <t>Gen B $</t>
        </is>
      </c>
      <c r="K79" s="27" t="inlineStr">
        <is>
          <t>Gen I $</t>
        </is>
      </c>
      <c r="L79" s="27" t="inlineStr">
        <is>
          <t>Gen P $</t>
        </is>
      </c>
      <c r="M79" s="27" t="inlineStr">
        <is>
          <t>Distribución $</t>
        </is>
      </c>
      <c r="N79" s="27" t="inlineStr">
        <is>
          <t>Capacidad $</t>
        </is>
      </c>
      <c r="O79" s="27" t="inlineStr">
        <is>
          <t>Otros vol $</t>
        </is>
      </c>
      <c r="P79" s="27" t="inlineStr">
        <is>
          <t>Suministro $</t>
        </is>
      </c>
      <c r="Q79" s="27" t="inlineStr">
        <is>
          <t>2%BT+FP neto $</t>
        </is>
      </c>
      <c r="R79" s="27" t="inlineStr">
        <is>
          <t>Cargo FP $</t>
        </is>
      </c>
      <c r="S79" s="27" t="inlineStr">
        <is>
          <t>Yield kWh/kWp</t>
        </is>
      </c>
      <c r="T79" s="27" t="inlineStr">
        <is>
          <t>Hrs punta</t>
        </is>
      </c>
      <c r="U79" s="27" t="inlineStr">
        <is>
          <t>Días punta</t>
        </is>
      </c>
      <c r="V79" s="27" t="inlineStr">
        <is>
          <t>kWh tot</t>
        </is>
      </c>
      <c r="W79" s="27" t="inlineStr">
        <is>
          <t>Vol $/kWh</t>
        </is>
      </c>
      <c r="X79" s="27" t="inlineStr">
        <is>
          <t>Tarifa B $/kWh</t>
        </is>
      </c>
      <c r="Y79" s="27" t="inlineStr">
        <is>
          <t>Tarifa I $/kWh</t>
        </is>
      </c>
      <c r="Z79" s="27" t="inlineStr">
        <is>
          <t>Tarifa P $/kWh</t>
        </is>
      </c>
      <c r="AA79" s="27" t="inlineStr">
        <is>
          <t>Umbral kW</t>
        </is>
      </c>
      <c r="AB79" s="27" t="inlineStr">
        <is>
          <t>$/kW cap</t>
        </is>
      </c>
    </row>
    <row r="80">
      <c r="A80" s="28" t="inlineStr">
        <is>
          <t>Abr-25</t>
        </is>
      </c>
      <c r="B80" s="29" t="n">
        <v>30</v>
      </c>
      <c r="C80" s="29" t="n">
        <v>214676</v>
      </c>
      <c r="D80" s="29" t="n">
        <v>441881</v>
      </c>
      <c r="E80" s="29" t="n">
        <v>40790</v>
      </c>
      <c r="F80" s="28" t="n">
        <v>1664</v>
      </c>
      <c r="G80" s="28" t="n">
        <v>1482</v>
      </c>
      <c r="H80" s="28" t="n">
        <v>1423</v>
      </c>
      <c r="I80" s="30" t="n">
        <v>99.8</v>
      </c>
      <c r="J80" s="28" t="n">
        <v>279739.71</v>
      </c>
      <c r="K80" s="28" t="n">
        <v>1088884.05</v>
      </c>
      <c r="L80" s="28" t="n">
        <v>150912.85</v>
      </c>
      <c r="M80" s="28" t="n">
        <v>155254.58</v>
      </c>
      <c r="N80" s="28" t="n">
        <v>606579.05</v>
      </c>
      <c r="O80" s="28" t="n">
        <v>165005.47</v>
      </c>
      <c r="P80" s="28" t="n">
        <v>421.57</v>
      </c>
      <c r="Q80" s="28" t="n">
        <v>-29361.57</v>
      </c>
      <c r="R80" s="28" t="n">
        <v>0</v>
      </c>
      <c r="S80" s="30" t="n">
        <v>139.92</v>
      </c>
      <c r="T80" s="29" t="n">
        <v>2</v>
      </c>
      <c r="U80" s="29" t="n">
        <v>22</v>
      </c>
      <c r="V80" s="31">
        <f>C80+D80+E80</f>
        <v/>
      </c>
      <c r="W80" s="31">
        <f>O80/V80</f>
        <v/>
      </c>
      <c r="X80" s="31">
        <f>IF(C80=0,Y80,J80/C80+W80)</f>
        <v/>
      </c>
      <c r="Y80" s="31">
        <f>IF(D80=0,0,K80/D80+W80)</f>
        <v/>
      </c>
      <c r="Z80" s="31">
        <f>IF(E80=0,0,L80/E80+W80)</f>
        <v/>
      </c>
      <c r="AA80" s="31">
        <f>V80/(B80*24*$L$6)</f>
        <v/>
      </c>
      <c r="AB80" s="31">
        <f>IFERROR(N80/MIN(H80,AA80),0)</f>
        <v/>
      </c>
    </row>
    <row r="81">
      <c r="A81" s="28" t="inlineStr">
        <is>
          <t>May-25</t>
        </is>
      </c>
      <c r="B81" s="29" t="n">
        <v>31</v>
      </c>
      <c r="C81" s="29" t="n">
        <v>295372</v>
      </c>
      <c r="D81" s="29" t="n">
        <v>603920</v>
      </c>
      <c r="E81" s="29" t="n">
        <v>56005</v>
      </c>
      <c r="F81" s="28" t="n">
        <v>1872</v>
      </c>
      <c r="G81" s="28" t="n">
        <v>1999</v>
      </c>
      <c r="H81" s="28" t="n">
        <v>1544</v>
      </c>
      <c r="I81" s="30" t="n">
        <v>99.78</v>
      </c>
      <c r="J81" s="28" t="n">
        <v>330875.71</v>
      </c>
      <c r="K81" s="28" t="n">
        <v>1225414.07</v>
      </c>
      <c r="L81" s="28" t="n">
        <v>128167.44</v>
      </c>
      <c r="M81" s="28" t="n">
        <v>189125.39</v>
      </c>
      <c r="N81" s="28" t="n">
        <v>652046.64</v>
      </c>
      <c r="O81" s="28" t="n">
        <v>184945.49</v>
      </c>
      <c r="P81" s="28" t="n">
        <v>421.57</v>
      </c>
      <c r="Q81" s="28" t="n">
        <v>-32531.96</v>
      </c>
      <c r="R81" s="28" t="n">
        <v>0</v>
      </c>
      <c r="S81" s="30" t="n">
        <v>139.624</v>
      </c>
      <c r="T81" s="29" t="n">
        <v>2</v>
      </c>
      <c r="U81" s="29" t="n">
        <v>21</v>
      </c>
      <c r="V81" s="31">
        <f>C81+D81+E81</f>
        <v/>
      </c>
      <c r="W81" s="31">
        <f>O81/V81</f>
        <v/>
      </c>
      <c r="X81" s="31">
        <f>IF(C81=0,Y81,J81/C81+W81)</f>
        <v/>
      </c>
      <c r="Y81" s="31">
        <f>IF(D81=0,0,K81/D81+W81)</f>
        <v/>
      </c>
      <c r="Z81" s="31">
        <f>IF(E81=0,0,L81/E81+W81)</f>
        <v/>
      </c>
      <c r="AA81" s="31">
        <f>V81/(B81*24*$L$6)</f>
        <v/>
      </c>
      <c r="AB81" s="31">
        <f>IFERROR(N81/MIN(H81,AA81),0)</f>
        <v/>
      </c>
    </row>
    <row r="82">
      <c r="A82" s="28" t="inlineStr">
        <is>
          <t>Jun-25</t>
        </is>
      </c>
      <c r="B82" s="29" t="n">
        <v>30</v>
      </c>
      <c r="C82" s="29" t="n">
        <v>303759</v>
      </c>
      <c r="D82" s="29" t="n">
        <v>583099</v>
      </c>
      <c r="E82" s="29" t="n">
        <v>57926</v>
      </c>
      <c r="F82" s="28" t="n">
        <v>1445</v>
      </c>
      <c r="G82" s="28" t="n">
        <v>1926</v>
      </c>
      <c r="H82" s="28" t="n">
        <v>1509</v>
      </c>
      <c r="I82" s="30" t="n">
        <v>99.66</v>
      </c>
      <c r="J82" s="28" t="n">
        <v>348350.82</v>
      </c>
      <c r="K82" s="28" t="n">
        <v>1211271.55</v>
      </c>
      <c r="L82" s="28" t="n">
        <v>135714.83</v>
      </c>
      <c r="M82" s="28" t="n">
        <v>182218.86</v>
      </c>
      <c r="N82" s="28" t="n">
        <v>652401.0600000001</v>
      </c>
      <c r="O82" s="28" t="n">
        <v>182910.17</v>
      </c>
      <c r="P82" s="28" t="n">
        <v>421.57</v>
      </c>
      <c r="Q82" s="28" t="n">
        <v>-32559.47</v>
      </c>
      <c r="R82" s="28" t="n">
        <v>0</v>
      </c>
      <c r="S82" s="30" t="n">
        <v>127.44</v>
      </c>
      <c r="T82" s="29" t="n">
        <v>2</v>
      </c>
      <c r="U82" s="29" t="n">
        <v>21</v>
      </c>
      <c r="V82" s="31">
        <f>C82+D82+E82</f>
        <v/>
      </c>
      <c r="W82" s="31">
        <f>O82/V82</f>
        <v/>
      </c>
      <c r="X82" s="31">
        <f>IF(C82=0,Y82,J82/C82+W82)</f>
        <v/>
      </c>
      <c r="Y82" s="31">
        <f>IF(D82=0,0,K82/D82+W82)</f>
        <v/>
      </c>
      <c r="Z82" s="31">
        <f>IF(E82=0,0,L82/E82+W82)</f>
        <v/>
      </c>
      <c r="AA82" s="31">
        <f>V82/(B82*24*$L$6)</f>
        <v/>
      </c>
      <c r="AB82" s="31">
        <f>IFERROR(N82/MIN(H82,AA82),0)</f>
        <v/>
      </c>
    </row>
    <row r="83">
      <c r="A83" s="28" t="inlineStr">
        <is>
          <t>Jul-25</t>
        </is>
      </c>
      <c r="B83" s="29" t="n">
        <v>31</v>
      </c>
      <c r="C83" s="29" t="n">
        <v>298810</v>
      </c>
      <c r="D83" s="29" t="n">
        <v>641148</v>
      </c>
      <c r="E83" s="29" t="n">
        <v>63933</v>
      </c>
      <c r="F83" s="28" t="n">
        <v>1447</v>
      </c>
      <c r="G83" s="28" t="n">
        <v>1977</v>
      </c>
      <c r="H83" s="28" t="n">
        <v>1470</v>
      </c>
      <c r="I83" s="30" t="n">
        <v>99.52</v>
      </c>
      <c r="J83" s="28" t="n">
        <v>347814.84</v>
      </c>
      <c r="K83" s="28" t="n">
        <v>1351860.56</v>
      </c>
      <c r="L83" s="28" t="n">
        <v>152032.67</v>
      </c>
      <c r="M83" s="28" t="n">
        <v>187043.97</v>
      </c>
      <c r="N83" s="28" t="n">
        <v>645065.4</v>
      </c>
      <c r="O83" s="28" t="n">
        <v>194353.29</v>
      </c>
      <c r="P83" s="28" t="n">
        <v>421.57</v>
      </c>
      <c r="Q83" s="28" t="n">
        <v>-31664.52</v>
      </c>
      <c r="R83" s="28" t="n">
        <v>0</v>
      </c>
      <c r="S83" s="30" t="n">
        <v>131.192</v>
      </c>
      <c r="T83" s="29" t="n">
        <v>2</v>
      </c>
      <c r="U83" s="29" t="n">
        <v>23</v>
      </c>
      <c r="V83" s="31">
        <f>C83+D83+E83</f>
        <v/>
      </c>
      <c r="W83" s="31">
        <f>O83/V83</f>
        <v/>
      </c>
      <c r="X83" s="31">
        <f>IF(C83=0,Y83,J83/C83+W83)</f>
        <v/>
      </c>
      <c r="Y83" s="31">
        <f>IF(D83=0,0,K83/D83+W83)</f>
        <v/>
      </c>
      <c r="Z83" s="31">
        <f>IF(E83=0,0,L83/E83+W83)</f>
        <v/>
      </c>
      <c r="AA83" s="31">
        <f>V83/(B83*24*$L$6)</f>
        <v/>
      </c>
      <c r="AB83" s="31">
        <f>IFERROR(N83/MIN(H83,AA83),0)</f>
        <v/>
      </c>
    </row>
    <row r="84">
      <c r="A84" s="28" t="inlineStr">
        <is>
          <t>Ago-25</t>
        </is>
      </c>
      <c r="B84" s="29" t="n">
        <v>31</v>
      </c>
      <c r="C84" s="29" t="n">
        <v>312207</v>
      </c>
      <c r="D84" s="29" t="n">
        <v>627120</v>
      </c>
      <c r="E84" s="29" t="n">
        <v>57334</v>
      </c>
      <c r="F84" s="28" t="n">
        <v>1677</v>
      </c>
      <c r="G84" s="28" t="n">
        <v>1860</v>
      </c>
      <c r="H84" s="28" t="n">
        <v>1607</v>
      </c>
      <c r="I84" s="30" t="n">
        <v>99.48999999999999</v>
      </c>
      <c r="J84" s="28" t="n">
        <v>363939.7</v>
      </c>
      <c r="K84" s="28" t="n">
        <v>1324101.17</v>
      </c>
      <c r="L84" s="28" t="n">
        <v>136529.45</v>
      </c>
      <c r="M84" s="28" t="n">
        <v>175974.6</v>
      </c>
      <c r="N84" s="28" t="n">
        <v>706164.01</v>
      </c>
      <c r="O84" s="28" t="n">
        <v>192953.57</v>
      </c>
      <c r="P84" s="28" t="n">
        <v>421.57</v>
      </c>
      <c r="Q84" s="28" t="n">
        <v>-31900.92</v>
      </c>
      <c r="R84" s="28" t="n">
        <v>0</v>
      </c>
      <c r="S84" s="30" t="n">
        <v>123.256</v>
      </c>
      <c r="T84" s="29" t="n">
        <v>2</v>
      </c>
      <c r="U84" s="29" t="n">
        <v>21</v>
      </c>
      <c r="V84" s="31">
        <f>C84+D84+E84</f>
        <v/>
      </c>
      <c r="W84" s="31">
        <f>O84/V84</f>
        <v/>
      </c>
      <c r="X84" s="31">
        <f>IF(C84=0,Y84,J84/C84+W84)</f>
        <v/>
      </c>
      <c r="Y84" s="31">
        <f>IF(D84=0,0,K84/D84+W84)</f>
        <v/>
      </c>
      <c r="Z84" s="31">
        <f>IF(E84=0,0,L84/E84+W84)</f>
        <v/>
      </c>
      <c r="AA84" s="31">
        <f>V84/(B84*24*$L$6)</f>
        <v/>
      </c>
      <c r="AB84" s="31">
        <f>IFERROR(N84/MIN(H84,AA84),0)</f>
        <v/>
      </c>
    </row>
    <row r="85">
      <c r="A85" s="28" t="inlineStr">
        <is>
          <t>Sep-25</t>
        </is>
      </c>
      <c r="B85" s="29" t="n">
        <v>30</v>
      </c>
      <c r="C85" s="29" t="n">
        <v>278559</v>
      </c>
      <c r="D85" s="29" t="n">
        <v>532793</v>
      </c>
      <c r="E85" s="29" t="n">
        <v>48869</v>
      </c>
      <c r="F85" s="28" t="n">
        <v>1495</v>
      </c>
      <c r="G85" s="28" t="n">
        <v>1708</v>
      </c>
      <c r="H85" s="28" t="n">
        <v>1423</v>
      </c>
      <c r="I85" s="30" t="n">
        <v>99.73999999999999</v>
      </c>
      <c r="J85" s="28" t="n">
        <v>321735.65</v>
      </c>
      <c r="K85" s="28" t="n">
        <v>1114656.24</v>
      </c>
      <c r="L85" s="28" t="n">
        <v>115306.41</v>
      </c>
      <c r="M85" s="28" t="n">
        <v>161593.88</v>
      </c>
      <c r="N85" s="28" t="n">
        <v>619588.4300000001</v>
      </c>
      <c r="O85" s="28" t="n">
        <v>170065.7</v>
      </c>
      <c r="P85" s="28" t="n">
        <v>421.57</v>
      </c>
      <c r="Q85" s="28" t="n">
        <v>-30040.41</v>
      </c>
      <c r="R85" s="28" t="n">
        <v>0</v>
      </c>
      <c r="S85" s="30" t="n">
        <v>118.32</v>
      </c>
      <c r="T85" s="29" t="n">
        <v>2</v>
      </c>
      <c r="U85" s="29" t="n">
        <v>21</v>
      </c>
      <c r="V85" s="31">
        <f>C85+D85+E85</f>
        <v/>
      </c>
      <c r="W85" s="31">
        <f>O85/V85</f>
        <v/>
      </c>
      <c r="X85" s="31">
        <f>IF(C85=0,Y85,J85/C85+W85)</f>
        <v/>
      </c>
      <c r="Y85" s="31">
        <f>IF(D85=0,0,K85/D85+W85)</f>
        <v/>
      </c>
      <c r="Z85" s="31">
        <f>IF(E85=0,0,L85/E85+W85)</f>
        <v/>
      </c>
      <c r="AA85" s="31">
        <f>V85/(B85*24*$L$6)</f>
        <v/>
      </c>
      <c r="AB85" s="31">
        <f>IFERROR(N85/MIN(H85,AA85),0)</f>
        <v/>
      </c>
    </row>
    <row r="86">
      <c r="A86" s="28" t="inlineStr">
        <is>
          <t>Oct-25</t>
        </is>
      </c>
      <c r="B86" s="29" t="n">
        <v>31</v>
      </c>
      <c r="C86" s="29" t="n">
        <v>249743</v>
      </c>
      <c r="D86" s="29" t="n">
        <v>543909</v>
      </c>
      <c r="E86" s="29" t="n">
        <v>67493</v>
      </c>
      <c r="F86" s="28" t="n">
        <v>1369</v>
      </c>
      <c r="G86" s="28" t="n">
        <v>1399</v>
      </c>
      <c r="H86" s="28" t="n">
        <v>1371</v>
      </c>
      <c r="I86" s="30" t="n">
        <v>99.84999999999999</v>
      </c>
      <c r="J86" s="28" t="n">
        <v>288453.17</v>
      </c>
      <c r="K86" s="28" t="n">
        <v>1137912.02</v>
      </c>
      <c r="L86" s="28" t="n">
        <v>159256.48</v>
      </c>
      <c r="M86" s="28" t="n">
        <v>148306.71</v>
      </c>
      <c r="N86" s="28" t="n">
        <v>619435.46</v>
      </c>
      <c r="O86" s="28" t="n">
        <v>170248.38</v>
      </c>
      <c r="P86" s="28" t="n">
        <v>421.57</v>
      </c>
      <c r="Q86" s="28" t="n">
        <v>-30288.41</v>
      </c>
      <c r="R86" s="28" t="n">
        <v>0</v>
      </c>
      <c r="S86" s="30" t="n">
        <v>121.768</v>
      </c>
      <c r="T86" s="29" t="n">
        <v>2</v>
      </c>
      <c r="U86" s="29" t="n">
        <v>23</v>
      </c>
      <c r="V86" s="31">
        <f>C86+D86+E86</f>
        <v/>
      </c>
      <c r="W86" s="31">
        <f>O86/V86</f>
        <v/>
      </c>
      <c r="X86" s="31">
        <f>IF(C86=0,Y86,J86/C86+W86)</f>
        <v/>
      </c>
      <c r="Y86" s="31">
        <f>IF(D86=0,0,K86/D86+W86)</f>
        <v/>
      </c>
      <c r="Z86" s="31">
        <f>IF(E86=0,0,L86/E86+W86)</f>
        <v/>
      </c>
      <c r="AA86" s="31">
        <f>V86/(B86*24*$L$6)</f>
        <v/>
      </c>
      <c r="AB86" s="31">
        <f>IFERROR(N86/MIN(H86,AA86),0)</f>
        <v/>
      </c>
    </row>
    <row r="87">
      <c r="A87" s="28" t="inlineStr">
        <is>
          <t>Nov-25</t>
        </is>
      </c>
      <c r="B87" s="29" t="n">
        <v>30</v>
      </c>
      <c r="C87" s="29" t="n">
        <v>268822</v>
      </c>
      <c r="D87" s="29" t="n">
        <v>440446</v>
      </c>
      <c r="E87" s="29" t="n">
        <v>104467</v>
      </c>
      <c r="F87" s="28" t="n">
        <v>1433</v>
      </c>
      <c r="G87" s="28" t="n">
        <v>1616</v>
      </c>
      <c r="H87" s="28" t="n">
        <v>1579</v>
      </c>
      <c r="I87" s="30" t="n">
        <v>99.95</v>
      </c>
      <c r="J87" s="28" t="n">
        <v>301161.29</v>
      </c>
      <c r="K87" s="28" t="n">
        <v>893797.0699999999</v>
      </c>
      <c r="L87" s="28" t="n">
        <v>239093.62</v>
      </c>
      <c r="M87" s="28" t="n">
        <v>152889.76</v>
      </c>
      <c r="N87" s="28" t="n">
        <v>666874.86</v>
      </c>
      <c r="O87" s="28" t="n">
        <v>160875.42</v>
      </c>
      <c r="P87" s="28" t="n">
        <v>421.57</v>
      </c>
      <c r="Q87" s="28" t="n">
        <v>-28981.36</v>
      </c>
      <c r="R87" s="28" t="n">
        <v>0</v>
      </c>
      <c r="S87" s="30" t="n">
        <v>114.96</v>
      </c>
      <c r="T87" s="29" t="n">
        <v>4</v>
      </c>
      <c r="U87" s="29" t="n">
        <v>19</v>
      </c>
      <c r="V87" s="31">
        <f>C87+D87+E87</f>
        <v/>
      </c>
      <c r="W87" s="31">
        <f>O87/V87</f>
        <v/>
      </c>
      <c r="X87" s="31">
        <f>IF(C87=0,Y87,J87/C87+W87)</f>
        <v/>
      </c>
      <c r="Y87" s="31">
        <f>IF(D87=0,0,K87/D87+W87)</f>
        <v/>
      </c>
      <c r="Z87" s="31">
        <f>IF(E87=0,0,L87/E87+W87)</f>
        <v/>
      </c>
      <c r="AA87" s="31">
        <f>V87/(B87*24*$L$6)</f>
        <v/>
      </c>
      <c r="AB87" s="31">
        <f>IFERROR(N87/MIN(H87,AA87),0)</f>
        <v/>
      </c>
    </row>
    <row r="88">
      <c r="A88" s="28" t="inlineStr">
        <is>
          <t>Dic-25</t>
        </is>
      </c>
      <c r="B88" s="29" t="n">
        <v>31</v>
      </c>
      <c r="C88" s="29" t="n">
        <v>276320</v>
      </c>
      <c r="D88" s="29" t="n">
        <v>485482</v>
      </c>
      <c r="E88" s="29" t="n">
        <v>119171</v>
      </c>
      <c r="F88" s="28" t="n">
        <v>1591</v>
      </c>
      <c r="G88" s="28" t="n">
        <v>1453</v>
      </c>
      <c r="H88" s="28" t="n">
        <v>1583</v>
      </c>
      <c r="I88" s="30" t="n">
        <v>99.90000000000001</v>
      </c>
      <c r="J88" s="28" t="n">
        <v>294087.38</v>
      </c>
      <c r="K88" s="28" t="n">
        <v>935960.75</v>
      </c>
      <c r="L88" s="28" t="n">
        <v>259113.51</v>
      </c>
      <c r="M88" s="28" t="n">
        <v>150524.51</v>
      </c>
      <c r="N88" s="28" t="n">
        <v>635147.09</v>
      </c>
      <c r="O88" s="28" t="n">
        <v>174168.35</v>
      </c>
      <c r="P88" s="28" t="n">
        <v>421.57</v>
      </c>
      <c r="Q88" s="28" t="n">
        <v>-29393.08</v>
      </c>
      <c r="R88" s="28" t="n">
        <v>0</v>
      </c>
      <c r="S88" s="30" t="n">
        <v>112.592</v>
      </c>
      <c r="T88" s="29" t="n">
        <v>4</v>
      </c>
      <c r="U88" s="29" t="n">
        <v>22</v>
      </c>
      <c r="V88" s="31">
        <f>C88+D88+E88</f>
        <v/>
      </c>
      <c r="W88" s="31">
        <f>O88/V88</f>
        <v/>
      </c>
      <c r="X88" s="31">
        <f>IF(C88=0,Y88,J88/C88+W88)</f>
        <v/>
      </c>
      <c r="Y88" s="31">
        <f>IF(D88=0,0,K88/D88+W88)</f>
        <v/>
      </c>
      <c r="Z88" s="31">
        <f>IF(E88=0,0,L88/E88+W88)</f>
        <v/>
      </c>
      <c r="AA88" s="31">
        <f>V88/(B88*24*$L$6)</f>
        <v/>
      </c>
      <c r="AB88" s="31">
        <f>IFERROR(N88/MIN(H88,AA88),0)</f>
        <v/>
      </c>
    </row>
    <row r="89">
      <c r="A89" s="28" t="inlineStr">
        <is>
          <t>Ene-26</t>
        </is>
      </c>
      <c r="B89" s="29" t="n">
        <v>31</v>
      </c>
      <c r="C89" s="29" t="n">
        <v>268796</v>
      </c>
      <c r="D89" s="29" t="n">
        <v>477099</v>
      </c>
      <c r="E89" s="29" t="n">
        <v>114681</v>
      </c>
      <c r="F89" s="28" t="n">
        <v>1453</v>
      </c>
      <c r="G89" s="28" t="n">
        <v>1616</v>
      </c>
      <c r="H89" s="28" t="n">
        <v>1583</v>
      </c>
      <c r="I89" s="30" t="n">
        <v>99.90000000000001</v>
      </c>
      <c r="J89" s="28" t="n">
        <v>279655.36</v>
      </c>
      <c r="K89" s="28" t="n">
        <v>899093.0699999999</v>
      </c>
      <c r="L89" s="28" t="n">
        <v>243743</v>
      </c>
      <c r="M89" s="28" t="n">
        <v>148461.92</v>
      </c>
      <c r="N89" s="28" t="n">
        <v>620852.6</v>
      </c>
      <c r="O89" s="28" t="n">
        <v>167468.09</v>
      </c>
      <c r="P89" s="28" t="n">
        <v>452.58</v>
      </c>
      <c r="Q89" s="28" t="n">
        <v>-28316.72</v>
      </c>
      <c r="R89" s="28" t="n">
        <v>0</v>
      </c>
      <c r="S89" s="30" t="n">
        <v>116.312</v>
      </c>
      <c r="T89" s="29" t="n">
        <v>4</v>
      </c>
      <c r="U89" s="29" t="n">
        <v>21</v>
      </c>
      <c r="V89" s="31">
        <f>C89+D89+E89</f>
        <v/>
      </c>
      <c r="W89" s="31">
        <f>O89/V89</f>
        <v/>
      </c>
      <c r="X89" s="31">
        <f>IF(C89=0,Y89,J89/C89+W89)</f>
        <v/>
      </c>
      <c r="Y89" s="31">
        <f>IF(D89=0,0,K89/D89+W89)</f>
        <v/>
      </c>
      <c r="Z89" s="31">
        <f>IF(E89=0,0,L89/E89+W89)</f>
        <v/>
      </c>
      <c r="AA89" s="31">
        <f>V89/(B89*24*$L$6)</f>
        <v/>
      </c>
      <c r="AB89" s="31">
        <f>IFERROR(N89/MIN(H89,AA89),0)</f>
        <v/>
      </c>
    </row>
    <row r="90">
      <c r="A90" s="28" t="inlineStr">
        <is>
          <t>Feb-26</t>
        </is>
      </c>
      <c r="B90" s="29" t="n">
        <v>28</v>
      </c>
      <c r="C90" s="29" t="n">
        <v>222447</v>
      </c>
      <c r="D90" s="29" t="n">
        <v>382846</v>
      </c>
      <c r="E90" s="29" t="n">
        <v>91302</v>
      </c>
      <c r="F90" s="28" t="n">
        <v>1414</v>
      </c>
      <c r="G90" s="28" t="n">
        <v>1518</v>
      </c>
      <c r="H90" s="28" t="n">
        <v>1476</v>
      </c>
      <c r="I90" s="30" t="n">
        <v>99.98</v>
      </c>
      <c r="J90" s="28" t="n">
        <v>231567.33</v>
      </c>
      <c r="K90" s="28" t="n">
        <v>721894.42</v>
      </c>
      <c r="L90" s="28" t="n">
        <v>194162.83</v>
      </c>
      <c r="M90" s="28" t="n">
        <v>139458.66</v>
      </c>
      <c r="N90" s="28" t="n">
        <v>579226.6800000001</v>
      </c>
      <c r="O90" s="28" t="n">
        <v>135557.38</v>
      </c>
      <c r="P90" s="28" t="n">
        <v>452.58</v>
      </c>
      <c r="Q90" s="28" t="n">
        <v>-24027.84</v>
      </c>
      <c r="R90" s="28" t="n">
        <v>0</v>
      </c>
      <c r="S90" s="30" t="n">
        <v>113.792</v>
      </c>
      <c r="T90" s="29" t="n">
        <v>4</v>
      </c>
      <c r="U90" s="29" t="n">
        <v>19</v>
      </c>
      <c r="V90" s="31">
        <f>C90+D90+E90</f>
        <v/>
      </c>
      <c r="W90" s="31">
        <f>O90/V90</f>
        <v/>
      </c>
      <c r="X90" s="31">
        <f>IF(C90=0,Y90,J90/C90+W90)</f>
        <v/>
      </c>
      <c r="Y90" s="31">
        <f>IF(D90=0,0,K90/D90+W90)</f>
        <v/>
      </c>
      <c r="Z90" s="31">
        <f>IF(E90=0,0,L90/E90+W90)</f>
        <v/>
      </c>
      <c r="AA90" s="31">
        <f>V90/(B90*24*$L$6)</f>
        <v/>
      </c>
      <c r="AB90" s="31">
        <f>IFERROR(N90/MIN(H90,AA90),0)</f>
        <v/>
      </c>
    </row>
    <row r="91">
      <c r="A91" s="28" t="inlineStr">
        <is>
          <t>Mar-26</t>
        </is>
      </c>
      <c r="B91" s="29" t="n">
        <v>31</v>
      </c>
      <c r="C91" s="29" t="n">
        <v>281755</v>
      </c>
      <c r="D91" s="29" t="n">
        <v>452258</v>
      </c>
      <c r="E91" s="29" t="n">
        <v>108970</v>
      </c>
      <c r="F91" s="28" t="n">
        <v>1467</v>
      </c>
      <c r="G91" s="28" t="n">
        <v>1562</v>
      </c>
      <c r="H91" s="28" t="n">
        <v>1444</v>
      </c>
      <c r="I91" s="30" t="n">
        <v>99.97</v>
      </c>
      <c r="J91" s="28" t="n">
        <v>293476.01</v>
      </c>
      <c r="K91" s="28" t="n">
        <v>853275.17</v>
      </c>
      <c r="L91" s="28" t="n">
        <v>231877.26</v>
      </c>
      <c r="M91" s="28" t="n">
        <v>143500.94</v>
      </c>
      <c r="N91" s="28" t="n">
        <v>567001.04</v>
      </c>
      <c r="O91" s="28" t="n">
        <v>164044.5</v>
      </c>
      <c r="P91" s="28" t="n">
        <v>452.58</v>
      </c>
      <c r="Q91" s="28" t="n">
        <v>-27043.53</v>
      </c>
      <c r="R91" s="28" t="n">
        <v>0</v>
      </c>
      <c r="S91" s="30" t="n">
        <v>140.616</v>
      </c>
      <c r="T91" s="29" t="n">
        <v>4</v>
      </c>
      <c r="U91" s="29" t="n">
        <v>21</v>
      </c>
      <c r="V91" s="31">
        <f>C91+D91+E91</f>
        <v/>
      </c>
      <c r="W91" s="31">
        <f>O91/V91</f>
        <v/>
      </c>
      <c r="X91" s="31">
        <f>IF(C91=0,Y91,J91/C91+W91)</f>
        <v/>
      </c>
      <c r="Y91" s="31">
        <f>IF(D91=0,0,K91/D91+W91)</f>
        <v/>
      </c>
      <c r="Z91" s="31">
        <f>IF(E91=0,0,L91/E91+W91)</f>
        <v/>
      </c>
      <c r="AA91" s="31">
        <f>V91/(B91*24*$L$6)</f>
        <v/>
      </c>
      <c r="AB91" s="31">
        <f>IFERROR(N91/MIN(H91,AA91),0)</f>
        <v/>
      </c>
    </row>
    <row r="92">
      <c r="A92" s="19" t="inlineStr">
        <is>
          <t>Filas = recibo ancla (parseado) + meses reconstruidos del CONSUMO HISTÓRICO (subtotal al peso; split TOU por shares del ancla). Capacidad a MIN(kW punta, umbral); tarifas por banda = concepto/kWh + vol/kWh; col Q&lt;0 (bonificación FP) aplica claw-back al ahorro. Válido &lt;700 kWp (medición neta). Excedentes PV a $0.</t>
        </is>
      </c>
    </row>
    <row r="94">
      <c r="O94" s="19" t="inlineStr">
        <is>
          <t>Techo — referencia satelital (ruta HelioScope; cruz roja = punto verificado) · confianza ?</t>
        </is>
      </c>
    </row>
  </sheetData>
  <mergeCells count="6">
    <mergeCell ref="A69:K69"/>
    <mergeCell ref="A72:K72"/>
    <mergeCell ref="A73:K73"/>
    <mergeCell ref="A71:K71"/>
    <mergeCell ref="A70:K70"/>
    <mergeCell ref="A92:AB9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5" t="inlineStr">
        <is>
          <t>Fiesta Inn Periférico Sur (CDMX) — Memoria de cálculo y propuesta energética</t>
        </is>
      </c>
    </row>
    <row r="2">
      <c r="A2" s="5" t="inlineStr">
        <is>
          <t>RPU 968221200700 · GDMTH SIN · Demanda contratada 366 kW · 12 meses de recibo</t>
        </is>
      </c>
    </row>
    <row r="3">
      <c r="A3" s="16" t="inlineStr">
        <is>
          <t>Régimen: GENERADOR EXENTO — Medición Neta (sin permiso; Art. 30 LSE; RES/142/2017)</t>
        </is>
      </c>
    </row>
    <row r="5">
      <c r="A5" s="6" t="inlineStr">
        <is>
          <t>PARÁMETROS (desde Supuestos — edítalos ahí)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7" t="inlineStr">
        <is>
          <t>PV kWp</t>
        </is>
      </c>
      <c r="B6" s="1">
        <f>Supuestos!$B$29</f>
        <v/>
      </c>
      <c r="C6" s="17" t="inlineStr">
        <is>
          <t>BESS kW</t>
        </is>
      </c>
      <c r="D6" s="1">
        <f>Supuestos!$C$29</f>
        <v/>
      </c>
      <c r="E6" s="17" t="inlineStr">
        <is>
          <t>BESS kWh</t>
        </is>
      </c>
      <c r="F6" s="1">
        <f>Supuestos!$D$29</f>
        <v/>
      </c>
      <c r="G6" s="17" t="inlineStr">
        <is>
          <t>FP corrección</t>
        </is>
      </c>
      <c r="H6">
        <f>Supuestos!$E$29</f>
        <v/>
      </c>
      <c r="I6" s="17" t="inlineStr">
        <is>
          <t>Entrega útil kWh</t>
        </is>
      </c>
      <c r="J6" s="1">
        <f>Supuestos!$D$29*Supuestos!$B$17*SQRT(Supuestos!$B$18)</f>
        <v/>
      </c>
      <c r="K6" s="17" t="inlineStr">
        <is>
          <t>FC umbral</t>
        </is>
      </c>
      <c r="L6" s="11" t="n">
        <v>0.57</v>
      </c>
    </row>
    <row r="8">
      <c r="A8" s="6" t="inlineStr">
        <is>
          <t>1. ESTRUCTURA DE COSTO Y AHORRO (pre-IVA, año base · fórmulas vivas ← §3)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18" t="inlineStr">
        <is>
          <t>Concepto</t>
        </is>
      </c>
      <c r="B9" s="18" t="inlineStr">
        <is>
          <t>$ / año</t>
        </is>
      </c>
      <c r="C9" s="18" t="inlineStr">
        <is>
          <t>Nota</t>
        </is>
      </c>
    </row>
    <row r="10">
      <c r="A10" t="inlineStr">
        <is>
          <t>Tarifa Actual (CFE pleno, sin proyecto)</t>
        </is>
      </c>
      <c r="B10" s="1">
        <f>$E$38*$B$39</f>
        <v/>
      </c>
      <c r="C10" s="19" t="inlineStr">
        <is>
          <t>Σ recibos × anualización</t>
        </is>
      </c>
    </row>
    <row r="11">
      <c r="A11" t="inlineStr">
        <is>
          <t>(−) Ahorro PV (energía + demanda)</t>
        </is>
      </c>
      <c r="B11" s="1">
        <f>$F$38*$B$39</f>
        <v/>
      </c>
      <c r="C11" s="19" t="inlineStr">
        <is>
          <t>intermedio + umbral</t>
        </is>
      </c>
    </row>
    <row r="12">
      <c r="A12" t="inlineStr">
        <is>
          <t>(−) Ahorro BESS (punta + arbitraje)</t>
        </is>
      </c>
      <c r="B12" s="1">
        <f>$G$38*$B$39</f>
        <v/>
      </c>
      <c r="C12" s="19" t="inlineStr">
        <is>
          <t>recorte punta + arbitraje (incl. claw)</t>
        </is>
      </c>
    </row>
    <row r="13">
      <c r="A13" t="inlineStr">
        <is>
          <t>(−) Ahorro FP (corrección)</t>
        </is>
      </c>
      <c r="B13" s="1">
        <f>$H$38*$B$39</f>
        <v/>
      </c>
      <c r="C13" s="19" t="inlineStr">
        <is>
          <t>multa factor de potencia</t>
        </is>
      </c>
    </row>
    <row r="14">
      <c r="A14" s="17" t="inlineStr">
        <is>
          <t>(=) Costo neto con proyecto</t>
        </is>
      </c>
      <c r="B14" s="20">
        <f>B10-B11-B12-B13</f>
        <v/>
      </c>
    </row>
    <row r="15">
      <c r="A15" s="17" t="inlineStr">
        <is>
          <t>Ahorro proyecto / año</t>
        </is>
      </c>
      <c r="B15" s="20">
        <f>B11+B12+B13</f>
        <v/>
      </c>
    </row>
    <row r="16">
      <c r="A16" s="17" t="inlineStr">
        <is>
          <t>Ahorro %</t>
        </is>
      </c>
      <c r="B16" s="2">
        <f>B15/B10</f>
        <v/>
      </c>
    </row>
    <row r="18">
      <c r="A18" s="6" t="inlineStr">
        <is>
          <t>2. CAPEX (fórmulas vivas desde Supuestos)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t="inlineStr">
        <is>
          <t>CAPEX PV</t>
        </is>
      </c>
      <c r="B19" s="1">
        <f>Supuestos!$B$29*1000*Supuestos!$F$29*Supuestos!$B$5</f>
        <v/>
      </c>
    </row>
    <row r="20">
      <c r="A20" t="inlineStr">
        <is>
          <t>CAPEX BESS</t>
        </is>
      </c>
      <c r="B20" s="1">
        <f>Supuestos!$D$29*Supuestos!$G$29*Supuestos!$B$5</f>
        <v/>
      </c>
    </row>
    <row r="21">
      <c r="A21" t="inlineStr">
        <is>
          <t>CAPEX capacitor (FP)</t>
        </is>
      </c>
      <c r="B21" s="1">
        <f>Supuestos!$H$29</f>
        <v/>
      </c>
    </row>
    <row r="22">
      <c r="A22" s="17" t="inlineStr">
        <is>
          <t>CAPEX TOTAL</t>
        </is>
      </c>
      <c r="B22" s="20">
        <f>B19+B20+B21</f>
        <v/>
      </c>
    </row>
    <row r="24">
      <c r="A24" s="6" t="inlineStr">
        <is>
          <t>3. RESUMEN MENSUAL — Tarifa Actual vs Con Proyecto (fórmulas vivas ← §6 y Supuestos)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21" t="inlineStr">
        <is>
          <t>Mes</t>
        </is>
      </c>
      <c r="B25" s="21" t="inlineStr">
        <is>
          <t>kWh Consumo</t>
        </is>
      </c>
      <c r="C25" s="21" t="inlineStr">
        <is>
          <t>Gen PV kWh</t>
        </is>
      </c>
      <c r="D25" s="21" t="inlineStr">
        <is>
          <t>BESS desc kWh</t>
        </is>
      </c>
      <c r="E25" s="21" t="inlineStr">
        <is>
          <t>Tarifa Actual $</t>
        </is>
      </c>
      <c r="F25" s="21" t="inlineStr">
        <is>
          <t>Ah PV $</t>
        </is>
      </c>
      <c r="G25" s="21" t="inlineStr">
        <is>
          <t>Ah BESS $</t>
        </is>
      </c>
      <c r="H25" s="21" t="inlineStr">
        <is>
          <t>Ah FP $</t>
        </is>
      </c>
      <c r="I25" s="21" t="inlineStr">
        <is>
          <t>Costo c/proy $</t>
        </is>
      </c>
      <c r="J25" s="21" t="inlineStr">
        <is>
          <t>Ahorro $</t>
        </is>
      </c>
      <c r="K25" s="21" t="inlineStr">
        <is>
          <t>Ahorro %</t>
        </is>
      </c>
    </row>
    <row r="26">
      <c r="A26">
        <f>A80</f>
        <v/>
      </c>
      <c r="B26" s="1">
        <f>V80</f>
        <v/>
      </c>
      <c r="C26" s="1">
        <f>Supuestos!$B$29*S80</f>
        <v/>
      </c>
      <c r="D26" s="1">
        <f>MIN($J$6*U80,E80)</f>
        <v/>
      </c>
      <c r="E26" s="1">
        <f>SUM(J80:Q80)</f>
        <v/>
      </c>
      <c r="F26" s="1">
        <f>(MIN(C26,D80)*Y80+(MIN(H80,AA80)-MIN(H80,(V80-MIN(C26,D80))/($B$80*24*$L$6)))*AB80)*IF(Q80&lt;0,1+Q80/SUM(J80:P80),1)</f>
        <v/>
      </c>
      <c r="G26" s="1">
        <f>((MIN(H80,(V80-MIN(C26,D80))/($B$80*24*$L$6))-MIN(MAX(H80-MIN(Supuestos!$C$29,IF(T80&gt;0,$J$6/T80,0)),0),(V80-MIN(C26,D80))/($B$80*24*$L$6)))*AB80+D26*Z80-D26/Supuestos!$B$18*X80)*IF(Q80&lt;0,1+Q80/SUM(J80:P80),1)</f>
        <v/>
      </c>
      <c r="H26" s="1">
        <f>IF(Supuestos!$E$29="Sí",R80,0)</f>
        <v/>
      </c>
      <c r="I26" s="1">
        <f>E26-J26</f>
        <v/>
      </c>
      <c r="J26" s="1">
        <f>F26+G26+H26</f>
        <v/>
      </c>
      <c r="K26" s="2">
        <f>J26/E26</f>
        <v/>
      </c>
    </row>
    <row r="27">
      <c r="A27">
        <f>A81</f>
        <v/>
      </c>
      <c r="B27" s="1">
        <f>V81</f>
        <v/>
      </c>
      <c r="C27" s="1">
        <f>Supuestos!$B$29*S81</f>
        <v/>
      </c>
      <c r="D27" s="1">
        <f>MIN($J$6*U81,E81)</f>
        <v/>
      </c>
      <c r="E27" s="1">
        <f>SUM(J81:Q81)</f>
        <v/>
      </c>
      <c r="F27" s="1">
        <f>(MIN(C27,D81)*Y81+(MIN(H81,AA81)-MIN(H81,(V81-MIN(C27,D81))/($B$81*24*$L$6)))*AB81)*IF(Q81&lt;0,1+Q81/SUM(J81:P81),1)</f>
        <v/>
      </c>
      <c r="G27" s="1">
        <f>((MIN(H81,(V81-MIN(C27,D81))/($B$81*24*$L$6))-MIN(MAX(H81-MIN(Supuestos!$C$29,IF(T81&gt;0,$J$6/T81,0)),0),(V81-MIN(C27,D81))/($B$81*24*$L$6)))*AB81+D27*Z81-D27/Supuestos!$B$18*X81)*IF(Q81&lt;0,1+Q81/SUM(J81:P81),1)</f>
        <v/>
      </c>
      <c r="H27" s="1">
        <f>IF(Supuestos!$E$29="Sí",R81,0)</f>
        <v/>
      </c>
      <c r="I27" s="1">
        <f>E27-J27</f>
        <v/>
      </c>
      <c r="J27" s="1">
        <f>F27+G27+H27</f>
        <v/>
      </c>
      <c r="K27" s="2">
        <f>J27/E27</f>
        <v/>
      </c>
    </row>
    <row r="28">
      <c r="A28">
        <f>A82</f>
        <v/>
      </c>
      <c r="B28" s="1">
        <f>V82</f>
        <v/>
      </c>
      <c r="C28" s="1">
        <f>Supuestos!$B$29*S82</f>
        <v/>
      </c>
      <c r="D28" s="1">
        <f>MIN($J$6*U82,E82)</f>
        <v/>
      </c>
      <c r="E28" s="1">
        <f>SUM(J82:Q82)</f>
        <v/>
      </c>
      <c r="F28" s="1">
        <f>(MIN(C28,D82)*Y82+(MIN(H82,AA82)-MIN(H82,(V82-MIN(C28,D82))/($B$82*24*$L$6)))*AB82)*IF(Q82&lt;0,1+Q82/SUM(J82:P82),1)</f>
        <v/>
      </c>
      <c r="G28" s="1">
        <f>((MIN(H82,(V82-MIN(C28,D82))/($B$82*24*$L$6))-MIN(MAX(H82-MIN(Supuestos!$C$29,IF(T82&gt;0,$J$6/T82,0)),0),(V82-MIN(C28,D82))/($B$82*24*$L$6)))*AB82+D28*Z82-D28/Supuestos!$B$18*X82)*IF(Q82&lt;0,1+Q82/SUM(J82:P82),1)</f>
        <v/>
      </c>
      <c r="H28" s="1">
        <f>IF(Supuestos!$E$29="Sí",R82,0)</f>
        <v/>
      </c>
      <c r="I28" s="1">
        <f>E28-J28</f>
        <v/>
      </c>
      <c r="J28" s="1">
        <f>F28+G28+H28</f>
        <v/>
      </c>
      <c r="K28" s="2">
        <f>J28/E28</f>
        <v/>
      </c>
    </row>
    <row r="29">
      <c r="A29">
        <f>A83</f>
        <v/>
      </c>
      <c r="B29" s="1">
        <f>V83</f>
        <v/>
      </c>
      <c r="C29" s="1">
        <f>Supuestos!$B$29*S83</f>
        <v/>
      </c>
      <c r="D29" s="1">
        <f>MIN($J$6*U83,E83)</f>
        <v/>
      </c>
      <c r="E29" s="1">
        <f>SUM(J83:Q83)</f>
        <v/>
      </c>
      <c r="F29" s="1">
        <f>(MIN(C29,D83)*Y83+(MIN(H83,AA83)-MIN(H83,(V83-MIN(C29,D83))/($B$83*24*$L$6)))*AB83)*IF(Q83&lt;0,1+Q83/SUM(J83:P83),1)</f>
        <v/>
      </c>
      <c r="G29" s="1">
        <f>((MIN(H83,(V83-MIN(C29,D83))/($B$83*24*$L$6))-MIN(MAX(H83-MIN(Supuestos!$C$29,IF(T83&gt;0,$J$6/T83,0)),0),(V83-MIN(C29,D83))/($B$83*24*$L$6)))*AB83+D29*Z83-D29/Supuestos!$B$18*X83)*IF(Q83&lt;0,1+Q83/SUM(J83:P83),1)</f>
        <v/>
      </c>
      <c r="H29" s="1">
        <f>IF(Supuestos!$E$29="Sí",R83,0)</f>
        <v/>
      </c>
      <c r="I29" s="1">
        <f>E29-J29</f>
        <v/>
      </c>
      <c r="J29" s="1">
        <f>F29+G29+H29</f>
        <v/>
      </c>
      <c r="K29" s="2">
        <f>J29/E29</f>
        <v/>
      </c>
    </row>
    <row r="30">
      <c r="A30">
        <f>A84</f>
        <v/>
      </c>
      <c r="B30" s="1">
        <f>V84</f>
        <v/>
      </c>
      <c r="C30" s="1">
        <f>Supuestos!$B$29*S84</f>
        <v/>
      </c>
      <c r="D30" s="1">
        <f>MIN($J$6*U84,E84)</f>
        <v/>
      </c>
      <c r="E30" s="1">
        <f>SUM(J84:Q84)</f>
        <v/>
      </c>
      <c r="F30" s="1">
        <f>(MIN(C30,D84)*Y84+(MIN(H84,AA84)-MIN(H84,(V84-MIN(C30,D84))/($B$84*24*$L$6)))*AB84)*IF(Q84&lt;0,1+Q84/SUM(J84:P84),1)</f>
        <v/>
      </c>
      <c r="G30" s="1">
        <f>((MIN(H84,(V84-MIN(C30,D84))/($B$84*24*$L$6))-MIN(MAX(H84-MIN(Supuestos!$C$29,IF(T84&gt;0,$J$6/T84,0)),0),(V84-MIN(C30,D84))/($B$84*24*$L$6)))*AB84+D30*Z84-D30/Supuestos!$B$18*X84)*IF(Q84&lt;0,1+Q84/SUM(J84:P84),1)</f>
        <v/>
      </c>
      <c r="H30" s="1">
        <f>IF(Supuestos!$E$29="Sí",R84,0)</f>
        <v/>
      </c>
      <c r="I30" s="1">
        <f>E30-J30</f>
        <v/>
      </c>
      <c r="J30" s="1">
        <f>F30+G30+H30</f>
        <v/>
      </c>
      <c r="K30" s="2">
        <f>J30/E30</f>
        <v/>
      </c>
    </row>
    <row r="31">
      <c r="A31">
        <f>A85</f>
        <v/>
      </c>
      <c r="B31" s="1">
        <f>V85</f>
        <v/>
      </c>
      <c r="C31" s="1">
        <f>Supuestos!$B$29*S85</f>
        <v/>
      </c>
      <c r="D31" s="1">
        <f>MIN($J$6*U85,E85)</f>
        <v/>
      </c>
      <c r="E31" s="1">
        <f>SUM(J85:Q85)</f>
        <v/>
      </c>
      <c r="F31" s="1">
        <f>(MIN(C31,D85)*Y85+(MIN(H85,AA85)-MIN(H85,(V85-MIN(C31,D85))/($B$85*24*$L$6)))*AB85)*IF(Q85&lt;0,1+Q85/SUM(J85:P85),1)</f>
        <v/>
      </c>
      <c r="G31" s="1">
        <f>((MIN(H85,(V85-MIN(C31,D85))/($B$85*24*$L$6))-MIN(MAX(H85-MIN(Supuestos!$C$29,IF(T85&gt;0,$J$6/T85,0)),0),(V85-MIN(C31,D85))/($B$85*24*$L$6)))*AB85+D31*Z85-D31/Supuestos!$B$18*X85)*IF(Q85&lt;0,1+Q85/SUM(J85:P85),1)</f>
        <v/>
      </c>
      <c r="H31" s="1">
        <f>IF(Supuestos!$E$29="Sí",R85,0)</f>
        <v/>
      </c>
      <c r="I31" s="1">
        <f>E31-J31</f>
        <v/>
      </c>
      <c r="J31" s="1">
        <f>F31+G31+H31</f>
        <v/>
      </c>
      <c r="K31" s="2">
        <f>J31/E31</f>
        <v/>
      </c>
    </row>
    <row r="32">
      <c r="A32">
        <f>A86</f>
        <v/>
      </c>
      <c r="B32" s="1">
        <f>V86</f>
        <v/>
      </c>
      <c r="C32" s="1">
        <f>Supuestos!$B$29*S86</f>
        <v/>
      </c>
      <c r="D32" s="1">
        <f>MIN($J$6*U86,E86)</f>
        <v/>
      </c>
      <c r="E32" s="1">
        <f>SUM(J86:Q86)</f>
        <v/>
      </c>
      <c r="F32" s="1">
        <f>(MIN(C32,D86)*Y86+(MIN(H86,AA86)-MIN(H86,(V86-MIN(C32,D86))/($B$86*24*$L$6)))*AB86)*IF(Q86&lt;0,1+Q86/SUM(J86:P86),1)</f>
        <v/>
      </c>
      <c r="G32" s="1">
        <f>((MIN(H86,(V86-MIN(C32,D86))/($B$86*24*$L$6))-MIN(MAX(H86-MIN(Supuestos!$C$29,IF(T86&gt;0,$J$6/T86,0)),0),(V86-MIN(C32,D86))/($B$86*24*$L$6)))*AB86+D32*Z86-D32/Supuestos!$B$18*X86)*IF(Q86&lt;0,1+Q86/SUM(J86:P86),1)</f>
        <v/>
      </c>
      <c r="H32" s="1">
        <f>IF(Supuestos!$E$29="Sí",R86,0)</f>
        <v/>
      </c>
      <c r="I32" s="1">
        <f>E32-J32</f>
        <v/>
      </c>
      <c r="J32" s="1">
        <f>F32+G32+H32</f>
        <v/>
      </c>
      <c r="K32" s="2">
        <f>J32/E32</f>
        <v/>
      </c>
    </row>
    <row r="33">
      <c r="A33">
        <f>A87</f>
        <v/>
      </c>
      <c r="B33" s="1">
        <f>V87</f>
        <v/>
      </c>
      <c r="C33" s="1">
        <f>Supuestos!$B$29*S87</f>
        <v/>
      </c>
      <c r="D33" s="1">
        <f>MIN($J$6*U87,E87)</f>
        <v/>
      </c>
      <c r="E33" s="1">
        <f>SUM(J87:Q87)</f>
        <v/>
      </c>
      <c r="F33" s="1">
        <f>(MIN(C33,D87)*Y87+(MIN(H87,AA87)-MIN(H87,(V87-MIN(C33,D87))/($B$87*24*$L$6)))*AB87)*IF(Q87&lt;0,1+Q87/SUM(J87:P87),1)</f>
        <v/>
      </c>
      <c r="G33" s="1">
        <f>((MIN(H87,(V87-MIN(C33,D87))/($B$87*24*$L$6))-MIN(MAX(H87-MIN(Supuestos!$C$29,IF(T87&gt;0,$J$6/T87,0)),0),(V87-MIN(C33,D87))/($B$87*24*$L$6)))*AB87+D33*Z87-D33/Supuestos!$B$18*X87)*IF(Q87&lt;0,1+Q87/SUM(J87:P87),1)</f>
        <v/>
      </c>
      <c r="H33" s="1">
        <f>IF(Supuestos!$E$29="Sí",R87,0)</f>
        <v/>
      </c>
      <c r="I33" s="1">
        <f>E33-J33</f>
        <v/>
      </c>
      <c r="J33" s="1">
        <f>F33+G33+H33</f>
        <v/>
      </c>
      <c r="K33" s="2">
        <f>J33/E33</f>
        <v/>
      </c>
    </row>
    <row r="34">
      <c r="A34">
        <f>A88</f>
        <v/>
      </c>
      <c r="B34" s="1">
        <f>V88</f>
        <v/>
      </c>
      <c r="C34" s="1">
        <f>Supuestos!$B$29*S88</f>
        <v/>
      </c>
      <c r="D34" s="1">
        <f>MIN($J$6*U88,E88)</f>
        <v/>
      </c>
      <c r="E34" s="1">
        <f>SUM(J88:Q88)</f>
        <v/>
      </c>
      <c r="F34" s="1">
        <f>(MIN(C34,D88)*Y88+(MIN(H88,AA88)-MIN(H88,(V88-MIN(C34,D88))/($B$88*24*$L$6)))*AB88)*IF(Q88&lt;0,1+Q88/SUM(J88:P88),1)</f>
        <v/>
      </c>
      <c r="G34" s="1">
        <f>((MIN(H88,(V88-MIN(C34,D88))/($B$88*24*$L$6))-MIN(MAX(H88-MIN(Supuestos!$C$29,IF(T88&gt;0,$J$6/T88,0)),0),(V88-MIN(C34,D88))/($B$88*24*$L$6)))*AB88+D34*Z88-D34/Supuestos!$B$18*X88)*IF(Q88&lt;0,1+Q88/SUM(J88:P88),1)</f>
        <v/>
      </c>
      <c r="H34" s="1">
        <f>IF(Supuestos!$E$29="Sí",R88,0)</f>
        <v/>
      </c>
      <c r="I34" s="1">
        <f>E34-J34</f>
        <v/>
      </c>
      <c r="J34" s="1">
        <f>F34+G34+H34</f>
        <v/>
      </c>
      <c r="K34" s="2">
        <f>J34/E34</f>
        <v/>
      </c>
    </row>
    <row r="35">
      <c r="A35">
        <f>A89</f>
        <v/>
      </c>
      <c r="B35" s="1">
        <f>V89</f>
        <v/>
      </c>
      <c r="C35" s="1">
        <f>Supuestos!$B$29*S89</f>
        <v/>
      </c>
      <c r="D35" s="1">
        <f>MIN($J$6*U89,E89)</f>
        <v/>
      </c>
      <c r="E35" s="1">
        <f>SUM(J89:Q89)</f>
        <v/>
      </c>
      <c r="F35" s="1">
        <f>(MIN(C35,D89)*Y89+(MIN(H89,AA89)-MIN(H89,(V89-MIN(C35,D89))/($B$89*24*$L$6)))*AB89)*IF(Q89&lt;0,1+Q89/SUM(J89:P89),1)</f>
        <v/>
      </c>
      <c r="G35" s="1">
        <f>((MIN(H89,(V89-MIN(C35,D89))/($B$89*24*$L$6))-MIN(MAX(H89-MIN(Supuestos!$C$29,IF(T89&gt;0,$J$6/T89,0)),0),(V89-MIN(C35,D89))/($B$89*24*$L$6)))*AB89+D35*Z89-D35/Supuestos!$B$18*X89)*IF(Q89&lt;0,1+Q89/SUM(J89:P89),1)</f>
        <v/>
      </c>
      <c r="H35" s="1">
        <f>IF(Supuestos!$E$29="Sí",R89,0)</f>
        <v/>
      </c>
      <c r="I35" s="1">
        <f>E35-J35</f>
        <v/>
      </c>
      <c r="J35" s="1">
        <f>F35+G35+H35</f>
        <v/>
      </c>
      <c r="K35" s="2">
        <f>J35/E35</f>
        <v/>
      </c>
    </row>
    <row r="36">
      <c r="A36">
        <f>A90</f>
        <v/>
      </c>
      <c r="B36" s="1">
        <f>V90</f>
        <v/>
      </c>
      <c r="C36" s="1">
        <f>Supuestos!$B$29*S90</f>
        <v/>
      </c>
      <c r="D36" s="1">
        <f>MIN($J$6*U90,E90)</f>
        <v/>
      </c>
      <c r="E36" s="1">
        <f>SUM(J90:Q90)</f>
        <v/>
      </c>
      <c r="F36" s="1">
        <f>(MIN(C36,D90)*Y90+(MIN(H90,AA90)-MIN(H90,(V90-MIN(C36,D90))/($B$90*24*$L$6)))*AB90)*IF(Q90&lt;0,1+Q90/SUM(J90:P90),1)</f>
        <v/>
      </c>
      <c r="G36" s="1">
        <f>((MIN(H90,(V90-MIN(C36,D90))/($B$90*24*$L$6))-MIN(MAX(H90-MIN(Supuestos!$C$29,IF(T90&gt;0,$J$6/T90,0)),0),(V90-MIN(C36,D90))/($B$90*24*$L$6)))*AB90+D36*Z90-D36/Supuestos!$B$18*X90)*IF(Q90&lt;0,1+Q90/SUM(J90:P90),1)</f>
        <v/>
      </c>
      <c r="H36" s="1">
        <f>IF(Supuestos!$E$29="Sí",R90,0)</f>
        <v/>
      </c>
      <c r="I36" s="1">
        <f>E36-J36</f>
        <v/>
      </c>
      <c r="J36" s="1">
        <f>F36+G36+H36</f>
        <v/>
      </c>
      <c r="K36" s="2">
        <f>J36/E36</f>
        <v/>
      </c>
    </row>
    <row r="37">
      <c r="A37">
        <f>A91</f>
        <v/>
      </c>
      <c r="B37" s="1">
        <f>V91</f>
        <v/>
      </c>
      <c r="C37" s="1">
        <f>Supuestos!$B$29*S91</f>
        <v/>
      </c>
      <c r="D37" s="1">
        <f>MIN($J$6*U91,E91)</f>
        <v/>
      </c>
      <c r="E37" s="1">
        <f>SUM(J91:Q91)</f>
        <v/>
      </c>
      <c r="F37" s="1">
        <f>(MIN(C37,D91)*Y91+(MIN(H91,AA91)-MIN(H91,(V91-MIN(C37,D91))/($B$91*24*$L$6)))*AB91)*IF(Q91&lt;0,1+Q91/SUM(J91:P91),1)</f>
        <v/>
      </c>
      <c r="G37" s="1">
        <f>((MIN(H91,(V91-MIN(C37,D91))/($B$91*24*$L$6))-MIN(MAX(H91-MIN(Supuestos!$C$29,IF(T91&gt;0,$J$6/T91,0)),0),(V91-MIN(C37,D91))/($B$91*24*$L$6)))*AB91+D37*Z91-D37/Supuestos!$B$18*X91)*IF(Q91&lt;0,1+Q91/SUM(J91:P91),1)</f>
        <v/>
      </c>
      <c r="H37" s="1">
        <f>IF(Supuestos!$E$29="Sí",R91,0)</f>
        <v/>
      </c>
      <c r="I37" s="1">
        <f>E37-J37</f>
        <v/>
      </c>
      <c r="J37" s="1">
        <f>F37+G37+H37</f>
        <v/>
      </c>
      <c r="K37" s="2">
        <f>J37/E37</f>
        <v/>
      </c>
    </row>
    <row r="38">
      <c r="A38" s="17" t="inlineStr">
        <is>
          <t>TOTAL</t>
        </is>
      </c>
      <c r="B38" s="22">
        <f>SUM(B26:B37)</f>
        <v/>
      </c>
      <c r="C38" s="22">
        <f>SUM(C26:C37)</f>
        <v/>
      </c>
      <c r="D38" s="22">
        <f>SUM(D26:D37)</f>
        <v/>
      </c>
      <c r="E38" s="22">
        <f>SUM(E26:E37)</f>
        <v/>
      </c>
      <c r="F38" s="22">
        <f>SUM(F26:F37)</f>
        <v/>
      </c>
      <c r="G38" s="22">
        <f>SUM(G26:G37)</f>
        <v/>
      </c>
      <c r="H38" s="22">
        <f>SUM(H26:H37)</f>
        <v/>
      </c>
      <c r="I38" s="22">
        <f>SUM(I26:I37)</f>
        <v/>
      </c>
      <c r="J38" s="22">
        <f>SUM(J26:J37)</f>
        <v/>
      </c>
      <c r="K38" s="23">
        <f>J38/E38</f>
        <v/>
      </c>
    </row>
    <row r="39">
      <c r="A39" s="5" t="inlineStr">
        <is>
          <t>Factor anualización (12/meses):</t>
        </is>
      </c>
      <c r="B39" s="24" t="n">
        <v>1</v>
      </c>
    </row>
    <row r="40">
      <c r="A40" s="6" t="inlineStr">
        <is>
          <t>4. PROYECCIÓN 20 AÑOS — Comprar vs PPA/Ahorro compartido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12" t="inlineStr">
        <is>
          <t>Año</t>
        </is>
      </c>
      <c r="B41" s="12" t="inlineStr">
        <is>
          <t>Tarifa Actual $</t>
        </is>
      </c>
      <c r="C41" s="12" t="inlineStr">
        <is>
          <t>Ah PV $</t>
        </is>
      </c>
      <c r="D41" s="12" t="inlineStr">
        <is>
          <t>Ah BESS $</t>
        </is>
      </c>
      <c r="E41" s="12" t="inlineStr">
        <is>
          <t>Ah FP $</t>
        </is>
      </c>
      <c r="F41" s="12" t="inlineStr">
        <is>
          <t>Costo c/proy $</t>
        </is>
      </c>
      <c r="G41" s="12" t="inlineStr">
        <is>
          <t>Flujo Compra $</t>
        </is>
      </c>
      <c r="H41" s="12" t="inlineStr">
        <is>
          <t>Pago PPA $</t>
        </is>
      </c>
      <c r="I41" s="12" t="inlineStr">
        <is>
          <t>Comisión $</t>
        </is>
      </c>
      <c r="J41" s="12" t="inlineStr">
        <is>
          <t>Flujo Cliente PPA $</t>
        </is>
      </c>
      <c r="K41" s="12" t="inlineStr">
        <is>
          <t>Flujo Financiador $</t>
        </is>
      </c>
      <c r="L41" s="12" t="inlineStr">
        <is>
          <t>Acum Compra $</t>
        </is>
      </c>
      <c r="M41" s="12" t="inlineStr">
        <is>
          <t>Acum Cliente PPA $</t>
        </is>
      </c>
    </row>
    <row r="42">
      <c r="A42" t="n">
        <v>0</v>
      </c>
      <c r="G42" s="1">
        <f>-B22</f>
        <v/>
      </c>
      <c r="K42" s="1">
        <f>-B22</f>
        <v/>
      </c>
      <c r="L42" s="1">
        <f>G42</f>
        <v/>
      </c>
      <c r="M42" s="1" t="n">
        <v>0</v>
      </c>
    </row>
    <row r="43">
      <c r="A43" t="n">
        <v>1</v>
      </c>
      <c r="B43" s="1">
        <f>$E$38*$B$39*(1+Supuestos!$B$8)^1</f>
        <v/>
      </c>
      <c r="C43" s="1">
        <f>$F$38*$B$39*(1+Supuestos!$B$8)^1*((1-Supuestos!$B$11)*(1-Supuestos!$B$12)^0)</f>
        <v/>
      </c>
      <c r="D43" s="1">
        <f>$G$38*$B$39*(1+Supuestos!$B$8)^1*(1-Supuestos!$B$13)^1*Supuestos!$B$10</f>
        <v/>
      </c>
      <c r="E43" s="1">
        <f>$H$38*$B$39*(1+Supuestos!$B$8)^1</f>
        <v/>
      </c>
      <c r="F43" s="1">
        <f>B43-C43-D43-E43</f>
        <v/>
      </c>
      <c r="G43" s="1">
        <f>C43+D43+E43-(IF(1&lt;=Supuestos!$J$29,Supuestos!$B$19*Supuestos!$B$29*(1+Supuestos!$B$8)^0,0)+IF(1&lt;=Supuestos!$B$22,Supuestos!$B$20*Supuestos!$D$29*(1+Supuestos!$B$8)^0,0))</f>
        <v/>
      </c>
      <c r="H43" s="1">
        <f>IF(1&lt;=Supuestos!$J$29,$C$38*$B$39*((1-Supuestos!$B$11)*(1-Supuestos!$B$12)^0)*Supuestos!$I$29*(1+Supuestos!$B$9)^0,0)</f>
        <v/>
      </c>
      <c r="I43" s="1">
        <f>IF(1&lt;=Supuestos!$B$22,D43*Supuestos!$K$29,0)</f>
        <v/>
      </c>
      <c r="J43" s="1">
        <f>C43+D43+E43-H43-I43</f>
        <v/>
      </c>
      <c r="K43" s="1">
        <f>H43+I43-(IF(1&lt;=Supuestos!$J$29,Supuestos!$B$19*Supuestos!$B$29*(1+Supuestos!$B$8)^0,0)+IF(1&lt;=Supuestos!$B$22,Supuestos!$B$20*Supuestos!$D$29*(1+Supuestos!$B$8)^0,0))-H43*Supuestos!$B$21</f>
        <v/>
      </c>
      <c r="L43" s="1">
        <f>L42+G43</f>
        <v/>
      </c>
      <c r="M43" s="1">
        <f>M42+J43</f>
        <v/>
      </c>
    </row>
    <row r="44">
      <c r="A44" t="n">
        <v>2</v>
      </c>
      <c r="B44" s="1">
        <f>$E$38*$B$39*(1+Supuestos!$B$8)^2</f>
        <v/>
      </c>
      <c r="C44" s="1">
        <f>$F$38*$B$39*(1+Supuestos!$B$8)^2*((1-Supuestos!$B$11)*(1-Supuestos!$B$12)^1)</f>
        <v/>
      </c>
      <c r="D44" s="1">
        <f>$G$38*$B$39*(1+Supuestos!$B$8)^2*(1-Supuestos!$B$13)^2*Supuestos!$B$10</f>
        <v/>
      </c>
      <c r="E44" s="1">
        <f>$H$38*$B$39*(1+Supuestos!$B$8)^2</f>
        <v/>
      </c>
      <c r="F44" s="1">
        <f>B44-C44-D44-E44</f>
        <v/>
      </c>
      <c r="G44" s="1">
        <f>C44+D44+E44-(IF(2&lt;=Supuestos!$J$29,Supuestos!$B$19*Supuestos!$B$29*(1+Supuestos!$B$8)^1,0)+IF(2&lt;=Supuestos!$B$22,Supuestos!$B$20*Supuestos!$D$29*(1+Supuestos!$B$8)^1,0))</f>
        <v/>
      </c>
      <c r="H44" s="1">
        <f>IF(2&lt;=Supuestos!$J$29,$C$38*$B$39*((1-Supuestos!$B$11)*(1-Supuestos!$B$12)^1)*Supuestos!$I$29*(1+Supuestos!$B$9)^1,0)</f>
        <v/>
      </c>
      <c r="I44" s="1">
        <f>IF(2&lt;=Supuestos!$B$22,D44*Supuestos!$K$29,0)</f>
        <v/>
      </c>
      <c r="J44" s="1">
        <f>C44+D44+E44-H44-I44</f>
        <v/>
      </c>
      <c r="K44" s="1">
        <f>H44+I44-(IF(2&lt;=Supuestos!$J$29,Supuestos!$B$19*Supuestos!$B$29*(1+Supuestos!$B$8)^1,0)+IF(2&lt;=Supuestos!$B$22,Supuestos!$B$20*Supuestos!$D$29*(1+Supuestos!$B$8)^1,0))-H44*Supuestos!$B$21</f>
        <v/>
      </c>
      <c r="L44" s="1">
        <f>L43+G44</f>
        <v/>
      </c>
      <c r="M44" s="1">
        <f>M43+J44</f>
        <v/>
      </c>
    </row>
    <row r="45">
      <c r="A45" t="n">
        <v>3</v>
      </c>
      <c r="B45" s="1">
        <f>$E$38*$B$39*(1+Supuestos!$B$8)^3</f>
        <v/>
      </c>
      <c r="C45" s="1">
        <f>$F$38*$B$39*(1+Supuestos!$B$8)^3*((1-Supuestos!$B$11)*(1-Supuestos!$B$12)^2)</f>
        <v/>
      </c>
      <c r="D45" s="1">
        <f>$G$38*$B$39*(1+Supuestos!$B$8)^3*(1-Supuestos!$B$13)^3*Supuestos!$B$10</f>
        <v/>
      </c>
      <c r="E45" s="1">
        <f>$H$38*$B$39*(1+Supuestos!$B$8)^3</f>
        <v/>
      </c>
      <c r="F45" s="1">
        <f>B45-C45-D45-E45</f>
        <v/>
      </c>
      <c r="G45" s="1">
        <f>C45+D45+E45-(IF(3&lt;=Supuestos!$J$29,Supuestos!$B$19*Supuestos!$B$29*(1+Supuestos!$B$8)^2,0)+IF(3&lt;=Supuestos!$B$22,Supuestos!$B$20*Supuestos!$D$29*(1+Supuestos!$B$8)^2,0))</f>
        <v/>
      </c>
      <c r="H45" s="1">
        <f>IF(3&lt;=Supuestos!$J$29,$C$38*$B$39*((1-Supuestos!$B$11)*(1-Supuestos!$B$12)^2)*Supuestos!$I$29*(1+Supuestos!$B$9)^2,0)</f>
        <v/>
      </c>
      <c r="I45" s="1">
        <f>IF(3&lt;=Supuestos!$B$22,D45*Supuestos!$K$29,0)</f>
        <v/>
      </c>
      <c r="J45" s="1">
        <f>C45+D45+E45-H45-I45</f>
        <v/>
      </c>
      <c r="K45" s="1">
        <f>H45+I45-(IF(3&lt;=Supuestos!$J$29,Supuestos!$B$19*Supuestos!$B$29*(1+Supuestos!$B$8)^2,0)+IF(3&lt;=Supuestos!$B$22,Supuestos!$B$20*Supuestos!$D$29*(1+Supuestos!$B$8)^2,0))-H45*Supuestos!$B$21</f>
        <v/>
      </c>
      <c r="L45" s="1">
        <f>L44+G45</f>
        <v/>
      </c>
      <c r="M45" s="1">
        <f>M44+J45</f>
        <v/>
      </c>
    </row>
    <row r="46">
      <c r="A46" t="n">
        <v>4</v>
      </c>
      <c r="B46" s="1">
        <f>$E$38*$B$39*(1+Supuestos!$B$8)^4</f>
        <v/>
      </c>
      <c r="C46" s="1">
        <f>$F$38*$B$39*(1+Supuestos!$B$8)^4*((1-Supuestos!$B$11)*(1-Supuestos!$B$12)^3)</f>
        <v/>
      </c>
      <c r="D46" s="1">
        <f>$G$38*$B$39*(1+Supuestos!$B$8)^4*(1-Supuestos!$B$13)^4*Supuestos!$B$10</f>
        <v/>
      </c>
      <c r="E46" s="1">
        <f>$H$38*$B$39*(1+Supuestos!$B$8)^4</f>
        <v/>
      </c>
      <c r="F46" s="1">
        <f>B46-C46-D46-E46</f>
        <v/>
      </c>
      <c r="G46" s="1">
        <f>C46+D46+E46-(IF(4&lt;=Supuestos!$J$29,Supuestos!$B$19*Supuestos!$B$29*(1+Supuestos!$B$8)^3,0)+IF(4&lt;=Supuestos!$B$22,Supuestos!$B$20*Supuestos!$D$29*(1+Supuestos!$B$8)^3,0))</f>
        <v/>
      </c>
      <c r="H46" s="1">
        <f>IF(4&lt;=Supuestos!$J$29,$C$38*$B$39*((1-Supuestos!$B$11)*(1-Supuestos!$B$12)^3)*Supuestos!$I$29*(1+Supuestos!$B$9)^3,0)</f>
        <v/>
      </c>
      <c r="I46" s="1">
        <f>IF(4&lt;=Supuestos!$B$22,D46*Supuestos!$K$29,0)</f>
        <v/>
      </c>
      <c r="J46" s="1">
        <f>C46+D46+E46-H46-I46</f>
        <v/>
      </c>
      <c r="K46" s="1">
        <f>H46+I46-(IF(4&lt;=Supuestos!$J$29,Supuestos!$B$19*Supuestos!$B$29*(1+Supuestos!$B$8)^3,0)+IF(4&lt;=Supuestos!$B$22,Supuestos!$B$20*Supuestos!$D$29*(1+Supuestos!$B$8)^3,0))-H46*Supuestos!$B$21</f>
        <v/>
      </c>
      <c r="L46" s="1">
        <f>L45+G46</f>
        <v/>
      </c>
      <c r="M46" s="1">
        <f>M45+J46</f>
        <v/>
      </c>
    </row>
    <row r="47">
      <c r="A47" t="n">
        <v>5</v>
      </c>
      <c r="B47" s="1">
        <f>$E$38*$B$39*(1+Supuestos!$B$8)^5</f>
        <v/>
      </c>
      <c r="C47" s="1">
        <f>$F$38*$B$39*(1+Supuestos!$B$8)^5*((1-Supuestos!$B$11)*(1-Supuestos!$B$12)^4)</f>
        <v/>
      </c>
      <c r="D47" s="1">
        <f>$G$38*$B$39*(1+Supuestos!$B$8)^5*(1-Supuestos!$B$13)^5*Supuestos!$B$10</f>
        <v/>
      </c>
      <c r="E47" s="1">
        <f>$H$38*$B$39*(1+Supuestos!$B$8)^5</f>
        <v/>
      </c>
      <c r="F47" s="1">
        <f>B47-C47-D47-E47</f>
        <v/>
      </c>
      <c r="G47" s="1">
        <f>C47+D47+E47-(IF(5&lt;=Supuestos!$J$29,Supuestos!$B$19*Supuestos!$B$29*(1+Supuestos!$B$8)^4,0)+IF(5&lt;=Supuestos!$B$22,Supuestos!$B$20*Supuestos!$D$29*(1+Supuestos!$B$8)^4,0))</f>
        <v/>
      </c>
      <c r="H47" s="1">
        <f>IF(5&lt;=Supuestos!$J$29,$C$38*$B$39*((1-Supuestos!$B$11)*(1-Supuestos!$B$12)^4)*Supuestos!$I$29*(1+Supuestos!$B$9)^4,0)</f>
        <v/>
      </c>
      <c r="I47" s="1">
        <f>IF(5&lt;=Supuestos!$B$22,D47*Supuestos!$K$29,0)</f>
        <v/>
      </c>
      <c r="J47" s="1">
        <f>C47+D47+E47-H47-I47</f>
        <v/>
      </c>
      <c r="K47" s="1">
        <f>H47+I47-(IF(5&lt;=Supuestos!$J$29,Supuestos!$B$19*Supuestos!$B$29*(1+Supuestos!$B$8)^4,0)+IF(5&lt;=Supuestos!$B$22,Supuestos!$B$20*Supuestos!$D$29*(1+Supuestos!$B$8)^4,0))-H47*Supuestos!$B$21</f>
        <v/>
      </c>
      <c r="L47" s="1">
        <f>L46+G47</f>
        <v/>
      </c>
      <c r="M47" s="1">
        <f>M46+J47</f>
        <v/>
      </c>
    </row>
    <row r="48">
      <c r="A48" t="n">
        <v>6</v>
      </c>
      <c r="B48" s="1">
        <f>$E$38*$B$39*(1+Supuestos!$B$8)^6</f>
        <v/>
      </c>
      <c r="C48" s="1">
        <f>$F$38*$B$39*(1+Supuestos!$B$8)^6*((1-Supuestos!$B$11)*(1-Supuestos!$B$12)^5)</f>
        <v/>
      </c>
      <c r="D48" s="1">
        <f>$G$38*$B$39*(1+Supuestos!$B$8)^6*(1-Supuestos!$B$13)^6*Supuestos!$B$10</f>
        <v/>
      </c>
      <c r="E48" s="1">
        <f>$H$38*$B$39*(1+Supuestos!$B$8)^6</f>
        <v/>
      </c>
      <c r="F48" s="1">
        <f>B48-C48-D48-E48</f>
        <v/>
      </c>
      <c r="G48" s="1">
        <f>C48+D48+E48-(IF(6&lt;=Supuestos!$J$29,Supuestos!$B$19*Supuestos!$B$29*(1+Supuestos!$B$8)^5,0)+IF(6&lt;=Supuestos!$B$22,Supuestos!$B$20*Supuestos!$D$29*(1+Supuestos!$B$8)^5,0))</f>
        <v/>
      </c>
      <c r="H48" s="1">
        <f>IF(6&lt;=Supuestos!$J$29,$C$38*$B$39*((1-Supuestos!$B$11)*(1-Supuestos!$B$12)^5)*Supuestos!$I$29*(1+Supuestos!$B$9)^5,0)</f>
        <v/>
      </c>
      <c r="I48" s="1">
        <f>IF(6&lt;=Supuestos!$B$22,D48*Supuestos!$K$29,0)</f>
        <v/>
      </c>
      <c r="J48" s="1">
        <f>C48+D48+E48-H48-I48</f>
        <v/>
      </c>
      <c r="K48" s="1">
        <f>H48+I48-(IF(6&lt;=Supuestos!$J$29,Supuestos!$B$19*Supuestos!$B$29*(1+Supuestos!$B$8)^5,0)+IF(6&lt;=Supuestos!$B$22,Supuestos!$B$20*Supuestos!$D$29*(1+Supuestos!$B$8)^5,0))-H48*Supuestos!$B$21</f>
        <v/>
      </c>
      <c r="L48" s="1">
        <f>L47+G48</f>
        <v/>
      </c>
      <c r="M48" s="1">
        <f>M47+J48</f>
        <v/>
      </c>
    </row>
    <row r="49">
      <c r="A49" t="n">
        <v>7</v>
      </c>
      <c r="B49" s="1">
        <f>$E$38*$B$39*(1+Supuestos!$B$8)^7</f>
        <v/>
      </c>
      <c r="C49" s="1">
        <f>$F$38*$B$39*(1+Supuestos!$B$8)^7*((1-Supuestos!$B$11)*(1-Supuestos!$B$12)^6)</f>
        <v/>
      </c>
      <c r="D49" s="1">
        <f>$G$38*$B$39*(1+Supuestos!$B$8)^7*(1-Supuestos!$B$13)^7*Supuestos!$B$10</f>
        <v/>
      </c>
      <c r="E49" s="1">
        <f>$H$38*$B$39*(1+Supuestos!$B$8)^7</f>
        <v/>
      </c>
      <c r="F49" s="1">
        <f>B49-C49-D49-E49</f>
        <v/>
      </c>
      <c r="G49" s="1">
        <f>C49+D49+E49-(IF(7&lt;=Supuestos!$J$29,Supuestos!$B$19*Supuestos!$B$29*(1+Supuestos!$B$8)^6,0)+IF(7&lt;=Supuestos!$B$22,Supuestos!$B$20*Supuestos!$D$29*(1+Supuestos!$B$8)^6,0))</f>
        <v/>
      </c>
      <c r="H49" s="1">
        <f>IF(7&lt;=Supuestos!$J$29,$C$38*$B$39*((1-Supuestos!$B$11)*(1-Supuestos!$B$12)^6)*Supuestos!$I$29*(1+Supuestos!$B$9)^6,0)</f>
        <v/>
      </c>
      <c r="I49" s="1">
        <f>IF(7&lt;=Supuestos!$B$22,D49*Supuestos!$K$29,0)</f>
        <v/>
      </c>
      <c r="J49" s="1">
        <f>C49+D49+E49-H49-I49</f>
        <v/>
      </c>
      <c r="K49" s="1">
        <f>H49+I49-(IF(7&lt;=Supuestos!$J$29,Supuestos!$B$19*Supuestos!$B$29*(1+Supuestos!$B$8)^6,0)+IF(7&lt;=Supuestos!$B$22,Supuestos!$B$20*Supuestos!$D$29*(1+Supuestos!$B$8)^6,0))-H49*Supuestos!$B$21</f>
        <v/>
      </c>
      <c r="L49" s="1">
        <f>L48+G49</f>
        <v/>
      </c>
      <c r="M49" s="1">
        <f>M48+J49</f>
        <v/>
      </c>
    </row>
    <row r="50">
      <c r="A50" t="n">
        <v>8</v>
      </c>
      <c r="B50" s="1">
        <f>$E$38*$B$39*(1+Supuestos!$B$8)^8</f>
        <v/>
      </c>
      <c r="C50" s="1">
        <f>$F$38*$B$39*(1+Supuestos!$B$8)^8*((1-Supuestos!$B$11)*(1-Supuestos!$B$12)^7)</f>
        <v/>
      </c>
      <c r="D50" s="1">
        <f>$G$38*$B$39*(1+Supuestos!$B$8)^8*(1-Supuestos!$B$13)^8*Supuestos!$B$10</f>
        <v/>
      </c>
      <c r="E50" s="1">
        <f>$H$38*$B$39*(1+Supuestos!$B$8)^8</f>
        <v/>
      </c>
      <c r="F50" s="1">
        <f>B50-C50-D50-E50</f>
        <v/>
      </c>
      <c r="G50" s="1">
        <f>C50+D50+E50-(IF(8&lt;=Supuestos!$J$29,Supuestos!$B$19*Supuestos!$B$29*(1+Supuestos!$B$8)^7,0)+IF(8&lt;=Supuestos!$B$22,Supuestos!$B$20*Supuestos!$D$29*(1+Supuestos!$B$8)^7,0))</f>
        <v/>
      </c>
      <c r="H50" s="1">
        <f>IF(8&lt;=Supuestos!$J$29,$C$38*$B$39*((1-Supuestos!$B$11)*(1-Supuestos!$B$12)^7)*Supuestos!$I$29*(1+Supuestos!$B$9)^7,0)</f>
        <v/>
      </c>
      <c r="I50" s="1">
        <f>IF(8&lt;=Supuestos!$B$22,D50*Supuestos!$K$29,0)</f>
        <v/>
      </c>
      <c r="J50" s="1">
        <f>C50+D50+E50-H50-I50</f>
        <v/>
      </c>
      <c r="K50" s="1">
        <f>H50+I50-(IF(8&lt;=Supuestos!$J$29,Supuestos!$B$19*Supuestos!$B$29*(1+Supuestos!$B$8)^7,0)+IF(8&lt;=Supuestos!$B$22,Supuestos!$B$20*Supuestos!$D$29*(1+Supuestos!$B$8)^7,0))-H50*Supuestos!$B$21</f>
        <v/>
      </c>
      <c r="L50" s="1">
        <f>L49+G50</f>
        <v/>
      </c>
      <c r="M50" s="1">
        <f>M49+J50</f>
        <v/>
      </c>
    </row>
    <row r="51">
      <c r="A51" t="n">
        <v>9</v>
      </c>
      <c r="B51" s="1">
        <f>$E$38*$B$39*(1+Supuestos!$B$8)^9</f>
        <v/>
      </c>
      <c r="C51" s="1">
        <f>$F$38*$B$39*(1+Supuestos!$B$8)^9*((1-Supuestos!$B$11)*(1-Supuestos!$B$12)^8)</f>
        <v/>
      </c>
      <c r="D51" s="1">
        <f>$G$38*$B$39*(1+Supuestos!$B$8)^9*(1-Supuestos!$B$13)^9*Supuestos!$B$10</f>
        <v/>
      </c>
      <c r="E51" s="1">
        <f>$H$38*$B$39*(1+Supuestos!$B$8)^9</f>
        <v/>
      </c>
      <c r="F51" s="1">
        <f>B51-C51-D51-E51</f>
        <v/>
      </c>
      <c r="G51" s="1">
        <f>C51+D51+E51-(IF(9&lt;=Supuestos!$J$29,Supuestos!$B$19*Supuestos!$B$29*(1+Supuestos!$B$8)^8,0)+IF(9&lt;=Supuestos!$B$22,Supuestos!$B$20*Supuestos!$D$29*(1+Supuestos!$B$8)^8,0))</f>
        <v/>
      </c>
      <c r="H51" s="1">
        <f>IF(9&lt;=Supuestos!$J$29,$C$38*$B$39*((1-Supuestos!$B$11)*(1-Supuestos!$B$12)^8)*Supuestos!$I$29*(1+Supuestos!$B$9)^8,0)</f>
        <v/>
      </c>
      <c r="I51" s="1">
        <f>IF(9&lt;=Supuestos!$B$22,D51*Supuestos!$K$29,0)</f>
        <v/>
      </c>
      <c r="J51" s="1">
        <f>C51+D51+E51-H51-I51</f>
        <v/>
      </c>
      <c r="K51" s="1">
        <f>H51+I51-(IF(9&lt;=Supuestos!$J$29,Supuestos!$B$19*Supuestos!$B$29*(1+Supuestos!$B$8)^8,0)+IF(9&lt;=Supuestos!$B$22,Supuestos!$B$20*Supuestos!$D$29*(1+Supuestos!$B$8)^8,0))-H51*Supuestos!$B$21</f>
        <v/>
      </c>
      <c r="L51" s="1">
        <f>L50+G51</f>
        <v/>
      </c>
      <c r="M51" s="1">
        <f>M50+J51</f>
        <v/>
      </c>
    </row>
    <row r="52">
      <c r="A52" t="n">
        <v>10</v>
      </c>
      <c r="B52" s="1">
        <f>$E$38*$B$39*(1+Supuestos!$B$8)^10</f>
        <v/>
      </c>
      <c r="C52" s="1">
        <f>$F$38*$B$39*(1+Supuestos!$B$8)^10*((1-Supuestos!$B$11)*(1-Supuestos!$B$12)^9)</f>
        <v/>
      </c>
      <c r="D52" s="1">
        <f>$G$38*$B$39*(1+Supuestos!$B$8)^10*(1-Supuestos!$B$13)^10*Supuestos!$B$10</f>
        <v/>
      </c>
      <c r="E52" s="1">
        <f>$H$38*$B$39*(1+Supuestos!$B$8)^10</f>
        <v/>
      </c>
      <c r="F52" s="1">
        <f>B52-C52-D52-E52</f>
        <v/>
      </c>
      <c r="G52" s="1">
        <f>C52+D52+E52-(IF(10&lt;=Supuestos!$J$29,Supuestos!$B$19*Supuestos!$B$29*(1+Supuestos!$B$8)^9,0)+IF(10&lt;=Supuestos!$B$22,Supuestos!$B$20*Supuestos!$D$29*(1+Supuestos!$B$8)^9,0))</f>
        <v/>
      </c>
      <c r="H52" s="1">
        <f>IF(10&lt;=Supuestos!$J$29,$C$38*$B$39*((1-Supuestos!$B$11)*(1-Supuestos!$B$12)^9)*Supuestos!$I$29*(1+Supuestos!$B$9)^9,0)</f>
        <v/>
      </c>
      <c r="I52" s="1">
        <f>IF(10&lt;=Supuestos!$B$22,D52*Supuestos!$K$29,0)</f>
        <v/>
      </c>
      <c r="J52" s="1">
        <f>C52+D52+E52-H52-I52</f>
        <v/>
      </c>
      <c r="K52" s="1">
        <f>H52+I52-(IF(10&lt;=Supuestos!$J$29,Supuestos!$B$19*Supuestos!$B$29*(1+Supuestos!$B$8)^9,0)+IF(10&lt;=Supuestos!$B$22,Supuestos!$B$20*Supuestos!$D$29*(1+Supuestos!$B$8)^9,0))-H52*Supuestos!$B$21</f>
        <v/>
      </c>
      <c r="L52" s="1">
        <f>L51+G52</f>
        <v/>
      </c>
      <c r="M52" s="1">
        <f>M51+J52</f>
        <v/>
      </c>
    </row>
    <row r="53">
      <c r="A53" t="n">
        <v>11</v>
      </c>
      <c r="B53" s="1">
        <f>$E$38*$B$39*(1+Supuestos!$B$8)^11</f>
        <v/>
      </c>
      <c r="C53" s="1">
        <f>$F$38*$B$39*(1+Supuestos!$B$8)^11*((1-Supuestos!$B$11)*(1-Supuestos!$B$12)^10)</f>
        <v/>
      </c>
      <c r="D53" s="1">
        <f>$G$38*$B$39*(1+Supuestos!$B$8)^11*(1-Supuestos!$B$13)^11*Supuestos!$B$10</f>
        <v/>
      </c>
      <c r="E53" s="1">
        <f>$H$38*$B$39*(1+Supuestos!$B$8)^11</f>
        <v/>
      </c>
      <c r="F53" s="1">
        <f>B53-C53-D53-E53</f>
        <v/>
      </c>
      <c r="G53" s="1">
        <f>C53+D53+E53-(IF(11&lt;=Supuestos!$J$29,Supuestos!$B$19*Supuestos!$B$29*(1+Supuestos!$B$8)^10,0)+IF(11&lt;=Supuestos!$B$22,Supuestos!$B$20*Supuestos!$D$29*(1+Supuestos!$B$8)^10,0))</f>
        <v/>
      </c>
      <c r="H53" s="1">
        <f>IF(11&lt;=Supuestos!$J$29,$C$38*$B$39*((1-Supuestos!$B$11)*(1-Supuestos!$B$12)^10)*Supuestos!$I$29*(1+Supuestos!$B$9)^10,0)</f>
        <v/>
      </c>
      <c r="I53" s="1">
        <f>IF(11&lt;=Supuestos!$B$22,D53*Supuestos!$K$29,0)</f>
        <v/>
      </c>
      <c r="J53" s="1">
        <f>C53+D53+E53-H53-I53</f>
        <v/>
      </c>
      <c r="K53" s="1">
        <f>H53+I53-(IF(11&lt;=Supuestos!$J$29,Supuestos!$B$19*Supuestos!$B$29*(1+Supuestos!$B$8)^10,0)+IF(11&lt;=Supuestos!$B$22,Supuestos!$B$20*Supuestos!$D$29*(1+Supuestos!$B$8)^10,0))-H53*Supuestos!$B$21</f>
        <v/>
      </c>
      <c r="L53" s="1">
        <f>L52+G53</f>
        <v/>
      </c>
      <c r="M53" s="1">
        <f>M52+J53</f>
        <v/>
      </c>
    </row>
    <row r="54">
      <c r="A54" t="n">
        <v>12</v>
      </c>
      <c r="B54" s="1">
        <f>$E$38*$B$39*(1+Supuestos!$B$8)^12</f>
        <v/>
      </c>
      <c r="C54" s="1">
        <f>$F$38*$B$39*(1+Supuestos!$B$8)^12*((1-Supuestos!$B$11)*(1-Supuestos!$B$12)^11)</f>
        <v/>
      </c>
      <c r="D54" s="1">
        <f>$G$38*$B$39*(1+Supuestos!$B$8)^12*(1-Supuestos!$B$13)^12*Supuestos!$B$10</f>
        <v/>
      </c>
      <c r="E54" s="1">
        <f>$H$38*$B$39*(1+Supuestos!$B$8)^12</f>
        <v/>
      </c>
      <c r="F54" s="1">
        <f>B54-C54-D54-E54</f>
        <v/>
      </c>
      <c r="G54" s="1">
        <f>C54+D54+E54-(IF(12&lt;=Supuestos!$J$29,Supuestos!$B$19*Supuestos!$B$29*(1+Supuestos!$B$8)^11,0)+IF(12&lt;=Supuestos!$B$22,Supuestos!$B$20*Supuestos!$D$29*(1+Supuestos!$B$8)^11,0))</f>
        <v/>
      </c>
      <c r="H54" s="1">
        <f>IF(12&lt;=Supuestos!$J$29,$C$38*$B$39*((1-Supuestos!$B$11)*(1-Supuestos!$B$12)^11)*Supuestos!$I$29*(1+Supuestos!$B$9)^11,0)</f>
        <v/>
      </c>
      <c r="I54" s="1">
        <f>IF(12&lt;=Supuestos!$B$22,D54*Supuestos!$K$29,0)</f>
        <v/>
      </c>
      <c r="J54" s="1">
        <f>C54+D54+E54-H54-I54</f>
        <v/>
      </c>
      <c r="K54" s="1">
        <f>H54+I54-(IF(12&lt;=Supuestos!$J$29,Supuestos!$B$19*Supuestos!$B$29*(1+Supuestos!$B$8)^11,0)+IF(12&lt;=Supuestos!$B$22,Supuestos!$B$20*Supuestos!$D$29*(1+Supuestos!$B$8)^11,0))-H54*Supuestos!$B$21</f>
        <v/>
      </c>
      <c r="L54" s="1">
        <f>L53+G54</f>
        <v/>
      </c>
      <c r="M54" s="1">
        <f>M53+J54</f>
        <v/>
      </c>
    </row>
    <row r="55">
      <c r="A55" t="n">
        <v>13</v>
      </c>
      <c r="B55" s="1">
        <f>$E$38*$B$39*(1+Supuestos!$B$8)^13</f>
        <v/>
      </c>
      <c r="C55" s="1">
        <f>$F$38*$B$39*(1+Supuestos!$B$8)^13*((1-Supuestos!$B$11)*(1-Supuestos!$B$12)^12)</f>
        <v/>
      </c>
      <c r="D55" s="1">
        <f>$G$38*$B$39*(1+Supuestos!$B$8)^13*(1-Supuestos!$B$13)^13*Supuestos!$B$10</f>
        <v/>
      </c>
      <c r="E55" s="1">
        <f>$H$38*$B$39*(1+Supuestos!$B$8)^13</f>
        <v/>
      </c>
      <c r="F55" s="1">
        <f>B55-C55-D55-E55</f>
        <v/>
      </c>
      <c r="G55" s="1">
        <f>C55+D55+E55-(IF(13&lt;=Supuestos!$J$29,Supuestos!$B$19*Supuestos!$B$29*(1+Supuestos!$B$8)^12,0)+IF(13&lt;=Supuestos!$B$22,Supuestos!$B$20*Supuestos!$D$29*(1+Supuestos!$B$8)^12,0))</f>
        <v/>
      </c>
      <c r="H55" s="1">
        <f>IF(13&lt;=Supuestos!$J$29,$C$38*$B$39*((1-Supuestos!$B$11)*(1-Supuestos!$B$12)^12)*Supuestos!$I$29*(1+Supuestos!$B$9)^12,0)</f>
        <v/>
      </c>
      <c r="I55" s="1">
        <f>IF(13&lt;=Supuestos!$B$22,D55*Supuestos!$K$29,0)</f>
        <v/>
      </c>
      <c r="J55" s="1">
        <f>C55+D55+E55-H55-I55</f>
        <v/>
      </c>
      <c r="K55" s="1">
        <f>H55+I55-(IF(13&lt;=Supuestos!$J$29,Supuestos!$B$19*Supuestos!$B$29*(1+Supuestos!$B$8)^12,0)+IF(13&lt;=Supuestos!$B$22,Supuestos!$B$20*Supuestos!$D$29*(1+Supuestos!$B$8)^12,0))-H55*Supuestos!$B$21</f>
        <v/>
      </c>
      <c r="L55" s="1">
        <f>L54+G55</f>
        <v/>
      </c>
      <c r="M55" s="1">
        <f>M54+J55</f>
        <v/>
      </c>
    </row>
    <row r="56">
      <c r="A56" t="n">
        <v>14</v>
      </c>
      <c r="B56" s="1">
        <f>$E$38*$B$39*(1+Supuestos!$B$8)^14</f>
        <v/>
      </c>
      <c r="C56" s="1">
        <f>$F$38*$B$39*(1+Supuestos!$B$8)^14*((1-Supuestos!$B$11)*(1-Supuestos!$B$12)^13)</f>
        <v/>
      </c>
      <c r="D56" s="1">
        <f>$G$38*$B$39*(1+Supuestos!$B$8)^14*(1-Supuestos!$B$13)^14*Supuestos!$B$10</f>
        <v/>
      </c>
      <c r="E56" s="1">
        <f>$H$38*$B$39*(1+Supuestos!$B$8)^14</f>
        <v/>
      </c>
      <c r="F56" s="1">
        <f>B56-C56-D56-E56</f>
        <v/>
      </c>
      <c r="G56" s="1">
        <f>C56+D56+E56-(IF(14&lt;=Supuestos!$J$29,Supuestos!$B$19*Supuestos!$B$29*(1+Supuestos!$B$8)^13,0)+IF(14&lt;=Supuestos!$B$22,Supuestos!$B$20*Supuestos!$D$29*(1+Supuestos!$B$8)^13,0))</f>
        <v/>
      </c>
      <c r="H56" s="1">
        <f>IF(14&lt;=Supuestos!$J$29,$C$38*$B$39*((1-Supuestos!$B$11)*(1-Supuestos!$B$12)^13)*Supuestos!$I$29*(1+Supuestos!$B$9)^13,0)</f>
        <v/>
      </c>
      <c r="I56" s="1">
        <f>IF(14&lt;=Supuestos!$B$22,D56*Supuestos!$K$29,0)</f>
        <v/>
      </c>
      <c r="J56" s="1">
        <f>C56+D56+E56-H56-I56</f>
        <v/>
      </c>
      <c r="K56" s="1">
        <f>H56+I56-(IF(14&lt;=Supuestos!$J$29,Supuestos!$B$19*Supuestos!$B$29*(1+Supuestos!$B$8)^13,0)+IF(14&lt;=Supuestos!$B$22,Supuestos!$B$20*Supuestos!$D$29*(1+Supuestos!$B$8)^13,0))-H56*Supuestos!$B$21</f>
        <v/>
      </c>
      <c r="L56" s="1">
        <f>L55+G56</f>
        <v/>
      </c>
      <c r="M56" s="1">
        <f>M55+J56</f>
        <v/>
      </c>
    </row>
    <row r="57">
      <c r="A57" t="n">
        <v>15</v>
      </c>
      <c r="B57" s="1">
        <f>$E$38*$B$39*(1+Supuestos!$B$8)^15</f>
        <v/>
      </c>
      <c r="C57" s="1">
        <f>$F$38*$B$39*(1+Supuestos!$B$8)^15*((1-Supuestos!$B$11)*(1-Supuestos!$B$12)^14)</f>
        <v/>
      </c>
      <c r="D57" s="1">
        <f>$G$38*$B$39*(1+Supuestos!$B$8)^15*(1-Supuestos!$B$13)^15*Supuestos!$B$10</f>
        <v/>
      </c>
      <c r="E57" s="1">
        <f>$H$38*$B$39*(1+Supuestos!$B$8)^15</f>
        <v/>
      </c>
      <c r="F57" s="1">
        <f>B57-C57-D57-E57</f>
        <v/>
      </c>
      <c r="G57" s="1">
        <f>C57+D57+E57-(IF(15&lt;=Supuestos!$J$29,Supuestos!$B$19*Supuestos!$B$29*(1+Supuestos!$B$8)^14,0)+IF(15&lt;=Supuestos!$B$22,Supuestos!$B$20*Supuestos!$D$29*(1+Supuestos!$B$8)^14,0))</f>
        <v/>
      </c>
      <c r="H57" s="1">
        <f>IF(15&lt;=Supuestos!$J$29,$C$38*$B$39*((1-Supuestos!$B$11)*(1-Supuestos!$B$12)^14)*Supuestos!$I$29*(1+Supuestos!$B$9)^14,0)</f>
        <v/>
      </c>
      <c r="I57" s="1">
        <f>IF(15&lt;=Supuestos!$B$22,D57*Supuestos!$K$29,0)</f>
        <v/>
      </c>
      <c r="J57" s="1">
        <f>C57+D57+E57-H57-I57</f>
        <v/>
      </c>
      <c r="K57" s="1">
        <f>H57+I57-(IF(15&lt;=Supuestos!$J$29,Supuestos!$B$19*Supuestos!$B$29*(1+Supuestos!$B$8)^14,0)+IF(15&lt;=Supuestos!$B$22,Supuestos!$B$20*Supuestos!$D$29*(1+Supuestos!$B$8)^14,0))-H57*Supuestos!$B$21</f>
        <v/>
      </c>
      <c r="L57" s="1">
        <f>L56+G57</f>
        <v/>
      </c>
      <c r="M57" s="1">
        <f>M56+J57</f>
        <v/>
      </c>
    </row>
    <row r="58">
      <c r="A58" t="n">
        <v>16</v>
      </c>
      <c r="B58" s="1">
        <f>$E$38*$B$39*(1+Supuestos!$B$8)^16</f>
        <v/>
      </c>
      <c r="C58" s="1">
        <f>$F$38*$B$39*(1+Supuestos!$B$8)^16*((1-Supuestos!$B$11)*(1-Supuestos!$B$12)^15)</f>
        <v/>
      </c>
      <c r="D58" s="1">
        <f>$G$38*$B$39*(1+Supuestos!$B$8)^16*(1-Supuestos!$B$13)^16*Supuestos!$B$10</f>
        <v/>
      </c>
      <c r="E58" s="1">
        <f>$H$38*$B$39*(1+Supuestos!$B$8)^16</f>
        <v/>
      </c>
      <c r="F58" s="1">
        <f>B58-C58-D58-E58</f>
        <v/>
      </c>
      <c r="G58" s="1">
        <f>C58+D58+E58-(IF(16&lt;=Supuestos!$J$29,Supuestos!$B$19*Supuestos!$B$29*(1+Supuestos!$B$8)^15,0)+IF(16&lt;=Supuestos!$B$22,Supuestos!$B$20*Supuestos!$D$29*(1+Supuestos!$B$8)^15,0))</f>
        <v/>
      </c>
      <c r="H58" s="1">
        <f>IF(16&lt;=Supuestos!$J$29,$C$38*$B$39*((1-Supuestos!$B$11)*(1-Supuestos!$B$12)^15)*Supuestos!$I$29*(1+Supuestos!$B$9)^15,0)</f>
        <v/>
      </c>
      <c r="I58" s="1">
        <f>IF(16&lt;=Supuestos!$B$22,D58*Supuestos!$K$29,0)</f>
        <v/>
      </c>
      <c r="J58" s="1">
        <f>C58+D58+E58-H58-I58</f>
        <v/>
      </c>
      <c r="K58" s="1">
        <f>H58+I58-(IF(16&lt;=Supuestos!$J$29,Supuestos!$B$19*Supuestos!$B$29*(1+Supuestos!$B$8)^15,0)+IF(16&lt;=Supuestos!$B$22,Supuestos!$B$20*Supuestos!$D$29*(1+Supuestos!$B$8)^15,0))-H58*Supuestos!$B$21</f>
        <v/>
      </c>
      <c r="L58" s="1">
        <f>L57+G58</f>
        <v/>
      </c>
      <c r="M58" s="1">
        <f>M57+J58</f>
        <v/>
      </c>
    </row>
    <row r="59">
      <c r="A59" t="n">
        <v>17</v>
      </c>
      <c r="B59" s="1">
        <f>$E$38*$B$39*(1+Supuestos!$B$8)^17</f>
        <v/>
      </c>
      <c r="C59" s="1">
        <f>$F$38*$B$39*(1+Supuestos!$B$8)^17*((1-Supuestos!$B$11)*(1-Supuestos!$B$12)^16)</f>
        <v/>
      </c>
      <c r="D59" s="1">
        <f>$G$38*$B$39*(1+Supuestos!$B$8)^17*(1-Supuestos!$B$13)^17*Supuestos!$B$10</f>
        <v/>
      </c>
      <c r="E59" s="1">
        <f>$H$38*$B$39*(1+Supuestos!$B$8)^17</f>
        <v/>
      </c>
      <c r="F59" s="1">
        <f>B59-C59-D59-E59</f>
        <v/>
      </c>
      <c r="G59" s="1">
        <f>C59+D59+E59-(IF(17&lt;=Supuestos!$J$29,Supuestos!$B$19*Supuestos!$B$29*(1+Supuestos!$B$8)^16,0)+IF(17&lt;=Supuestos!$B$22,Supuestos!$B$20*Supuestos!$D$29*(1+Supuestos!$B$8)^16,0))</f>
        <v/>
      </c>
      <c r="H59" s="1">
        <f>IF(17&lt;=Supuestos!$J$29,$C$38*$B$39*((1-Supuestos!$B$11)*(1-Supuestos!$B$12)^16)*Supuestos!$I$29*(1+Supuestos!$B$9)^16,0)</f>
        <v/>
      </c>
      <c r="I59" s="1">
        <f>IF(17&lt;=Supuestos!$B$22,D59*Supuestos!$K$29,0)</f>
        <v/>
      </c>
      <c r="J59" s="1">
        <f>C59+D59+E59-H59-I59</f>
        <v/>
      </c>
      <c r="K59" s="1">
        <f>H59+I59-(IF(17&lt;=Supuestos!$J$29,Supuestos!$B$19*Supuestos!$B$29*(1+Supuestos!$B$8)^16,0)+IF(17&lt;=Supuestos!$B$22,Supuestos!$B$20*Supuestos!$D$29*(1+Supuestos!$B$8)^16,0))-H59*Supuestos!$B$21</f>
        <v/>
      </c>
      <c r="L59" s="1">
        <f>L58+G59</f>
        <v/>
      </c>
      <c r="M59" s="1">
        <f>M58+J59</f>
        <v/>
      </c>
    </row>
    <row r="60">
      <c r="A60" t="n">
        <v>18</v>
      </c>
      <c r="B60" s="1">
        <f>$E$38*$B$39*(1+Supuestos!$B$8)^18</f>
        <v/>
      </c>
      <c r="C60" s="1">
        <f>$F$38*$B$39*(1+Supuestos!$B$8)^18*((1-Supuestos!$B$11)*(1-Supuestos!$B$12)^17)</f>
        <v/>
      </c>
      <c r="D60" s="1">
        <f>$G$38*$B$39*(1+Supuestos!$B$8)^18*(1-Supuestos!$B$13)^18*Supuestos!$B$10</f>
        <v/>
      </c>
      <c r="E60" s="1">
        <f>$H$38*$B$39*(1+Supuestos!$B$8)^18</f>
        <v/>
      </c>
      <c r="F60" s="1">
        <f>B60-C60-D60-E60</f>
        <v/>
      </c>
      <c r="G60" s="1">
        <f>C60+D60+E60-(IF(18&lt;=Supuestos!$J$29,Supuestos!$B$19*Supuestos!$B$29*(1+Supuestos!$B$8)^17,0)+IF(18&lt;=Supuestos!$B$22,Supuestos!$B$20*Supuestos!$D$29*(1+Supuestos!$B$8)^17,0))</f>
        <v/>
      </c>
      <c r="H60" s="1">
        <f>IF(18&lt;=Supuestos!$J$29,$C$38*$B$39*((1-Supuestos!$B$11)*(1-Supuestos!$B$12)^17)*Supuestos!$I$29*(1+Supuestos!$B$9)^17,0)</f>
        <v/>
      </c>
      <c r="I60" s="1">
        <f>IF(18&lt;=Supuestos!$B$22,D60*Supuestos!$K$29,0)</f>
        <v/>
      </c>
      <c r="J60" s="1">
        <f>C60+D60+E60-H60-I60</f>
        <v/>
      </c>
      <c r="K60" s="1">
        <f>H60+I60-(IF(18&lt;=Supuestos!$J$29,Supuestos!$B$19*Supuestos!$B$29*(1+Supuestos!$B$8)^17,0)+IF(18&lt;=Supuestos!$B$22,Supuestos!$B$20*Supuestos!$D$29*(1+Supuestos!$B$8)^17,0))-H60*Supuestos!$B$21</f>
        <v/>
      </c>
      <c r="L60" s="1">
        <f>L59+G60</f>
        <v/>
      </c>
      <c r="M60" s="1">
        <f>M59+J60</f>
        <v/>
      </c>
    </row>
    <row r="61">
      <c r="A61" t="n">
        <v>19</v>
      </c>
      <c r="B61" s="1">
        <f>$E$38*$B$39*(1+Supuestos!$B$8)^19</f>
        <v/>
      </c>
      <c r="C61" s="1">
        <f>$F$38*$B$39*(1+Supuestos!$B$8)^19*((1-Supuestos!$B$11)*(1-Supuestos!$B$12)^18)</f>
        <v/>
      </c>
      <c r="D61" s="1">
        <f>$G$38*$B$39*(1+Supuestos!$B$8)^19*(1-Supuestos!$B$13)^19*Supuestos!$B$10</f>
        <v/>
      </c>
      <c r="E61" s="1">
        <f>$H$38*$B$39*(1+Supuestos!$B$8)^19</f>
        <v/>
      </c>
      <c r="F61" s="1">
        <f>B61-C61-D61-E61</f>
        <v/>
      </c>
      <c r="G61" s="1">
        <f>C61+D61+E61-(IF(19&lt;=Supuestos!$J$29,Supuestos!$B$19*Supuestos!$B$29*(1+Supuestos!$B$8)^18,0)+IF(19&lt;=Supuestos!$B$22,Supuestos!$B$20*Supuestos!$D$29*(1+Supuestos!$B$8)^18,0))</f>
        <v/>
      </c>
      <c r="H61" s="1">
        <f>IF(19&lt;=Supuestos!$J$29,$C$38*$B$39*((1-Supuestos!$B$11)*(1-Supuestos!$B$12)^18)*Supuestos!$I$29*(1+Supuestos!$B$9)^18,0)</f>
        <v/>
      </c>
      <c r="I61" s="1">
        <f>IF(19&lt;=Supuestos!$B$22,D61*Supuestos!$K$29,0)</f>
        <v/>
      </c>
      <c r="J61" s="1">
        <f>C61+D61+E61-H61-I61</f>
        <v/>
      </c>
      <c r="K61" s="1">
        <f>H61+I61-(IF(19&lt;=Supuestos!$J$29,Supuestos!$B$19*Supuestos!$B$29*(1+Supuestos!$B$8)^18,0)+IF(19&lt;=Supuestos!$B$22,Supuestos!$B$20*Supuestos!$D$29*(1+Supuestos!$B$8)^18,0))-H61*Supuestos!$B$21</f>
        <v/>
      </c>
      <c r="L61" s="1">
        <f>L60+G61</f>
        <v/>
      </c>
      <c r="M61" s="1">
        <f>M60+J61</f>
        <v/>
      </c>
    </row>
    <row r="62">
      <c r="A62" t="n">
        <v>20</v>
      </c>
      <c r="B62" s="1">
        <f>$E$38*$B$39*(1+Supuestos!$B$8)^20</f>
        <v/>
      </c>
      <c r="C62" s="1">
        <f>$F$38*$B$39*(1+Supuestos!$B$8)^20*((1-Supuestos!$B$11)*(1-Supuestos!$B$12)^19)</f>
        <v/>
      </c>
      <c r="D62" s="1">
        <f>$G$38*$B$39*(1+Supuestos!$B$8)^20*(1-Supuestos!$B$13)^20*Supuestos!$B$10</f>
        <v/>
      </c>
      <c r="E62" s="1">
        <f>$H$38*$B$39*(1+Supuestos!$B$8)^20</f>
        <v/>
      </c>
      <c r="F62" s="1">
        <f>B62-C62-D62-E62</f>
        <v/>
      </c>
      <c r="G62" s="1">
        <f>C62+D62+E62-(IF(20&lt;=Supuestos!$J$29,Supuestos!$B$19*Supuestos!$B$29*(1+Supuestos!$B$8)^19,0)+IF(20&lt;=Supuestos!$B$22,Supuestos!$B$20*Supuestos!$D$29*(1+Supuestos!$B$8)^19,0))</f>
        <v/>
      </c>
      <c r="H62" s="1">
        <f>IF(20&lt;=Supuestos!$J$29,$C$38*$B$39*((1-Supuestos!$B$11)*(1-Supuestos!$B$12)^19)*Supuestos!$I$29*(1+Supuestos!$B$9)^19,0)</f>
        <v/>
      </c>
      <c r="I62" s="1">
        <f>IF(20&lt;=Supuestos!$B$22,D62*Supuestos!$K$29,0)</f>
        <v/>
      </c>
      <c r="J62" s="1">
        <f>C62+D62+E62-H62-I62</f>
        <v/>
      </c>
      <c r="K62" s="1">
        <f>H62+I62-(IF(20&lt;=Supuestos!$J$29,Supuestos!$B$19*Supuestos!$B$29*(1+Supuestos!$B$8)^19,0)+IF(20&lt;=Supuestos!$B$22,Supuestos!$B$20*Supuestos!$D$29*(1+Supuestos!$B$8)^19,0))-H62*Supuestos!$B$21</f>
        <v/>
      </c>
      <c r="L62" s="1">
        <f>L61+G62</f>
        <v/>
      </c>
      <c r="M62" s="1">
        <f>M61+J62</f>
        <v/>
      </c>
    </row>
    <row r="64">
      <c r="A64" s="17" t="inlineStr">
        <is>
          <t>TIR compra (proyecto):</t>
        </is>
      </c>
      <c r="B64" s="2">
        <f>IRR(G42:G62)</f>
        <v/>
      </c>
      <c r="C64" s="25" t="inlineStr">
        <is>
          <t>VPN compra @WACC:</t>
        </is>
      </c>
      <c r="D64" s="1">
        <f>G42+NPV(Supuestos!$B$7,G43:G62)</f>
        <v/>
      </c>
    </row>
    <row r="65">
      <c r="A65" s="17" t="inlineStr">
        <is>
          <t>TIR financiador:</t>
        </is>
      </c>
      <c r="B65" s="2">
        <f>IRR(K42:K62)</f>
        <v/>
      </c>
      <c r="C65" s="25" t="inlineStr">
        <is>
          <t>VPN cliente PPA @WACC:</t>
        </is>
      </c>
      <c r="D65" s="1">
        <f>NPV(Supuestos!$B$7,J43:J62)</f>
        <v/>
      </c>
    </row>
    <row r="66">
      <c r="A66" s="17" t="inlineStr">
        <is>
          <t>Acumulado cliente PPA 20a:</t>
        </is>
      </c>
      <c r="B66" s="20">
        <f>SUM(J43:J62)</f>
        <v/>
      </c>
      <c r="C66" s="25" t="inlineStr">
        <is>
          <t>Acumulado compra 20a:</t>
        </is>
      </c>
      <c r="D66" s="1">
        <f>SUM(G42:G62)</f>
        <v/>
      </c>
    </row>
    <row r="68">
      <c r="A68" s="6" t="inlineStr">
        <is>
          <t>5. POR QUÉ ESTE DIMENSIONAMIENTO ES ÓPTIMO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26" t="inlineStr">
        <is>
          <t>• PV 349 kWp — generador exento &lt;0.7 MW (medición neta, sin permiso CNE). En SIN la generación solar cae en intermedio → recorta energía intermedia; no genera en punta, por lo que el BESS es la palanca de demanda.</t>
        </is>
      </c>
    </row>
    <row r="70">
      <c r="A70" s="26" t="inlineStr">
        <is>
          <t>• BESS 207 kW / 827 kWh — recorta el pico de punta (arbitraje carga en base, descarga en punta, topado al kWh punta del recibo).</t>
        </is>
      </c>
    </row>
    <row r="71">
      <c r="A71" s="26" t="inlineStr">
        <is>
          <t>• Dimensionado al consumo (rend. inputs.json); excedentes bajo medición neta expiran en 12 meses, por eso no se sobredimensiona el PV.</t>
        </is>
      </c>
    </row>
    <row r="72">
      <c r="A72" s="26" t="inlineStr">
        <is>
          <t>• PV/BESS dimensionados por **barrido de máximo NPV del cliente** (NO se topó a 0.7 MW): el óptimo cae en 349 kWp / 207 kW de BESS (sweep NPV (exento)). Más allá del punto de autoconsumo solar el excedente se valúa ~$0 y el NPV cae; el barrido compara explícitamente quedarse exento &lt;0.7 MW vs cruzar a autoconsumo.</t>
        </is>
      </c>
    </row>
    <row r="73">
      <c r="A73" s="26" t="inlineStr">
        <is>
          <t>• Corrección de factor de potencia incluida — palanca separada, capacitores a cargo del financiador en el esquema PPA (el cliente conserva 100% del ahorro FP).</t>
        </is>
      </c>
    </row>
    <row r="74">
      <c r="A74" s="26" t="inlineStr">
        <is>
          <t>• LIBRO 100% EN VIVO: motor mensual §3 = fórmulas sobre los datos del recibo (§6) y Supuestos (réplica exacta del motor determinista, verificada al peso) — edita kWp/BESS/FC/tarifas o cualquier mes y TODO recalcula hasta la TIR.</t>
        </is>
      </c>
    </row>
    <row r="78">
      <c r="A78" s="6" t="inlineStr">
        <is>
          <t>6. DATOS DEL RECIBO (editables — el motor mensual §3 se alimenta de aquí)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27" t="inlineStr">
        <is>
          <t>Mes</t>
        </is>
      </c>
      <c r="B79" s="27" t="inlineStr">
        <is>
          <t>Días</t>
        </is>
      </c>
      <c r="C79" s="27" t="inlineStr">
        <is>
          <t>kWh B</t>
        </is>
      </c>
      <c r="D79" s="27" t="inlineStr">
        <is>
          <t>kWh I</t>
        </is>
      </c>
      <c r="E79" s="27" t="inlineStr">
        <is>
          <t>kWh P</t>
        </is>
      </c>
      <c r="F79" s="27" t="inlineStr">
        <is>
          <t>kW B</t>
        </is>
      </c>
      <c r="G79" s="27" t="inlineStr">
        <is>
          <t>kW I</t>
        </is>
      </c>
      <c r="H79" s="27" t="inlineStr">
        <is>
          <t>kW P</t>
        </is>
      </c>
      <c r="I79" s="27" t="inlineStr">
        <is>
          <t>FP %</t>
        </is>
      </c>
      <c r="J79" s="27" t="inlineStr">
        <is>
          <t>Gen B $</t>
        </is>
      </c>
      <c r="K79" s="27" t="inlineStr">
        <is>
          <t>Gen I $</t>
        </is>
      </c>
      <c r="L79" s="27" t="inlineStr">
        <is>
          <t>Gen P $</t>
        </is>
      </c>
      <c r="M79" s="27" t="inlineStr">
        <is>
          <t>Distribución $</t>
        </is>
      </c>
      <c r="N79" s="27" t="inlineStr">
        <is>
          <t>Capacidad $</t>
        </is>
      </c>
      <c r="O79" s="27" t="inlineStr">
        <is>
          <t>Otros vol $</t>
        </is>
      </c>
      <c r="P79" s="27" t="inlineStr">
        <is>
          <t>Suministro $</t>
        </is>
      </c>
      <c r="Q79" s="27" t="inlineStr">
        <is>
          <t>2%BT+FP neto $</t>
        </is>
      </c>
      <c r="R79" s="27" t="inlineStr">
        <is>
          <t>Cargo FP $</t>
        </is>
      </c>
      <c r="S79" s="27" t="inlineStr">
        <is>
          <t>Yield kWh/kWp</t>
        </is>
      </c>
      <c r="T79" s="27" t="inlineStr">
        <is>
          <t>Hrs punta</t>
        </is>
      </c>
      <c r="U79" s="27" t="inlineStr">
        <is>
          <t>Días punta</t>
        </is>
      </c>
      <c r="V79" s="27" t="inlineStr">
        <is>
          <t>kWh tot</t>
        </is>
      </c>
      <c r="W79" s="27" t="inlineStr">
        <is>
          <t>Vol $/kWh</t>
        </is>
      </c>
      <c r="X79" s="27" t="inlineStr">
        <is>
          <t>Tarifa B $/kWh</t>
        </is>
      </c>
      <c r="Y79" s="27" t="inlineStr">
        <is>
          <t>Tarifa I $/kWh</t>
        </is>
      </c>
      <c r="Z79" s="27" t="inlineStr">
        <is>
          <t>Tarifa P $/kWh</t>
        </is>
      </c>
      <c r="AA79" s="27" t="inlineStr">
        <is>
          <t>Umbral kW</t>
        </is>
      </c>
      <c r="AB79" s="27" t="inlineStr">
        <is>
          <t>$/kW cap</t>
        </is>
      </c>
    </row>
    <row r="80">
      <c r="A80" s="28" t="inlineStr">
        <is>
          <t>Abr-25</t>
        </is>
      </c>
      <c r="B80" s="29" t="n">
        <v>30</v>
      </c>
      <c r="C80" s="29" t="n">
        <v>36275</v>
      </c>
      <c r="D80" s="29" t="n">
        <v>75914</v>
      </c>
      <c r="E80" s="29" t="n">
        <v>10018</v>
      </c>
      <c r="F80" s="28" t="n">
        <v>256</v>
      </c>
      <c r="G80" s="28" t="n">
        <v>248</v>
      </c>
      <c r="H80" s="28" t="n">
        <v>219</v>
      </c>
      <c r="I80" s="30" t="n">
        <v>99.81999999999999</v>
      </c>
      <c r="J80" s="28" t="n">
        <v>36028.33</v>
      </c>
      <c r="K80" s="28" t="n">
        <v>134648.66</v>
      </c>
      <c r="L80" s="28" t="n">
        <v>21133.98</v>
      </c>
      <c r="M80" s="28" t="n">
        <v>18317.01</v>
      </c>
      <c r="N80" s="28" t="n">
        <v>95969.78</v>
      </c>
      <c r="O80" s="28" t="n">
        <v>23659.29</v>
      </c>
      <c r="P80" s="28" t="n">
        <v>448.77</v>
      </c>
      <c r="Q80" s="28" t="n">
        <v>-8193.85</v>
      </c>
      <c r="R80" s="28" t="n">
        <v>0</v>
      </c>
      <c r="S80" s="30" t="n">
        <v>150.72</v>
      </c>
      <c r="T80" s="29" t="n">
        <v>2</v>
      </c>
      <c r="U80" s="29" t="n">
        <v>22</v>
      </c>
      <c r="V80" s="31">
        <f>C80+D80+E80</f>
        <v/>
      </c>
      <c r="W80" s="31">
        <f>O80/V80</f>
        <v/>
      </c>
      <c r="X80" s="31">
        <f>IF(C80=0,Y80,J80/C80+W80)</f>
        <v/>
      </c>
      <c r="Y80" s="31">
        <f>IF(D80=0,0,K80/D80+W80)</f>
        <v/>
      </c>
      <c r="Z80" s="31">
        <f>IF(E80=0,0,L80/E80+W80)</f>
        <v/>
      </c>
      <c r="AA80" s="31">
        <f>V80/(B80*24*$L$6)</f>
        <v/>
      </c>
      <c r="AB80" s="31">
        <f>IFERROR(N80/MIN(H80,AA80),0)</f>
        <v/>
      </c>
    </row>
    <row r="81">
      <c r="A81" s="28" t="inlineStr">
        <is>
          <t>May-25</t>
        </is>
      </c>
      <c r="B81" s="29" t="n">
        <v>31</v>
      </c>
      <c r="C81" s="29" t="n">
        <v>40107</v>
      </c>
      <c r="D81" s="29" t="n">
        <v>82925</v>
      </c>
      <c r="E81" s="29" t="n">
        <v>7789</v>
      </c>
      <c r="F81" s="28" t="n">
        <v>254</v>
      </c>
      <c r="G81" s="28" t="n">
        <v>273</v>
      </c>
      <c r="H81" s="28" t="n">
        <v>232</v>
      </c>
      <c r="I81" s="30" t="n">
        <v>99.77</v>
      </c>
      <c r="J81" s="28" t="n">
        <v>39834.27</v>
      </c>
      <c r="K81" s="28" t="n">
        <v>147084.07</v>
      </c>
      <c r="L81" s="28" t="n">
        <v>16431.67</v>
      </c>
      <c r="M81" s="28" t="n">
        <v>19432.14</v>
      </c>
      <c r="N81" s="28" t="n">
        <v>100367.84</v>
      </c>
      <c r="O81" s="28" t="n">
        <v>25326.95</v>
      </c>
      <c r="P81" s="28" t="n">
        <v>448.77</v>
      </c>
      <c r="Q81" s="28" t="n">
        <v>-8374.219999999999</v>
      </c>
      <c r="R81" s="28" t="n">
        <v>0</v>
      </c>
      <c r="S81" s="30" t="n">
        <v>143.096</v>
      </c>
      <c r="T81" s="29" t="n">
        <v>2</v>
      </c>
      <c r="U81" s="29" t="n">
        <v>21</v>
      </c>
      <c r="V81" s="31">
        <f>C81+D81+E81</f>
        <v/>
      </c>
      <c r="W81" s="31">
        <f>O81/V81</f>
        <v/>
      </c>
      <c r="X81" s="31">
        <f>IF(C81=0,Y81,J81/C81+W81)</f>
        <v/>
      </c>
      <c r="Y81" s="31">
        <f>IF(D81=0,0,K81/D81+W81)</f>
        <v/>
      </c>
      <c r="Z81" s="31">
        <f>IF(E81=0,0,L81/E81+W81)</f>
        <v/>
      </c>
      <c r="AA81" s="31">
        <f>V81/(B81*24*$L$6)</f>
        <v/>
      </c>
      <c r="AB81" s="31">
        <f>IFERROR(N81/MIN(H81,AA81),0)</f>
        <v/>
      </c>
    </row>
    <row r="82">
      <c r="A82" s="28" t="inlineStr">
        <is>
          <t>Jun-25</t>
        </is>
      </c>
      <c r="B82" s="29" t="n">
        <v>30</v>
      </c>
      <c r="C82" s="29" t="n">
        <v>34900</v>
      </c>
      <c r="D82" s="29" t="n">
        <v>66165</v>
      </c>
      <c r="E82" s="29" t="n">
        <v>6756</v>
      </c>
      <c r="F82" s="28" t="n">
        <v>214</v>
      </c>
      <c r="G82" s="28" t="n">
        <v>242</v>
      </c>
      <c r="H82" s="28" t="n">
        <v>213</v>
      </c>
      <c r="I82" s="30" t="n">
        <v>99.98</v>
      </c>
      <c r="J82" s="28" t="n">
        <v>35486.32</v>
      </c>
      <c r="K82" s="28" t="n">
        <v>120142.41</v>
      </c>
      <c r="L82" s="28" t="n">
        <v>14591.61</v>
      </c>
      <c r="M82" s="28" t="n">
        <v>17225.56</v>
      </c>
      <c r="N82" s="28" t="n">
        <v>94337.7</v>
      </c>
      <c r="O82" s="28" t="n">
        <v>20874.14</v>
      </c>
      <c r="P82" s="28" t="n">
        <v>448.77</v>
      </c>
      <c r="Q82" s="28" t="n">
        <v>-7577.66</v>
      </c>
      <c r="R82" s="28" t="n">
        <v>0</v>
      </c>
      <c r="S82" s="30" t="n">
        <v>133.92</v>
      </c>
      <c r="T82" s="29" t="n">
        <v>2</v>
      </c>
      <c r="U82" s="29" t="n">
        <v>21</v>
      </c>
      <c r="V82" s="31">
        <f>C82+D82+E82</f>
        <v/>
      </c>
      <c r="W82" s="31">
        <f>O82/V82</f>
        <v/>
      </c>
      <c r="X82" s="31">
        <f>IF(C82=0,Y82,J82/C82+W82)</f>
        <v/>
      </c>
      <c r="Y82" s="31">
        <f>IF(D82=0,0,K82/D82+W82)</f>
        <v/>
      </c>
      <c r="Z82" s="31">
        <f>IF(E82=0,0,L82/E82+W82)</f>
        <v/>
      </c>
      <c r="AA82" s="31">
        <f>V82/(B82*24*$L$6)</f>
        <v/>
      </c>
      <c r="AB82" s="31">
        <f>IFERROR(N82/MIN(H82,AA82),0)</f>
        <v/>
      </c>
    </row>
    <row r="83">
      <c r="A83" s="28" t="inlineStr">
        <is>
          <t>Jul-25</t>
        </is>
      </c>
      <c r="B83" s="29" t="n">
        <v>31</v>
      </c>
      <c r="C83" s="29" t="n">
        <v>33959</v>
      </c>
      <c r="D83" s="29" t="n">
        <v>72608</v>
      </c>
      <c r="E83" s="29" t="n">
        <v>7443</v>
      </c>
      <c r="F83" s="28" t="n">
        <v>203</v>
      </c>
      <c r="G83" s="28" t="n">
        <v>254</v>
      </c>
      <c r="H83" s="28" t="n">
        <v>204</v>
      </c>
      <c r="I83" s="30" t="n">
        <v>99.95999999999999</v>
      </c>
      <c r="J83" s="28" t="n">
        <v>35045.69</v>
      </c>
      <c r="K83" s="28" t="n">
        <v>133823.8</v>
      </c>
      <c r="L83" s="28" t="n">
        <v>16316.54</v>
      </c>
      <c r="M83" s="28" t="n">
        <v>18079.72</v>
      </c>
      <c r="N83" s="28" t="n">
        <v>91706.16</v>
      </c>
      <c r="O83" s="28" t="n">
        <v>22072.34</v>
      </c>
      <c r="P83" s="28" t="n">
        <v>448.77</v>
      </c>
      <c r="Q83" s="28" t="n">
        <v>-7937.33</v>
      </c>
      <c r="R83" s="28" t="n">
        <v>0</v>
      </c>
      <c r="S83" s="30" t="n">
        <v>135.16</v>
      </c>
      <c r="T83" s="29" t="n">
        <v>2</v>
      </c>
      <c r="U83" s="29" t="n">
        <v>23</v>
      </c>
      <c r="V83" s="31">
        <f>C83+D83+E83</f>
        <v/>
      </c>
      <c r="W83" s="31">
        <f>O83/V83</f>
        <v/>
      </c>
      <c r="X83" s="31">
        <f>IF(C83=0,Y83,J83/C83+W83)</f>
        <v/>
      </c>
      <c r="Y83" s="31">
        <f>IF(D83=0,0,K83/D83+W83)</f>
        <v/>
      </c>
      <c r="Z83" s="31">
        <f>IF(E83=0,0,L83/E83+W83)</f>
        <v/>
      </c>
      <c r="AA83" s="31">
        <f>V83/(B83*24*$L$6)</f>
        <v/>
      </c>
      <c r="AB83" s="31">
        <f>IFERROR(N83/MIN(H83,AA83),0)</f>
        <v/>
      </c>
    </row>
    <row r="84">
      <c r="A84" s="28" t="inlineStr">
        <is>
          <t>Ago-25</t>
        </is>
      </c>
      <c r="B84" s="29" t="n">
        <v>31</v>
      </c>
      <c r="C84" s="29" t="n">
        <v>35967</v>
      </c>
      <c r="D84" s="29" t="n">
        <v>71098</v>
      </c>
      <c r="E84" s="29" t="n">
        <v>6735</v>
      </c>
      <c r="F84" s="28" t="n">
        <v>221</v>
      </c>
      <c r="G84" s="28" t="n">
        <v>290</v>
      </c>
      <c r="H84" s="28" t="n">
        <v>206</v>
      </c>
      <c r="I84" s="30" t="n">
        <v>99.95999999999999</v>
      </c>
      <c r="J84" s="28" t="n">
        <v>37168.3</v>
      </c>
      <c r="K84" s="28" t="n">
        <v>131218.47</v>
      </c>
      <c r="L84" s="28" t="n">
        <v>14784.67</v>
      </c>
      <c r="M84" s="28" t="n">
        <v>19147.42</v>
      </c>
      <c r="N84" s="28" t="n">
        <v>92735.02</v>
      </c>
      <c r="O84" s="28" t="n">
        <v>22031.7</v>
      </c>
      <c r="P84" s="28" t="n">
        <v>448.77</v>
      </c>
      <c r="Q84" s="28" t="n">
        <v>-7938.36</v>
      </c>
      <c r="R84" s="28" t="n">
        <v>0</v>
      </c>
      <c r="S84" s="30" t="n">
        <v>126.728</v>
      </c>
      <c r="T84" s="29" t="n">
        <v>2</v>
      </c>
      <c r="U84" s="29" t="n">
        <v>21</v>
      </c>
      <c r="V84" s="31">
        <f>C84+D84+E84</f>
        <v/>
      </c>
      <c r="W84" s="31">
        <f>O84/V84</f>
        <v/>
      </c>
      <c r="X84" s="31">
        <f>IF(C84=0,Y84,J84/C84+W84)</f>
        <v/>
      </c>
      <c r="Y84" s="31">
        <f>IF(D84=0,0,K84/D84+W84)</f>
        <v/>
      </c>
      <c r="Z84" s="31">
        <f>IF(E84=0,0,L84/E84+W84)</f>
        <v/>
      </c>
      <c r="AA84" s="31">
        <f>V84/(B84*24*$L$6)</f>
        <v/>
      </c>
      <c r="AB84" s="31">
        <f>IFERROR(N84/MIN(H84,AA84),0)</f>
        <v/>
      </c>
    </row>
    <row r="85">
      <c r="A85" s="28" t="inlineStr">
        <is>
          <t>Sep-25</t>
        </is>
      </c>
      <c r="B85" s="29" t="n">
        <v>30</v>
      </c>
      <c r="C85" s="29" t="n">
        <v>35687</v>
      </c>
      <c r="D85" s="29" t="n">
        <v>71078</v>
      </c>
      <c r="E85" s="29" t="n">
        <v>7280</v>
      </c>
      <c r="F85" s="28" t="n">
        <v>209</v>
      </c>
      <c r="G85" s="28" t="n">
        <v>264</v>
      </c>
      <c r="H85" s="28" t="n">
        <v>214</v>
      </c>
      <c r="I85" s="30" t="n">
        <v>99.95999999999999</v>
      </c>
      <c r="J85" s="28" t="n">
        <v>36543.49</v>
      </c>
      <c r="K85" s="28" t="n">
        <v>129987.45</v>
      </c>
      <c r="L85" s="28" t="n">
        <v>15834.73</v>
      </c>
      <c r="M85" s="28" t="n">
        <v>18791.52</v>
      </c>
      <c r="N85" s="28" t="n">
        <v>95454.7</v>
      </c>
      <c r="O85" s="28" t="n">
        <v>22546.7</v>
      </c>
      <c r="P85" s="28" t="n">
        <v>448.77</v>
      </c>
      <c r="Q85" s="28" t="n">
        <v>-7990.18</v>
      </c>
      <c r="R85" s="28" t="n">
        <v>0</v>
      </c>
      <c r="S85" s="30" t="n">
        <v>119.52</v>
      </c>
      <c r="T85" s="29" t="n">
        <v>2</v>
      </c>
      <c r="U85" s="29" t="n">
        <v>21</v>
      </c>
      <c r="V85" s="31">
        <f>C85+D85+E85</f>
        <v/>
      </c>
      <c r="W85" s="31">
        <f>O85/V85</f>
        <v/>
      </c>
      <c r="X85" s="31">
        <f>IF(C85=0,Y85,J85/C85+W85)</f>
        <v/>
      </c>
      <c r="Y85" s="31">
        <f>IF(D85=0,0,K85/D85+W85)</f>
        <v/>
      </c>
      <c r="Z85" s="31">
        <f>IF(E85=0,0,L85/E85+W85)</f>
        <v/>
      </c>
      <c r="AA85" s="31">
        <f>V85/(B85*24*$L$6)</f>
        <v/>
      </c>
      <c r="AB85" s="31">
        <f>IFERROR(N85/MIN(H85,AA85),0)</f>
        <v/>
      </c>
    </row>
    <row r="86">
      <c r="A86" s="28" t="inlineStr">
        <is>
          <t>Oct-25</t>
        </is>
      </c>
      <c r="B86" s="29" t="n">
        <v>31</v>
      </c>
      <c r="C86" s="29" t="n">
        <v>33507</v>
      </c>
      <c r="D86" s="29" t="n">
        <v>69418</v>
      </c>
      <c r="E86" s="29" t="n">
        <v>9060</v>
      </c>
      <c r="F86" s="28" t="n">
        <v>206</v>
      </c>
      <c r="G86" s="28" t="n">
        <v>195</v>
      </c>
      <c r="H86" s="28" t="n">
        <v>188</v>
      </c>
      <c r="I86" s="30" t="n">
        <v>99.98999999999999</v>
      </c>
      <c r="J86" s="28" t="n">
        <v>34311.17</v>
      </c>
      <c r="K86" s="28" t="n">
        <v>126951.64</v>
      </c>
      <c r="L86" s="28" t="n">
        <v>19707.31</v>
      </c>
      <c r="M86" s="28" t="n">
        <v>16500.1</v>
      </c>
      <c r="N86" s="28" t="n">
        <v>88895.74000000001</v>
      </c>
      <c r="O86" s="28" t="n">
        <v>22139.43</v>
      </c>
      <c r="P86" s="28" t="n">
        <v>448.77</v>
      </c>
      <c r="Q86" s="28" t="n">
        <v>-7723.85</v>
      </c>
      <c r="R86" s="28" t="n">
        <v>0</v>
      </c>
      <c r="S86" s="30" t="n">
        <v>131.936</v>
      </c>
      <c r="T86" s="29" t="n">
        <v>2</v>
      </c>
      <c r="U86" s="29" t="n">
        <v>23</v>
      </c>
      <c r="V86" s="31">
        <f>C86+D86+E86</f>
        <v/>
      </c>
      <c r="W86" s="31">
        <f>O86/V86</f>
        <v/>
      </c>
      <c r="X86" s="31">
        <f>IF(C86=0,Y86,J86/C86+W86)</f>
        <v/>
      </c>
      <c r="Y86" s="31">
        <f>IF(D86=0,0,K86/D86+W86)</f>
        <v/>
      </c>
      <c r="Z86" s="31">
        <f>IF(E86=0,0,L86/E86+W86)</f>
        <v/>
      </c>
      <c r="AA86" s="31">
        <f>V86/(B86*24*$L$6)</f>
        <v/>
      </c>
      <c r="AB86" s="31">
        <f>IFERROR(N86/MIN(H86,AA86),0)</f>
        <v/>
      </c>
    </row>
    <row r="87">
      <c r="A87" s="28" t="inlineStr">
        <is>
          <t>Nov-25</t>
        </is>
      </c>
      <c r="B87" s="29" t="n">
        <v>30</v>
      </c>
      <c r="C87" s="29" t="n">
        <v>36171</v>
      </c>
      <c r="D87" s="29" t="n">
        <v>57690</v>
      </c>
      <c r="E87" s="29" t="n">
        <v>13831</v>
      </c>
      <c r="F87" s="28" t="n">
        <v>196</v>
      </c>
      <c r="G87" s="28" t="n">
        <v>213</v>
      </c>
      <c r="H87" s="28" t="n">
        <v>207</v>
      </c>
      <c r="I87" s="30" t="n">
        <v>99.98999999999999</v>
      </c>
      <c r="J87" s="28" t="n">
        <v>35928.65</v>
      </c>
      <c r="K87" s="28" t="n">
        <v>102336.29</v>
      </c>
      <c r="L87" s="28" t="n">
        <v>29180.64</v>
      </c>
      <c r="M87" s="28" t="n">
        <v>15161.34</v>
      </c>
      <c r="N87" s="28" t="n">
        <v>89560.62</v>
      </c>
      <c r="O87" s="28" t="n">
        <v>21290.7</v>
      </c>
      <c r="P87" s="28" t="n">
        <v>448.77</v>
      </c>
      <c r="Q87" s="28" t="n">
        <v>-7347.68</v>
      </c>
      <c r="R87" s="28" t="n">
        <v>0</v>
      </c>
      <c r="S87" s="30" t="n">
        <v>136.56</v>
      </c>
      <c r="T87" s="29" t="n">
        <v>4</v>
      </c>
      <c r="U87" s="29" t="n">
        <v>19</v>
      </c>
      <c r="V87" s="31">
        <f>C87+D87+E87</f>
        <v/>
      </c>
      <c r="W87" s="31">
        <f>O87/V87</f>
        <v/>
      </c>
      <c r="X87" s="31">
        <f>IF(C87=0,Y87,J87/C87+W87)</f>
        <v/>
      </c>
      <c r="Y87" s="31">
        <f>IF(D87=0,0,K87/D87+W87)</f>
        <v/>
      </c>
      <c r="Z87" s="31">
        <f>IF(E87=0,0,L87/E87+W87)</f>
        <v/>
      </c>
      <c r="AA87" s="31">
        <f>V87/(B87*24*$L$6)</f>
        <v/>
      </c>
      <c r="AB87" s="31">
        <f>IFERROR(N87/MIN(H87,AA87),0)</f>
        <v/>
      </c>
    </row>
    <row r="88">
      <c r="A88" s="28" t="inlineStr">
        <is>
          <t>Dic-25</t>
        </is>
      </c>
      <c r="B88" s="29" t="n">
        <v>31</v>
      </c>
      <c r="C88" s="29" t="n">
        <v>32620</v>
      </c>
      <c r="D88" s="29" t="n">
        <v>56907</v>
      </c>
      <c r="E88" s="29" t="n">
        <v>14364</v>
      </c>
      <c r="F88" s="28" t="n">
        <v>193</v>
      </c>
      <c r="G88" s="28" t="n">
        <v>196</v>
      </c>
      <c r="H88" s="28" t="n">
        <v>199</v>
      </c>
      <c r="I88" s="30" t="n">
        <v>100</v>
      </c>
      <c r="J88" s="28" t="n">
        <v>30780.23</v>
      </c>
      <c r="K88" s="28" t="n">
        <v>95899.67999999999</v>
      </c>
      <c r="L88" s="28" t="n">
        <v>28791.2</v>
      </c>
      <c r="M88" s="28" t="n">
        <v>14164.82</v>
      </c>
      <c r="N88" s="28" t="n">
        <v>81794.97</v>
      </c>
      <c r="O88" s="28" t="n">
        <v>20539.25</v>
      </c>
      <c r="P88" s="28" t="n">
        <v>448.77</v>
      </c>
      <c r="Q88" s="28" t="n">
        <v>-6810.47</v>
      </c>
      <c r="R88" s="28" t="n">
        <v>0</v>
      </c>
      <c r="S88" s="30" t="n">
        <v>131.192</v>
      </c>
      <c r="T88" s="29" t="n">
        <v>4</v>
      </c>
      <c r="U88" s="29" t="n">
        <v>22</v>
      </c>
      <c r="V88" s="31">
        <f>C88+D88+E88</f>
        <v/>
      </c>
      <c r="W88" s="31">
        <f>O88/V88</f>
        <v/>
      </c>
      <c r="X88" s="31">
        <f>IF(C88=0,Y88,J88/C88+W88)</f>
        <v/>
      </c>
      <c r="Y88" s="31">
        <f>IF(D88=0,0,K88/D88+W88)</f>
        <v/>
      </c>
      <c r="Z88" s="31">
        <f>IF(E88=0,0,L88/E88+W88)</f>
        <v/>
      </c>
      <c r="AA88" s="31">
        <f>V88/(B88*24*$L$6)</f>
        <v/>
      </c>
      <c r="AB88" s="31">
        <f>IFERROR(N88/MIN(H88,AA88),0)</f>
        <v/>
      </c>
    </row>
    <row r="89">
      <c r="A89" s="28" t="inlineStr">
        <is>
          <t>Ene-26</t>
        </is>
      </c>
      <c r="B89" s="29" t="n">
        <v>31</v>
      </c>
      <c r="C89" s="29" t="n">
        <v>28810</v>
      </c>
      <c r="D89" s="29" t="n">
        <v>52377</v>
      </c>
      <c r="E89" s="29" t="n">
        <v>13454</v>
      </c>
      <c r="F89" s="28" t="n">
        <v>173</v>
      </c>
      <c r="G89" s="28" t="n">
        <v>186</v>
      </c>
      <c r="H89" s="28" t="n">
        <v>191</v>
      </c>
      <c r="I89" s="30" t="n">
        <v>100</v>
      </c>
      <c r="J89" s="28" t="n">
        <v>26574.34</v>
      </c>
      <c r="K89" s="28" t="n">
        <v>86280.63</v>
      </c>
      <c r="L89" s="28" t="n">
        <v>26359.08</v>
      </c>
      <c r="M89" s="28" t="n">
        <v>12926.88</v>
      </c>
      <c r="N89" s="28" t="n">
        <v>76739.98</v>
      </c>
      <c r="O89" s="28" t="n">
        <v>18417.15</v>
      </c>
      <c r="P89" s="28" t="n">
        <v>422.07</v>
      </c>
      <c r="Q89" s="28" t="n">
        <v>-6193</v>
      </c>
      <c r="R89" s="28" t="n">
        <v>0</v>
      </c>
      <c r="S89" s="30" t="n">
        <v>143.096</v>
      </c>
      <c r="T89" s="29" t="n">
        <v>4</v>
      </c>
      <c r="U89" s="29" t="n">
        <v>21</v>
      </c>
      <c r="V89" s="31">
        <f>C89+D89+E89</f>
        <v/>
      </c>
      <c r="W89" s="31">
        <f>O89/V89</f>
        <v/>
      </c>
      <c r="X89" s="31">
        <f>IF(C89=0,Y89,J89/C89+W89)</f>
        <v/>
      </c>
      <c r="Y89" s="31">
        <f>IF(D89=0,0,K89/D89+W89)</f>
        <v/>
      </c>
      <c r="Z89" s="31">
        <f>IF(E89=0,0,L89/E89+W89)</f>
        <v/>
      </c>
      <c r="AA89" s="31">
        <f>V89/(B89*24*$L$6)</f>
        <v/>
      </c>
      <c r="AB89" s="31">
        <f>IFERROR(N89/MIN(H89,AA89),0)</f>
        <v/>
      </c>
    </row>
    <row r="90">
      <c r="A90" s="28" t="inlineStr">
        <is>
          <t>Feb-26</t>
        </is>
      </c>
      <c r="B90" s="29" t="n">
        <v>28</v>
      </c>
      <c r="C90" s="29" t="n">
        <v>31053</v>
      </c>
      <c r="D90" s="29" t="n">
        <v>53500</v>
      </c>
      <c r="E90" s="29" t="n">
        <v>13511</v>
      </c>
      <c r="F90" s="28" t="n">
        <v>191</v>
      </c>
      <c r="G90" s="28" t="n">
        <v>227</v>
      </c>
      <c r="H90" s="28" t="n">
        <v>213</v>
      </c>
      <c r="I90" s="30" t="n">
        <v>99.98999999999999</v>
      </c>
      <c r="J90" s="28" t="n">
        <v>28658.81</v>
      </c>
      <c r="K90" s="28" t="n">
        <v>88178.7</v>
      </c>
      <c r="L90" s="28" t="n">
        <v>26486.96</v>
      </c>
      <c r="M90" s="28" t="n">
        <v>15363.36</v>
      </c>
      <c r="N90" s="28" t="n">
        <v>85628.13</v>
      </c>
      <c r="O90" s="28" t="n">
        <v>19083.26</v>
      </c>
      <c r="P90" s="28" t="n">
        <v>422.07</v>
      </c>
      <c r="Q90" s="28" t="n">
        <v>-6595.53</v>
      </c>
      <c r="R90" s="28" t="n">
        <v>0</v>
      </c>
      <c r="S90" s="30" t="n">
        <v>139.104</v>
      </c>
      <c r="T90" s="29" t="n">
        <v>4</v>
      </c>
      <c r="U90" s="29" t="n">
        <v>19</v>
      </c>
      <c r="V90" s="31">
        <f>C90+D90+E90</f>
        <v/>
      </c>
      <c r="W90" s="31">
        <f>O90/V90</f>
        <v/>
      </c>
      <c r="X90" s="31">
        <f>IF(C90=0,Y90,J90/C90+W90)</f>
        <v/>
      </c>
      <c r="Y90" s="31">
        <f>IF(D90=0,0,K90/D90+W90)</f>
        <v/>
      </c>
      <c r="Z90" s="31">
        <f>IF(E90=0,0,L90/E90+W90)</f>
        <v/>
      </c>
      <c r="AA90" s="31">
        <f>V90/(B90*24*$L$6)</f>
        <v/>
      </c>
      <c r="AB90" s="31">
        <f>IFERROR(N90/MIN(H90,AA90),0)</f>
        <v/>
      </c>
    </row>
    <row r="91">
      <c r="A91" s="28" t="inlineStr">
        <is>
          <t>Mar-26</t>
        </is>
      </c>
      <c r="B91" s="29" t="n">
        <v>31</v>
      </c>
      <c r="C91" s="29" t="n">
        <v>36252</v>
      </c>
      <c r="D91" s="29" t="n">
        <v>59101</v>
      </c>
      <c r="E91" s="29" t="n">
        <v>14087</v>
      </c>
      <c r="F91" s="28" t="n">
        <v>196</v>
      </c>
      <c r="G91" s="28" t="n">
        <v>209</v>
      </c>
      <c r="H91" s="28" t="n">
        <v>194</v>
      </c>
      <c r="I91" s="30" t="n">
        <v>100</v>
      </c>
      <c r="J91" s="28" t="n">
        <v>33478.72</v>
      </c>
      <c r="K91" s="28" t="n">
        <v>97469.37</v>
      </c>
      <c r="L91" s="28" t="n">
        <v>27633.06</v>
      </c>
      <c r="M91" s="28" t="n">
        <v>14145.12</v>
      </c>
      <c r="N91" s="28" t="n">
        <v>78038.44</v>
      </c>
      <c r="O91" s="28" t="n">
        <v>21297.04</v>
      </c>
      <c r="P91" s="28" t="n">
        <v>422.07</v>
      </c>
      <c r="Q91" s="28" t="n">
        <v>-6812.1</v>
      </c>
      <c r="R91" s="28" t="n">
        <v>0</v>
      </c>
      <c r="S91" s="30" t="n">
        <v>170.376</v>
      </c>
      <c r="T91" s="29" t="n">
        <v>4</v>
      </c>
      <c r="U91" s="29" t="n">
        <v>21</v>
      </c>
      <c r="V91" s="31">
        <f>C91+D91+E91</f>
        <v/>
      </c>
      <c r="W91" s="31">
        <f>O91/V91</f>
        <v/>
      </c>
      <c r="X91" s="31">
        <f>IF(C91=0,Y91,J91/C91+W91)</f>
        <v/>
      </c>
      <c r="Y91" s="31">
        <f>IF(D91=0,0,K91/D91+W91)</f>
        <v/>
      </c>
      <c r="Z91" s="31">
        <f>IF(E91=0,0,L91/E91+W91)</f>
        <v/>
      </c>
      <c r="AA91" s="31">
        <f>V91/(B91*24*$L$6)</f>
        <v/>
      </c>
      <c r="AB91" s="31">
        <f>IFERROR(N91/MIN(H91,AA91),0)</f>
        <v/>
      </c>
    </row>
    <row r="92">
      <c r="A92" s="19" t="inlineStr">
        <is>
          <t>Filas = recibo ancla (parseado) + meses reconstruidos del CONSUMO HISTÓRICO (subtotal al peso; split TOU por shares del ancla). Capacidad a MIN(kW punta, umbral); tarifas por banda = concepto/kWh + vol/kWh; col Q&lt;0 (bonificación FP) aplica claw-back al ahorro. Válido &lt;700 kWp (medición neta). Excedentes PV a $0.</t>
        </is>
      </c>
    </row>
    <row r="94">
      <c r="O94" s="19" t="inlineStr">
        <is>
          <t>Techo — referencia satelital (ruta HelioScope; cruz roja = punto verificado) · confianza ?</t>
        </is>
      </c>
    </row>
  </sheetData>
  <mergeCells count="7">
    <mergeCell ref="A74:K74"/>
    <mergeCell ref="A69:K69"/>
    <mergeCell ref="A72:K72"/>
    <mergeCell ref="A73:K73"/>
    <mergeCell ref="A71:K71"/>
    <mergeCell ref="A70:K70"/>
    <mergeCell ref="A92:AB9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5" t="inlineStr">
        <is>
          <t>Fiesta Americana Viaducto Aeropuerto (CDMX) — Memoria de cálculo y propuesta energética</t>
        </is>
      </c>
    </row>
    <row r="2">
      <c r="A2" s="5" t="inlineStr">
        <is>
          <t>RPU 986190901451 · GDMTH SIN · Demanda contratada 820 kW · 12 meses de recibo</t>
        </is>
      </c>
    </row>
    <row r="3">
      <c r="A3" s="16" t="inlineStr">
        <is>
          <t>Régimen: GENERADOR EXENTO — Medición Neta (sin permiso; Art. 30 LSE; RES/142/2017)</t>
        </is>
      </c>
    </row>
    <row r="5">
      <c r="A5" s="6" t="inlineStr">
        <is>
          <t>PARÁMETROS (desde Supuestos — edítalos ahí)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17" t="inlineStr">
        <is>
          <t>PV kWp</t>
        </is>
      </c>
      <c r="B6" s="1">
        <f>Supuestos!$B$30</f>
        <v/>
      </c>
      <c r="C6" s="17" t="inlineStr">
        <is>
          <t>BESS kW</t>
        </is>
      </c>
      <c r="D6" s="1">
        <f>Supuestos!$C$30</f>
        <v/>
      </c>
      <c r="E6" s="17" t="inlineStr">
        <is>
          <t>BESS kWh</t>
        </is>
      </c>
      <c r="F6" s="1">
        <f>Supuestos!$D$30</f>
        <v/>
      </c>
      <c r="G6" s="17" t="inlineStr">
        <is>
          <t>FP corrección</t>
        </is>
      </c>
      <c r="H6">
        <f>Supuestos!$E$30</f>
        <v/>
      </c>
      <c r="I6" s="17" t="inlineStr">
        <is>
          <t>Entrega útil kWh</t>
        </is>
      </c>
      <c r="J6" s="1">
        <f>Supuestos!$D$30*Supuestos!$B$17*SQRT(Supuestos!$B$18)</f>
        <v/>
      </c>
      <c r="K6" s="17" t="inlineStr">
        <is>
          <t>FC umbral</t>
        </is>
      </c>
      <c r="L6" s="11" t="n">
        <v>0.57</v>
      </c>
    </row>
    <row r="8">
      <c r="A8" s="6" t="inlineStr">
        <is>
          <t>1. ESTRUCTURA DE COSTO Y AHORRO (pre-IVA, año base · fórmulas vivas ← §3)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18" t="inlineStr">
        <is>
          <t>Concepto</t>
        </is>
      </c>
      <c r="B9" s="18" t="inlineStr">
        <is>
          <t>$ / año</t>
        </is>
      </c>
      <c r="C9" s="18" t="inlineStr">
        <is>
          <t>Nota</t>
        </is>
      </c>
    </row>
    <row r="10">
      <c r="A10" t="inlineStr">
        <is>
          <t>Tarifa Actual (CFE pleno, sin proyecto)</t>
        </is>
      </c>
      <c r="B10" s="1">
        <f>$E$38*$B$39</f>
        <v/>
      </c>
      <c r="C10" s="19" t="inlineStr">
        <is>
          <t>Σ recibos × anualización</t>
        </is>
      </c>
    </row>
    <row r="11">
      <c r="A11" t="inlineStr">
        <is>
          <t>(−) Ahorro PV (energía + demanda)</t>
        </is>
      </c>
      <c r="B11" s="1">
        <f>$F$38*$B$39</f>
        <v/>
      </c>
      <c r="C11" s="19" t="inlineStr">
        <is>
          <t>intermedio + umbral</t>
        </is>
      </c>
    </row>
    <row r="12">
      <c r="A12" t="inlineStr">
        <is>
          <t>(−) Ahorro BESS (punta + arbitraje)</t>
        </is>
      </c>
      <c r="B12" s="1">
        <f>$G$38*$B$39</f>
        <v/>
      </c>
      <c r="C12" s="19" t="inlineStr">
        <is>
          <t>recorte punta + arbitraje (incl. claw)</t>
        </is>
      </c>
    </row>
    <row r="13">
      <c r="A13" t="inlineStr">
        <is>
          <t>(−) Ahorro FP (corrección)</t>
        </is>
      </c>
      <c r="B13" s="1">
        <f>$H$38*$B$39</f>
        <v/>
      </c>
      <c r="C13" s="19" t="inlineStr">
        <is>
          <t>multa factor de potencia</t>
        </is>
      </c>
    </row>
    <row r="14">
      <c r="A14" s="17" t="inlineStr">
        <is>
          <t>(=) Costo neto con proyecto</t>
        </is>
      </c>
      <c r="B14" s="20">
        <f>B10-B11-B12-B13</f>
        <v/>
      </c>
    </row>
    <row r="15">
      <c r="A15" s="17" t="inlineStr">
        <is>
          <t>Ahorro proyecto / año</t>
        </is>
      </c>
      <c r="B15" s="20">
        <f>B11+B12+B13</f>
        <v/>
      </c>
    </row>
    <row r="16">
      <c r="A16" s="17" t="inlineStr">
        <is>
          <t>Ahorro %</t>
        </is>
      </c>
      <c r="B16" s="2">
        <f>B15/B10</f>
        <v/>
      </c>
    </row>
    <row r="18">
      <c r="A18" s="6" t="inlineStr">
        <is>
          <t>2. CAPEX (fórmulas vivas desde Supuestos)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t="inlineStr">
        <is>
          <t>CAPEX PV</t>
        </is>
      </c>
      <c r="B19" s="1">
        <f>Supuestos!$B$30*1000*Supuestos!$F$30*Supuestos!$B$5</f>
        <v/>
      </c>
    </row>
    <row r="20">
      <c r="A20" t="inlineStr">
        <is>
          <t>CAPEX BESS</t>
        </is>
      </c>
      <c r="B20" s="1">
        <f>Supuestos!$D$30*Supuestos!$G$30*Supuestos!$B$5</f>
        <v/>
      </c>
    </row>
    <row r="21">
      <c r="A21" t="inlineStr">
        <is>
          <t>CAPEX capacitor (FP)</t>
        </is>
      </c>
      <c r="B21" s="1">
        <f>Supuestos!$H$30</f>
        <v/>
      </c>
    </row>
    <row r="22">
      <c r="A22" s="17" t="inlineStr">
        <is>
          <t>CAPEX TOTAL</t>
        </is>
      </c>
      <c r="B22" s="20">
        <f>B19+B20+B21</f>
        <v/>
      </c>
    </row>
    <row r="24">
      <c r="A24" s="6" t="inlineStr">
        <is>
          <t>3. RESUMEN MENSUAL — Tarifa Actual vs Con Proyecto (fórmulas vivas ← §6 y Supuestos)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21" t="inlineStr">
        <is>
          <t>Mes</t>
        </is>
      </c>
      <c r="B25" s="21" t="inlineStr">
        <is>
          <t>kWh Consumo</t>
        </is>
      </c>
      <c r="C25" s="21" t="inlineStr">
        <is>
          <t>Gen PV kWh</t>
        </is>
      </c>
      <c r="D25" s="21" t="inlineStr">
        <is>
          <t>BESS desc kWh</t>
        </is>
      </c>
      <c r="E25" s="21" t="inlineStr">
        <is>
          <t>Tarifa Actual $</t>
        </is>
      </c>
      <c r="F25" s="21" t="inlineStr">
        <is>
          <t>Ah PV $</t>
        </is>
      </c>
      <c r="G25" s="21" t="inlineStr">
        <is>
          <t>Ah BESS $</t>
        </is>
      </c>
      <c r="H25" s="21" t="inlineStr">
        <is>
          <t>Ah FP $</t>
        </is>
      </c>
      <c r="I25" s="21" t="inlineStr">
        <is>
          <t>Costo c/proy $</t>
        </is>
      </c>
      <c r="J25" s="21" t="inlineStr">
        <is>
          <t>Ahorro $</t>
        </is>
      </c>
      <c r="K25" s="21" t="inlineStr">
        <is>
          <t>Ahorro %</t>
        </is>
      </c>
    </row>
    <row r="26">
      <c r="A26">
        <f>A80</f>
        <v/>
      </c>
      <c r="B26" s="1">
        <f>V80</f>
        <v/>
      </c>
      <c r="C26" s="1">
        <f>Supuestos!$B$30*S80</f>
        <v/>
      </c>
      <c r="D26" s="1">
        <f>MIN($J$6*U80,E80)</f>
        <v/>
      </c>
      <c r="E26" s="1">
        <f>SUM(J80:Q80)</f>
        <v/>
      </c>
      <c r="F26" s="1">
        <f>(MIN(C26,D80)*Y80+(MIN(H80,AA80)-MIN(H80,(V80-MIN(C26,D80))/($B$80*24*$L$6)))*AB80)*IF(Q80&lt;0,1+Q80/SUM(J80:P80),1)</f>
        <v/>
      </c>
      <c r="G26" s="1">
        <f>((MIN(H80,(V80-MIN(C26,D80))/($B$80*24*$L$6))-MIN(MAX(H80-MIN(Supuestos!$C$30,IF(T80&gt;0,$J$6/T80,0)),0),(V80-MIN(C26,D80))/($B$80*24*$L$6)))*AB80+D26*Z80-D26/Supuestos!$B$18*X80)*IF(Q80&lt;0,1+Q80/SUM(J80:P80),1)</f>
        <v/>
      </c>
      <c r="H26" s="1">
        <f>IF(Supuestos!$E$30="Sí",R80,0)</f>
        <v/>
      </c>
      <c r="I26" s="1">
        <f>E26-J26</f>
        <v/>
      </c>
      <c r="J26" s="1">
        <f>F26+G26+H26</f>
        <v/>
      </c>
      <c r="K26" s="2">
        <f>J26/E26</f>
        <v/>
      </c>
    </row>
    <row r="27">
      <c r="A27">
        <f>A81</f>
        <v/>
      </c>
      <c r="B27" s="1">
        <f>V81</f>
        <v/>
      </c>
      <c r="C27" s="1">
        <f>Supuestos!$B$30*S81</f>
        <v/>
      </c>
      <c r="D27" s="1">
        <f>MIN($J$6*U81,E81)</f>
        <v/>
      </c>
      <c r="E27" s="1">
        <f>SUM(J81:Q81)</f>
        <v/>
      </c>
      <c r="F27" s="1">
        <f>(MIN(C27,D81)*Y81+(MIN(H81,AA81)-MIN(H81,(V81-MIN(C27,D81))/($B$81*24*$L$6)))*AB81)*IF(Q81&lt;0,1+Q81/SUM(J81:P81),1)</f>
        <v/>
      </c>
      <c r="G27" s="1">
        <f>((MIN(H81,(V81-MIN(C27,D81))/($B$81*24*$L$6))-MIN(MAX(H81-MIN(Supuestos!$C$30,IF(T81&gt;0,$J$6/T81,0)),0),(V81-MIN(C27,D81))/($B$81*24*$L$6)))*AB81+D27*Z81-D27/Supuestos!$B$18*X81)*IF(Q81&lt;0,1+Q81/SUM(J81:P81),1)</f>
        <v/>
      </c>
      <c r="H27" s="1">
        <f>IF(Supuestos!$E$30="Sí",R81,0)</f>
        <v/>
      </c>
      <c r="I27" s="1">
        <f>E27-J27</f>
        <v/>
      </c>
      <c r="J27" s="1">
        <f>F27+G27+H27</f>
        <v/>
      </c>
      <c r="K27" s="2">
        <f>J27/E27</f>
        <v/>
      </c>
    </row>
    <row r="28">
      <c r="A28">
        <f>A82</f>
        <v/>
      </c>
      <c r="B28" s="1">
        <f>V82</f>
        <v/>
      </c>
      <c r="C28" s="1">
        <f>Supuestos!$B$30*S82</f>
        <v/>
      </c>
      <c r="D28" s="1">
        <f>MIN($J$6*U82,E82)</f>
        <v/>
      </c>
      <c r="E28" s="1">
        <f>SUM(J82:Q82)</f>
        <v/>
      </c>
      <c r="F28" s="1">
        <f>(MIN(C28,D82)*Y82+(MIN(H82,AA82)-MIN(H82,(V82-MIN(C28,D82))/($B$82*24*$L$6)))*AB82)*IF(Q82&lt;0,1+Q82/SUM(J82:P82),1)</f>
        <v/>
      </c>
      <c r="G28" s="1">
        <f>((MIN(H82,(V82-MIN(C28,D82))/($B$82*24*$L$6))-MIN(MAX(H82-MIN(Supuestos!$C$30,IF(T82&gt;0,$J$6/T82,0)),0),(V82-MIN(C28,D82))/($B$82*24*$L$6)))*AB82+D28*Z82-D28/Supuestos!$B$18*X82)*IF(Q82&lt;0,1+Q82/SUM(J82:P82),1)</f>
        <v/>
      </c>
      <c r="H28" s="1">
        <f>IF(Supuestos!$E$30="Sí",R82,0)</f>
        <v/>
      </c>
      <c r="I28" s="1">
        <f>E28-J28</f>
        <v/>
      </c>
      <c r="J28" s="1">
        <f>F28+G28+H28</f>
        <v/>
      </c>
      <c r="K28" s="2">
        <f>J28/E28</f>
        <v/>
      </c>
    </row>
    <row r="29">
      <c r="A29">
        <f>A83</f>
        <v/>
      </c>
      <c r="B29" s="1">
        <f>V83</f>
        <v/>
      </c>
      <c r="C29" s="1">
        <f>Supuestos!$B$30*S83</f>
        <v/>
      </c>
      <c r="D29" s="1">
        <f>MIN($J$6*U83,E83)</f>
        <v/>
      </c>
      <c r="E29" s="1">
        <f>SUM(J83:Q83)</f>
        <v/>
      </c>
      <c r="F29" s="1">
        <f>(MIN(C29,D83)*Y83+(MIN(H83,AA83)-MIN(H83,(V83-MIN(C29,D83))/($B$83*24*$L$6)))*AB83)*IF(Q83&lt;0,1+Q83/SUM(J83:P83),1)</f>
        <v/>
      </c>
      <c r="G29" s="1">
        <f>((MIN(H83,(V83-MIN(C29,D83))/($B$83*24*$L$6))-MIN(MAX(H83-MIN(Supuestos!$C$30,IF(T83&gt;0,$J$6/T83,0)),0),(V83-MIN(C29,D83))/($B$83*24*$L$6)))*AB83+D29*Z83-D29/Supuestos!$B$18*X83)*IF(Q83&lt;0,1+Q83/SUM(J83:P83),1)</f>
        <v/>
      </c>
      <c r="H29" s="1">
        <f>IF(Supuestos!$E$30="Sí",R83,0)</f>
        <v/>
      </c>
      <c r="I29" s="1">
        <f>E29-J29</f>
        <v/>
      </c>
      <c r="J29" s="1">
        <f>F29+G29+H29</f>
        <v/>
      </c>
      <c r="K29" s="2">
        <f>J29/E29</f>
        <v/>
      </c>
    </row>
    <row r="30">
      <c r="A30">
        <f>A84</f>
        <v/>
      </c>
      <c r="B30" s="1">
        <f>V84</f>
        <v/>
      </c>
      <c r="C30" s="1">
        <f>Supuestos!$B$30*S84</f>
        <v/>
      </c>
      <c r="D30" s="1">
        <f>MIN($J$6*U84,E84)</f>
        <v/>
      </c>
      <c r="E30" s="1">
        <f>SUM(J84:Q84)</f>
        <v/>
      </c>
      <c r="F30" s="1">
        <f>(MIN(C30,D84)*Y84+(MIN(H84,AA84)-MIN(H84,(V84-MIN(C30,D84))/($B$84*24*$L$6)))*AB84)*IF(Q84&lt;0,1+Q84/SUM(J84:P84),1)</f>
        <v/>
      </c>
      <c r="G30" s="1">
        <f>((MIN(H84,(V84-MIN(C30,D84))/($B$84*24*$L$6))-MIN(MAX(H84-MIN(Supuestos!$C$30,IF(T84&gt;0,$J$6/T84,0)),0),(V84-MIN(C30,D84))/($B$84*24*$L$6)))*AB84+D30*Z84-D30/Supuestos!$B$18*X84)*IF(Q84&lt;0,1+Q84/SUM(J84:P84),1)</f>
        <v/>
      </c>
      <c r="H30" s="1">
        <f>IF(Supuestos!$E$30="Sí",R84,0)</f>
        <v/>
      </c>
      <c r="I30" s="1">
        <f>E30-J30</f>
        <v/>
      </c>
      <c r="J30" s="1">
        <f>F30+G30+H30</f>
        <v/>
      </c>
      <c r="K30" s="2">
        <f>J30/E30</f>
        <v/>
      </c>
    </row>
    <row r="31">
      <c r="A31">
        <f>A85</f>
        <v/>
      </c>
      <c r="B31" s="1">
        <f>V85</f>
        <v/>
      </c>
      <c r="C31" s="1">
        <f>Supuestos!$B$30*S85</f>
        <v/>
      </c>
      <c r="D31" s="1">
        <f>MIN($J$6*U85,E85)</f>
        <v/>
      </c>
      <c r="E31" s="1">
        <f>SUM(J85:Q85)</f>
        <v/>
      </c>
      <c r="F31" s="1">
        <f>(MIN(C31,D85)*Y85+(MIN(H85,AA85)-MIN(H85,(V85-MIN(C31,D85))/($B$85*24*$L$6)))*AB85)*IF(Q85&lt;0,1+Q85/SUM(J85:P85),1)</f>
        <v/>
      </c>
      <c r="G31" s="1">
        <f>((MIN(H85,(V85-MIN(C31,D85))/($B$85*24*$L$6))-MIN(MAX(H85-MIN(Supuestos!$C$30,IF(T85&gt;0,$J$6/T85,0)),0),(V85-MIN(C31,D85))/($B$85*24*$L$6)))*AB85+D31*Z85-D31/Supuestos!$B$18*X85)*IF(Q85&lt;0,1+Q85/SUM(J85:P85),1)</f>
        <v/>
      </c>
      <c r="H31" s="1">
        <f>IF(Supuestos!$E$30="Sí",R85,0)</f>
        <v/>
      </c>
      <c r="I31" s="1">
        <f>E31-J31</f>
        <v/>
      </c>
      <c r="J31" s="1">
        <f>F31+G31+H31</f>
        <v/>
      </c>
      <c r="K31" s="2">
        <f>J31/E31</f>
        <v/>
      </c>
    </row>
    <row r="32">
      <c r="A32">
        <f>A86</f>
        <v/>
      </c>
      <c r="B32" s="1">
        <f>V86</f>
        <v/>
      </c>
      <c r="C32" s="1">
        <f>Supuestos!$B$30*S86</f>
        <v/>
      </c>
      <c r="D32" s="1">
        <f>MIN($J$6*U86,E86)</f>
        <v/>
      </c>
      <c r="E32" s="1">
        <f>SUM(J86:Q86)</f>
        <v/>
      </c>
      <c r="F32" s="1">
        <f>(MIN(C32,D86)*Y86+(MIN(H86,AA86)-MIN(H86,(V86-MIN(C32,D86))/($B$86*24*$L$6)))*AB86)*IF(Q86&lt;0,1+Q86/SUM(J86:P86),1)</f>
        <v/>
      </c>
      <c r="G32" s="1">
        <f>((MIN(H86,(V86-MIN(C32,D86))/($B$86*24*$L$6))-MIN(MAX(H86-MIN(Supuestos!$C$30,IF(T86&gt;0,$J$6/T86,0)),0),(V86-MIN(C32,D86))/($B$86*24*$L$6)))*AB86+D32*Z86-D32/Supuestos!$B$18*X86)*IF(Q86&lt;0,1+Q86/SUM(J86:P86),1)</f>
        <v/>
      </c>
      <c r="H32" s="1">
        <f>IF(Supuestos!$E$30="Sí",R86,0)</f>
        <v/>
      </c>
      <c r="I32" s="1">
        <f>E32-J32</f>
        <v/>
      </c>
      <c r="J32" s="1">
        <f>F32+G32+H32</f>
        <v/>
      </c>
      <c r="K32" s="2">
        <f>J32/E32</f>
        <v/>
      </c>
    </row>
    <row r="33">
      <c r="A33">
        <f>A87</f>
        <v/>
      </c>
      <c r="B33" s="1">
        <f>V87</f>
        <v/>
      </c>
      <c r="C33" s="1">
        <f>Supuestos!$B$30*S87</f>
        <v/>
      </c>
      <c r="D33" s="1">
        <f>MIN($J$6*U87,E87)</f>
        <v/>
      </c>
      <c r="E33" s="1">
        <f>SUM(J87:Q87)</f>
        <v/>
      </c>
      <c r="F33" s="1">
        <f>(MIN(C33,D87)*Y87+(MIN(H87,AA87)-MIN(H87,(V87-MIN(C33,D87))/($B$87*24*$L$6)))*AB87)*IF(Q87&lt;0,1+Q87/SUM(J87:P87),1)</f>
        <v/>
      </c>
      <c r="G33" s="1">
        <f>((MIN(H87,(V87-MIN(C33,D87))/($B$87*24*$L$6))-MIN(MAX(H87-MIN(Supuestos!$C$30,IF(T87&gt;0,$J$6/T87,0)),0),(V87-MIN(C33,D87))/($B$87*24*$L$6)))*AB87+D33*Z87-D33/Supuestos!$B$18*X87)*IF(Q87&lt;0,1+Q87/SUM(J87:P87),1)</f>
        <v/>
      </c>
      <c r="H33" s="1">
        <f>IF(Supuestos!$E$30="Sí",R87,0)</f>
        <v/>
      </c>
      <c r="I33" s="1">
        <f>E33-J33</f>
        <v/>
      </c>
      <c r="J33" s="1">
        <f>F33+G33+H33</f>
        <v/>
      </c>
      <c r="K33" s="2">
        <f>J33/E33</f>
        <v/>
      </c>
    </row>
    <row r="34">
      <c r="A34">
        <f>A88</f>
        <v/>
      </c>
      <c r="B34" s="1">
        <f>V88</f>
        <v/>
      </c>
      <c r="C34" s="1">
        <f>Supuestos!$B$30*S88</f>
        <v/>
      </c>
      <c r="D34" s="1">
        <f>MIN($J$6*U88,E88)</f>
        <v/>
      </c>
      <c r="E34" s="1">
        <f>SUM(J88:Q88)</f>
        <v/>
      </c>
      <c r="F34" s="1">
        <f>(MIN(C34,D88)*Y88+(MIN(H88,AA88)-MIN(H88,(V88-MIN(C34,D88))/($B$88*24*$L$6)))*AB88)*IF(Q88&lt;0,1+Q88/SUM(J88:P88),1)</f>
        <v/>
      </c>
      <c r="G34" s="1">
        <f>((MIN(H88,(V88-MIN(C34,D88))/($B$88*24*$L$6))-MIN(MAX(H88-MIN(Supuestos!$C$30,IF(T88&gt;0,$J$6/T88,0)),0),(V88-MIN(C34,D88))/($B$88*24*$L$6)))*AB88+D34*Z88-D34/Supuestos!$B$18*X88)*IF(Q88&lt;0,1+Q88/SUM(J88:P88),1)</f>
        <v/>
      </c>
      <c r="H34" s="1">
        <f>IF(Supuestos!$E$30="Sí",R88,0)</f>
        <v/>
      </c>
      <c r="I34" s="1">
        <f>E34-J34</f>
        <v/>
      </c>
      <c r="J34" s="1">
        <f>F34+G34+H34</f>
        <v/>
      </c>
      <c r="K34" s="2">
        <f>J34/E34</f>
        <v/>
      </c>
    </row>
    <row r="35">
      <c r="A35">
        <f>A89</f>
        <v/>
      </c>
      <c r="B35" s="1">
        <f>V89</f>
        <v/>
      </c>
      <c r="C35" s="1">
        <f>Supuestos!$B$30*S89</f>
        <v/>
      </c>
      <c r="D35" s="1">
        <f>MIN($J$6*U89,E89)</f>
        <v/>
      </c>
      <c r="E35" s="1">
        <f>SUM(J89:Q89)</f>
        <v/>
      </c>
      <c r="F35" s="1">
        <f>(MIN(C35,D89)*Y89+(MIN(H89,AA89)-MIN(H89,(V89-MIN(C35,D89))/($B$89*24*$L$6)))*AB89)*IF(Q89&lt;0,1+Q89/SUM(J89:P89),1)</f>
        <v/>
      </c>
      <c r="G35" s="1">
        <f>((MIN(H89,(V89-MIN(C35,D89))/($B$89*24*$L$6))-MIN(MAX(H89-MIN(Supuestos!$C$30,IF(T89&gt;0,$J$6/T89,0)),0),(V89-MIN(C35,D89))/($B$89*24*$L$6)))*AB89+D35*Z89-D35/Supuestos!$B$18*X89)*IF(Q89&lt;0,1+Q89/SUM(J89:P89),1)</f>
        <v/>
      </c>
      <c r="H35" s="1">
        <f>IF(Supuestos!$E$30="Sí",R89,0)</f>
        <v/>
      </c>
      <c r="I35" s="1">
        <f>E35-J35</f>
        <v/>
      </c>
      <c r="J35" s="1">
        <f>F35+G35+H35</f>
        <v/>
      </c>
      <c r="K35" s="2">
        <f>J35/E35</f>
        <v/>
      </c>
    </row>
    <row r="36">
      <c r="A36">
        <f>A90</f>
        <v/>
      </c>
      <c r="B36" s="1">
        <f>V90</f>
        <v/>
      </c>
      <c r="C36" s="1">
        <f>Supuestos!$B$30*S90</f>
        <v/>
      </c>
      <c r="D36" s="1">
        <f>MIN($J$6*U90,E90)</f>
        <v/>
      </c>
      <c r="E36" s="1">
        <f>SUM(J90:Q90)</f>
        <v/>
      </c>
      <c r="F36" s="1">
        <f>(MIN(C36,D90)*Y90+(MIN(H90,AA90)-MIN(H90,(V90-MIN(C36,D90))/($B$90*24*$L$6)))*AB90)*IF(Q90&lt;0,1+Q90/SUM(J90:P90),1)</f>
        <v/>
      </c>
      <c r="G36" s="1">
        <f>((MIN(H90,(V90-MIN(C36,D90))/($B$90*24*$L$6))-MIN(MAX(H90-MIN(Supuestos!$C$30,IF(T90&gt;0,$J$6/T90,0)),0),(V90-MIN(C36,D90))/($B$90*24*$L$6)))*AB90+D36*Z90-D36/Supuestos!$B$18*X90)*IF(Q90&lt;0,1+Q90/SUM(J90:P90),1)</f>
        <v/>
      </c>
      <c r="H36" s="1">
        <f>IF(Supuestos!$E$30="Sí",R90,0)</f>
        <v/>
      </c>
      <c r="I36" s="1">
        <f>E36-J36</f>
        <v/>
      </c>
      <c r="J36" s="1">
        <f>F36+G36+H36</f>
        <v/>
      </c>
      <c r="K36" s="2">
        <f>J36/E36</f>
        <v/>
      </c>
    </row>
    <row r="37">
      <c r="A37">
        <f>A91</f>
        <v/>
      </c>
      <c r="B37" s="1">
        <f>V91</f>
        <v/>
      </c>
      <c r="C37" s="1">
        <f>Supuestos!$B$30*S91</f>
        <v/>
      </c>
      <c r="D37" s="1">
        <f>MIN($J$6*U91,E91)</f>
        <v/>
      </c>
      <c r="E37" s="1">
        <f>SUM(J91:Q91)</f>
        <v/>
      </c>
      <c r="F37" s="1">
        <f>(MIN(C37,D91)*Y91+(MIN(H91,AA91)-MIN(H91,(V91-MIN(C37,D91))/($B$91*24*$L$6)))*AB91)*IF(Q91&lt;0,1+Q91/SUM(J91:P91),1)</f>
        <v/>
      </c>
      <c r="G37" s="1">
        <f>((MIN(H91,(V91-MIN(C37,D91))/($B$91*24*$L$6))-MIN(MAX(H91-MIN(Supuestos!$C$30,IF(T91&gt;0,$J$6/T91,0)),0),(V91-MIN(C37,D91))/($B$91*24*$L$6)))*AB91+D37*Z91-D37/Supuestos!$B$18*X91)*IF(Q91&lt;0,1+Q91/SUM(J91:P91),1)</f>
        <v/>
      </c>
      <c r="H37" s="1">
        <f>IF(Supuestos!$E$30="Sí",R91,0)</f>
        <v/>
      </c>
      <c r="I37" s="1">
        <f>E37-J37</f>
        <v/>
      </c>
      <c r="J37" s="1">
        <f>F37+G37+H37</f>
        <v/>
      </c>
      <c r="K37" s="2">
        <f>J37/E37</f>
        <v/>
      </c>
    </row>
    <row r="38">
      <c r="A38" s="17" t="inlineStr">
        <is>
          <t>TOTAL</t>
        </is>
      </c>
      <c r="B38" s="22">
        <f>SUM(B26:B37)</f>
        <v/>
      </c>
      <c r="C38" s="22">
        <f>SUM(C26:C37)</f>
        <v/>
      </c>
      <c r="D38" s="22">
        <f>SUM(D26:D37)</f>
        <v/>
      </c>
      <c r="E38" s="22">
        <f>SUM(E26:E37)</f>
        <v/>
      </c>
      <c r="F38" s="22">
        <f>SUM(F26:F37)</f>
        <v/>
      </c>
      <c r="G38" s="22">
        <f>SUM(G26:G37)</f>
        <v/>
      </c>
      <c r="H38" s="22">
        <f>SUM(H26:H37)</f>
        <v/>
      </c>
      <c r="I38" s="22">
        <f>SUM(I26:I37)</f>
        <v/>
      </c>
      <c r="J38" s="22">
        <f>SUM(J26:J37)</f>
        <v/>
      </c>
      <c r="K38" s="23">
        <f>J38/E38</f>
        <v/>
      </c>
    </row>
    <row r="39">
      <c r="A39" s="5" t="inlineStr">
        <is>
          <t>Factor anualización (12/meses):</t>
        </is>
      </c>
      <c r="B39" s="24" t="n">
        <v>1</v>
      </c>
    </row>
    <row r="40">
      <c r="A40" s="6" t="inlineStr">
        <is>
          <t>4. PROYECCIÓN 20 AÑOS — Comprar vs PPA/Ahorro compartido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12" t="inlineStr">
        <is>
          <t>Año</t>
        </is>
      </c>
      <c r="B41" s="12" t="inlineStr">
        <is>
          <t>Tarifa Actual $</t>
        </is>
      </c>
      <c r="C41" s="12" t="inlineStr">
        <is>
          <t>Ah PV $</t>
        </is>
      </c>
      <c r="D41" s="12" t="inlineStr">
        <is>
          <t>Ah BESS $</t>
        </is>
      </c>
      <c r="E41" s="12" t="inlineStr">
        <is>
          <t>Ah FP $</t>
        </is>
      </c>
      <c r="F41" s="12" t="inlineStr">
        <is>
          <t>Costo c/proy $</t>
        </is>
      </c>
      <c r="G41" s="12" t="inlineStr">
        <is>
          <t>Flujo Compra $</t>
        </is>
      </c>
      <c r="H41" s="12" t="inlineStr">
        <is>
          <t>Pago PPA $</t>
        </is>
      </c>
      <c r="I41" s="12" t="inlineStr">
        <is>
          <t>Comisión $</t>
        </is>
      </c>
      <c r="J41" s="12" t="inlineStr">
        <is>
          <t>Flujo Cliente PPA $</t>
        </is>
      </c>
      <c r="K41" s="12" t="inlineStr">
        <is>
          <t>Flujo Financiador $</t>
        </is>
      </c>
      <c r="L41" s="12" t="inlineStr">
        <is>
          <t>Acum Compra $</t>
        </is>
      </c>
      <c r="M41" s="12" t="inlineStr">
        <is>
          <t>Acum Cliente PPA $</t>
        </is>
      </c>
    </row>
    <row r="42">
      <c r="A42" t="n">
        <v>0</v>
      </c>
      <c r="G42" s="1">
        <f>-B22</f>
        <v/>
      </c>
      <c r="K42" s="1">
        <f>-B22</f>
        <v/>
      </c>
      <c r="L42" s="1">
        <f>G42</f>
        <v/>
      </c>
      <c r="M42" s="1" t="n">
        <v>0</v>
      </c>
    </row>
    <row r="43">
      <c r="A43" t="n">
        <v>1</v>
      </c>
      <c r="B43" s="1">
        <f>$E$38*$B$39*(1+Supuestos!$B$8)^1</f>
        <v/>
      </c>
      <c r="C43" s="1">
        <f>$F$38*$B$39*(1+Supuestos!$B$8)^1*((1-Supuestos!$B$11)*(1-Supuestos!$B$12)^0)</f>
        <v/>
      </c>
      <c r="D43" s="1">
        <f>$G$38*$B$39*(1+Supuestos!$B$8)^1*(1-Supuestos!$B$13)^1*Supuestos!$B$10</f>
        <v/>
      </c>
      <c r="E43" s="1">
        <f>$H$38*$B$39*(1+Supuestos!$B$8)^1</f>
        <v/>
      </c>
      <c r="F43" s="1">
        <f>B43-C43-D43-E43</f>
        <v/>
      </c>
      <c r="G43" s="1">
        <f>C43+D43+E43-(IF(1&lt;=Supuestos!$J$30,Supuestos!$B$19*Supuestos!$B$30*(1+Supuestos!$B$8)^0,0)+IF(1&lt;=Supuestos!$B$22,Supuestos!$B$20*Supuestos!$D$30*(1+Supuestos!$B$8)^0,0))</f>
        <v/>
      </c>
      <c r="H43" s="1">
        <f>IF(1&lt;=Supuestos!$J$30,$C$38*$B$39*((1-Supuestos!$B$11)*(1-Supuestos!$B$12)^0)*Supuestos!$I$30*(1+Supuestos!$B$9)^0,0)</f>
        <v/>
      </c>
      <c r="I43" s="1">
        <f>IF(1&lt;=Supuestos!$B$22,D43*Supuestos!$K$30,0)</f>
        <v/>
      </c>
      <c r="J43" s="1">
        <f>C43+D43+E43-H43-I43</f>
        <v/>
      </c>
      <c r="K43" s="1">
        <f>H43+I43-(IF(1&lt;=Supuestos!$J$30,Supuestos!$B$19*Supuestos!$B$30*(1+Supuestos!$B$8)^0,0)+IF(1&lt;=Supuestos!$B$22,Supuestos!$B$20*Supuestos!$D$30*(1+Supuestos!$B$8)^0,0))-H43*Supuestos!$B$21</f>
        <v/>
      </c>
      <c r="L43" s="1">
        <f>L42+G43</f>
        <v/>
      </c>
      <c r="M43" s="1">
        <f>M42+J43</f>
        <v/>
      </c>
    </row>
    <row r="44">
      <c r="A44" t="n">
        <v>2</v>
      </c>
      <c r="B44" s="1">
        <f>$E$38*$B$39*(1+Supuestos!$B$8)^2</f>
        <v/>
      </c>
      <c r="C44" s="1">
        <f>$F$38*$B$39*(1+Supuestos!$B$8)^2*((1-Supuestos!$B$11)*(1-Supuestos!$B$12)^1)</f>
        <v/>
      </c>
      <c r="D44" s="1">
        <f>$G$38*$B$39*(1+Supuestos!$B$8)^2*(1-Supuestos!$B$13)^2*Supuestos!$B$10</f>
        <v/>
      </c>
      <c r="E44" s="1">
        <f>$H$38*$B$39*(1+Supuestos!$B$8)^2</f>
        <v/>
      </c>
      <c r="F44" s="1">
        <f>B44-C44-D44-E44</f>
        <v/>
      </c>
      <c r="G44" s="1">
        <f>C44+D44+E44-(IF(2&lt;=Supuestos!$J$30,Supuestos!$B$19*Supuestos!$B$30*(1+Supuestos!$B$8)^1,0)+IF(2&lt;=Supuestos!$B$22,Supuestos!$B$20*Supuestos!$D$30*(1+Supuestos!$B$8)^1,0))</f>
        <v/>
      </c>
      <c r="H44" s="1">
        <f>IF(2&lt;=Supuestos!$J$30,$C$38*$B$39*((1-Supuestos!$B$11)*(1-Supuestos!$B$12)^1)*Supuestos!$I$30*(1+Supuestos!$B$9)^1,0)</f>
        <v/>
      </c>
      <c r="I44" s="1">
        <f>IF(2&lt;=Supuestos!$B$22,D44*Supuestos!$K$30,0)</f>
        <v/>
      </c>
      <c r="J44" s="1">
        <f>C44+D44+E44-H44-I44</f>
        <v/>
      </c>
      <c r="K44" s="1">
        <f>H44+I44-(IF(2&lt;=Supuestos!$J$30,Supuestos!$B$19*Supuestos!$B$30*(1+Supuestos!$B$8)^1,0)+IF(2&lt;=Supuestos!$B$22,Supuestos!$B$20*Supuestos!$D$30*(1+Supuestos!$B$8)^1,0))-H44*Supuestos!$B$21</f>
        <v/>
      </c>
      <c r="L44" s="1">
        <f>L43+G44</f>
        <v/>
      </c>
      <c r="M44" s="1">
        <f>M43+J44</f>
        <v/>
      </c>
    </row>
    <row r="45">
      <c r="A45" t="n">
        <v>3</v>
      </c>
      <c r="B45" s="1">
        <f>$E$38*$B$39*(1+Supuestos!$B$8)^3</f>
        <v/>
      </c>
      <c r="C45" s="1">
        <f>$F$38*$B$39*(1+Supuestos!$B$8)^3*((1-Supuestos!$B$11)*(1-Supuestos!$B$12)^2)</f>
        <v/>
      </c>
      <c r="D45" s="1">
        <f>$G$38*$B$39*(1+Supuestos!$B$8)^3*(1-Supuestos!$B$13)^3*Supuestos!$B$10</f>
        <v/>
      </c>
      <c r="E45" s="1">
        <f>$H$38*$B$39*(1+Supuestos!$B$8)^3</f>
        <v/>
      </c>
      <c r="F45" s="1">
        <f>B45-C45-D45-E45</f>
        <v/>
      </c>
      <c r="G45" s="1">
        <f>C45+D45+E45-(IF(3&lt;=Supuestos!$J$30,Supuestos!$B$19*Supuestos!$B$30*(1+Supuestos!$B$8)^2,0)+IF(3&lt;=Supuestos!$B$22,Supuestos!$B$20*Supuestos!$D$30*(1+Supuestos!$B$8)^2,0))</f>
        <v/>
      </c>
      <c r="H45" s="1">
        <f>IF(3&lt;=Supuestos!$J$30,$C$38*$B$39*((1-Supuestos!$B$11)*(1-Supuestos!$B$12)^2)*Supuestos!$I$30*(1+Supuestos!$B$9)^2,0)</f>
        <v/>
      </c>
      <c r="I45" s="1">
        <f>IF(3&lt;=Supuestos!$B$22,D45*Supuestos!$K$30,0)</f>
        <v/>
      </c>
      <c r="J45" s="1">
        <f>C45+D45+E45-H45-I45</f>
        <v/>
      </c>
      <c r="K45" s="1">
        <f>H45+I45-(IF(3&lt;=Supuestos!$J$30,Supuestos!$B$19*Supuestos!$B$30*(1+Supuestos!$B$8)^2,0)+IF(3&lt;=Supuestos!$B$22,Supuestos!$B$20*Supuestos!$D$30*(1+Supuestos!$B$8)^2,0))-H45*Supuestos!$B$21</f>
        <v/>
      </c>
      <c r="L45" s="1">
        <f>L44+G45</f>
        <v/>
      </c>
      <c r="M45" s="1">
        <f>M44+J45</f>
        <v/>
      </c>
    </row>
    <row r="46">
      <c r="A46" t="n">
        <v>4</v>
      </c>
      <c r="B46" s="1">
        <f>$E$38*$B$39*(1+Supuestos!$B$8)^4</f>
        <v/>
      </c>
      <c r="C46" s="1">
        <f>$F$38*$B$39*(1+Supuestos!$B$8)^4*((1-Supuestos!$B$11)*(1-Supuestos!$B$12)^3)</f>
        <v/>
      </c>
      <c r="D46" s="1">
        <f>$G$38*$B$39*(1+Supuestos!$B$8)^4*(1-Supuestos!$B$13)^4*Supuestos!$B$10</f>
        <v/>
      </c>
      <c r="E46" s="1">
        <f>$H$38*$B$39*(1+Supuestos!$B$8)^4</f>
        <v/>
      </c>
      <c r="F46" s="1">
        <f>B46-C46-D46-E46</f>
        <v/>
      </c>
      <c r="G46" s="1">
        <f>C46+D46+E46-(IF(4&lt;=Supuestos!$J$30,Supuestos!$B$19*Supuestos!$B$30*(1+Supuestos!$B$8)^3,0)+IF(4&lt;=Supuestos!$B$22,Supuestos!$B$20*Supuestos!$D$30*(1+Supuestos!$B$8)^3,0))</f>
        <v/>
      </c>
      <c r="H46" s="1">
        <f>IF(4&lt;=Supuestos!$J$30,$C$38*$B$39*((1-Supuestos!$B$11)*(1-Supuestos!$B$12)^3)*Supuestos!$I$30*(1+Supuestos!$B$9)^3,0)</f>
        <v/>
      </c>
      <c r="I46" s="1">
        <f>IF(4&lt;=Supuestos!$B$22,D46*Supuestos!$K$30,0)</f>
        <v/>
      </c>
      <c r="J46" s="1">
        <f>C46+D46+E46-H46-I46</f>
        <v/>
      </c>
      <c r="K46" s="1">
        <f>H46+I46-(IF(4&lt;=Supuestos!$J$30,Supuestos!$B$19*Supuestos!$B$30*(1+Supuestos!$B$8)^3,0)+IF(4&lt;=Supuestos!$B$22,Supuestos!$B$20*Supuestos!$D$30*(1+Supuestos!$B$8)^3,0))-H46*Supuestos!$B$21</f>
        <v/>
      </c>
      <c r="L46" s="1">
        <f>L45+G46</f>
        <v/>
      </c>
      <c r="M46" s="1">
        <f>M45+J46</f>
        <v/>
      </c>
    </row>
    <row r="47">
      <c r="A47" t="n">
        <v>5</v>
      </c>
      <c r="B47" s="1">
        <f>$E$38*$B$39*(1+Supuestos!$B$8)^5</f>
        <v/>
      </c>
      <c r="C47" s="1">
        <f>$F$38*$B$39*(1+Supuestos!$B$8)^5*((1-Supuestos!$B$11)*(1-Supuestos!$B$12)^4)</f>
        <v/>
      </c>
      <c r="D47" s="1">
        <f>$G$38*$B$39*(1+Supuestos!$B$8)^5*(1-Supuestos!$B$13)^5*Supuestos!$B$10</f>
        <v/>
      </c>
      <c r="E47" s="1">
        <f>$H$38*$B$39*(1+Supuestos!$B$8)^5</f>
        <v/>
      </c>
      <c r="F47" s="1">
        <f>B47-C47-D47-E47</f>
        <v/>
      </c>
      <c r="G47" s="1">
        <f>C47+D47+E47-(IF(5&lt;=Supuestos!$J$30,Supuestos!$B$19*Supuestos!$B$30*(1+Supuestos!$B$8)^4,0)+IF(5&lt;=Supuestos!$B$22,Supuestos!$B$20*Supuestos!$D$30*(1+Supuestos!$B$8)^4,0))</f>
        <v/>
      </c>
      <c r="H47" s="1">
        <f>IF(5&lt;=Supuestos!$J$30,$C$38*$B$39*((1-Supuestos!$B$11)*(1-Supuestos!$B$12)^4)*Supuestos!$I$30*(1+Supuestos!$B$9)^4,0)</f>
        <v/>
      </c>
      <c r="I47" s="1">
        <f>IF(5&lt;=Supuestos!$B$22,D47*Supuestos!$K$30,0)</f>
        <v/>
      </c>
      <c r="J47" s="1">
        <f>C47+D47+E47-H47-I47</f>
        <v/>
      </c>
      <c r="K47" s="1">
        <f>H47+I47-(IF(5&lt;=Supuestos!$J$30,Supuestos!$B$19*Supuestos!$B$30*(1+Supuestos!$B$8)^4,0)+IF(5&lt;=Supuestos!$B$22,Supuestos!$B$20*Supuestos!$D$30*(1+Supuestos!$B$8)^4,0))-H47*Supuestos!$B$21</f>
        <v/>
      </c>
      <c r="L47" s="1">
        <f>L46+G47</f>
        <v/>
      </c>
      <c r="M47" s="1">
        <f>M46+J47</f>
        <v/>
      </c>
    </row>
    <row r="48">
      <c r="A48" t="n">
        <v>6</v>
      </c>
      <c r="B48" s="1">
        <f>$E$38*$B$39*(1+Supuestos!$B$8)^6</f>
        <v/>
      </c>
      <c r="C48" s="1">
        <f>$F$38*$B$39*(1+Supuestos!$B$8)^6*((1-Supuestos!$B$11)*(1-Supuestos!$B$12)^5)</f>
        <v/>
      </c>
      <c r="D48" s="1">
        <f>$G$38*$B$39*(1+Supuestos!$B$8)^6*(1-Supuestos!$B$13)^6*Supuestos!$B$10</f>
        <v/>
      </c>
      <c r="E48" s="1">
        <f>$H$38*$B$39*(1+Supuestos!$B$8)^6</f>
        <v/>
      </c>
      <c r="F48" s="1">
        <f>B48-C48-D48-E48</f>
        <v/>
      </c>
      <c r="G48" s="1">
        <f>C48+D48+E48-(IF(6&lt;=Supuestos!$J$30,Supuestos!$B$19*Supuestos!$B$30*(1+Supuestos!$B$8)^5,0)+IF(6&lt;=Supuestos!$B$22,Supuestos!$B$20*Supuestos!$D$30*(1+Supuestos!$B$8)^5,0))</f>
        <v/>
      </c>
      <c r="H48" s="1">
        <f>IF(6&lt;=Supuestos!$J$30,$C$38*$B$39*((1-Supuestos!$B$11)*(1-Supuestos!$B$12)^5)*Supuestos!$I$30*(1+Supuestos!$B$9)^5,0)</f>
        <v/>
      </c>
      <c r="I48" s="1">
        <f>IF(6&lt;=Supuestos!$B$22,D48*Supuestos!$K$30,0)</f>
        <v/>
      </c>
      <c r="J48" s="1">
        <f>C48+D48+E48-H48-I48</f>
        <v/>
      </c>
      <c r="K48" s="1">
        <f>H48+I48-(IF(6&lt;=Supuestos!$J$30,Supuestos!$B$19*Supuestos!$B$30*(1+Supuestos!$B$8)^5,0)+IF(6&lt;=Supuestos!$B$22,Supuestos!$B$20*Supuestos!$D$30*(1+Supuestos!$B$8)^5,0))-H48*Supuestos!$B$21</f>
        <v/>
      </c>
      <c r="L48" s="1">
        <f>L47+G48</f>
        <v/>
      </c>
      <c r="M48" s="1">
        <f>M47+J48</f>
        <v/>
      </c>
    </row>
    <row r="49">
      <c r="A49" t="n">
        <v>7</v>
      </c>
      <c r="B49" s="1">
        <f>$E$38*$B$39*(1+Supuestos!$B$8)^7</f>
        <v/>
      </c>
      <c r="C49" s="1">
        <f>$F$38*$B$39*(1+Supuestos!$B$8)^7*((1-Supuestos!$B$11)*(1-Supuestos!$B$12)^6)</f>
        <v/>
      </c>
      <c r="D49" s="1">
        <f>$G$38*$B$39*(1+Supuestos!$B$8)^7*(1-Supuestos!$B$13)^7*Supuestos!$B$10</f>
        <v/>
      </c>
      <c r="E49" s="1">
        <f>$H$38*$B$39*(1+Supuestos!$B$8)^7</f>
        <v/>
      </c>
      <c r="F49" s="1">
        <f>B49-C49-D49-E49</f>
        <v/>
      </c>
      <c r="G49" s="1">
        <f>C49+D49+E49-(IF(7&lt;=Supuestos!$J$30,Supuestos!$B$19*Supuestos!$B$30*(1+Supuestos!$B$8)^6,0)+IF(7&lt;=Supuestos!$B$22,Supuestos!$B$20*Supuestos!$D$30*(1+Supuestos!$B$8)^6,0))</f>
        <v/>
      </c>
      <c r="H49" s="1">
        <f>IF(7&lt;=Supuestos!$J$30,$C$38*$B$39*((1-Supuestos!$B$11)*(1-Supuestos!$B$12)^6)*Supuestos!$I$30*(1+Supuestos!$B$9)^6,0)</f>
        <v/>
      </c>
      <c r="I49" s="1">
        <f>IF(7&lt;=Supuestos!$B$22,D49*Supuestos!$K$30,0)</f>
        <v/>
      </c>
      <c r="J49" s="1">
        <f>C49+D49+E49-H49-I49</f>
        <v/>
      </c>
      <c r="K49" s="1">
        <f>H49+I49-(IF(7&lt;=Supuestos!$J$30,Supuestos!$B$19*Supuestos!$B$30*(1+Supuestos!$B$8)^6,0)+IF(7&lt;=Supuestos!$B$22,Supuestos!$B$20*Supuestos!$D$30*(1+Supuestos!$B$8)^6,0))-H49*Supuestos!$B$21</f>
        <v/>
      </c>
      <c r="L49" s="1">
        <f>L48+G49</f>
        <v/>
      </c>
      <c r="M49" s="1">
        <f>M48+J49</f>
        <v/>
      </c>
    </row>
    <row r="50">
      <c r="A50" t="n">
        <v>8</v>
      </c>
      <c r="B50" s="1">
        <f>$E$38*$B$39*(1+Supuestos!$B$8)^8</f>
        <v/>
      </c>
      <c r="C50" s="1">
        <f>$F$38*$B$39*(1+Supuestos!$B$8)^8*((1-Supuestos!$B$11)*(1-Supuestos!$B$12)^7)</f>
        <v/>
      </c>
      <c r="D50" s="1">
        <f>$G$38*$B$39*(1+Supuestos!$B$8)^8*(1-Supuestos!$B$13)^8*Supuestos!$B$10</f>
        <v/>
      </c>
      <c r="E50" s="1">
        <f>$H$38*$B$39*(1+Supuestos!$B$8)^8</f>
        <v/>
      </c>
      <c r="F50" s="1">
        <f>B50-C50-D50-E50</f>
        <v/>
      </c>
      <c r="G50" s="1">
        <f>C50+D50+E50-(IF(8&lt;=Supuestos!$J$30,Supuestos!$B$19*Supuestos!$B$30*(1+Supuestos!$B$8)^7,0)+IF(8&lt;=Supuestos!$B$22,Supuestos!$B$20*Supuestos!$D$30*(1+Supuestos!$B$8)^7,0))</f>
        <v/>
      </c>
      <c r="H50" s="1">
        <f>IF(8&lt;=Supuestos!$J$30,$C$38*$B$39*((1-Supuestos!$B$11)*(1-Supuestos!$B$12)^7)*Supuestos!$I$30*(1+Supuestos!$B$9)^7,0)</f>
        <v/>
      </c>
      <c r="I50" s="1">
        <f>IF(8&lt;=Supuestos!$B$22,D50*Supuestos!$K$30,0)</f>
        <v/>
      </c>
      <c r="J50" s="1">
        <f>C50+D50+E50-H50-I50</f>
        <v/>
      </c>
      <c r="K50" s="1">
        <f>H50+I50-(IF(8&lt;=Supuestos!$J$30,Supuestos!$B$19*Supuestos!$B$30*(1+Supuestos!$B$8)^7,0)+IF(8&lt;=Supuestos!$B$22,Supuestos!$B$20*Supuestos!$D$30*(1+Supuestos!$B$8)^7,0))-H50*Supuestos!$B$21</f>
        <v/>
      </c>
      <c r="L50" s="1">
        <f>L49+G50</f>
        <v/>
      </c>
      <c r="M50" s="1">
        <f>M49+J50</f>
        <v/>
      </c>
    </row>
    <row r="51">
      <c r="A51" t="n">
        <v>9</v>
      </c>
      <c r="B51" s="1">
        <f>$E$38*$B$39*(1+Supuestos!$B$8)^9</f>
        <v/>
      </c>
      <c r="C51" s="1">
        <f>$F$38*$B$39*(1+Supuestos!$B$8)^9*((1-Supuestos!$B$11)*(1-Supuestos!$B$12)^8)</f>
        <v/>
      </c>
      <c r="D51" s="1">
        <f>$G$38*$B$39*(1+Supuestos!$B$8)^9*(1-Supuestos!$B$13)^9*Supuestos!$B$10</f>
        <v/>
      </c>
      <c r="E51" s="1">
        <f>$H$38*$B$39*(1+Supuestos!$B$8)^9</f>
        <v/>
      </c>
      <c r="F51" s="1">
        <f>B51-C51-D51-E51</f>
        <v/>
      </c>
      <c r="G51" s="1">
        <f>C51+D51+E51-(IF(9&lt;=Supuestos!$J$30,Supuestos!$B$19*Supuestos!$B$30*(1+Supuestos!$B$8)^8,0)+IF(9&lt;=Supuestos!$B$22,Supuestos!$B$20*Supuestos!$D$30*(1+Supuestos!$B$8)^8,0))</f>
        <v/>
      </c>
      <c r="H51" s="1">
        <f>IF(9&lt;=Supuestos!$J$30,$C$38*$B$39*((1-Supuestos!$B$11)*(1-Supuestos!$B$12)^8)*Supuestos!$I$30*(1+Supuestos!$B$9)^8,0)</f>
        <v/>
      </c>
      <c r="I51" s="1">
        <f>IF(9&lt;=Supuestos!$B$22,D51*Supuestos!$K$30,0)</f>
        <v/>
      </c>
      <c r="J51" s="1">
        <f>C51+D51+E51-H51-I51</f>
        <v/>
      </c>
      <c r="K51" s="1">
        <f>H51+I51-(IF(9&lt;=Supuestos!$J$30,Supuestos!$B$19*Supuestos!$B$30*(1+Supuestos!$B$8)^8,0)+IF(9&lt;=Supuestos!$B$22,Supuestos!$B$20*Supuestos!$D$30*(1+Supuestos!$B$8)^8,0))-H51*Supuestos!$B$21</f>
        <v/>
      </c>
      <c r="L51" s="1">
        <f>L50+G51</f>
        <v/>
      </c>
      <c r="M51" s="1">
        <f>M50+J51</f>
        <v/>
      </c>
    </row>
    <row r="52">
      <c r="A52" t="n">
        <v>10</v>
      </c>
      <c r="B52" s="1">
        <f>$E$38*$B$39*(1+Supuestos!$B$8)^10</f>
        <v/>
      </c>
      <c r="C52" s="1">
        <f>$F$38*$B$39*(1+Supuestos!$B$8)^10*((1-Supuestos!$B$11)*(1-Supuestos!$B$12)^9)</f>
        <v/>
      </c>
      <c r="D52" s="1">
        <f>$G$38*$B$39*(1+Supuestos!$B$8)^10*(1-Supuestos!$B$13)^10*Supuestos!$B$10</f>
        <v/>
      </c>
      <c r="E52" s="1">
        <f>$H$38*$B$39*(1+Supuestos!$B$8)^10</f>
        <v/>
      </c>
      <c r="F52" s="1">
        <f>B52-C52-D52-E52</f>
        <v/>
      </c>
      <c r="G52" s="1">
        <f>C52+D52+E52-(IF(10&lt;=Supuestos!$J$30,Supuestos!$B$19*Supuestos!$B$30*(1+Supuestos!$B$8)^9,0)+IF(10&lt;=Supuestos!$B$22,Supuestos!$B$20*Supuestos!$D$30*(1+Supuestos!$B$8)^9,0))</f>
        <v/>
      </c>
      <c r="H52" s="1">
        <f>IF(10&lt;=Supuestos!$J$30,$C$38*$B$39*((1-Supuestos!$B$11)*(1-Supuestos!$B$12)^9)*Supuestos!$I$30*(1+Supuestos!$B$9)^9,0)</f>
        <v/>
      </c>
      <c r="I52" s="1">
        <f>IF(10&lt;=Supuestos!$B$22,D52*Supuestos!$K$30,0)</f>
        <v/>
      </c>
      <c r="J52" s="1">
        <f>C52+D52+E52-H52-I52</f>
        <v/>
      </c>
      <c r="K52" s="1">
        <f>H52+I52-(IF(10&lt;=Supuestos!$J$30,Supuestos!$B$19*Supuestos!$B$30*(1+Supuestos!$B$8)^9,0)+IF(10&lt;=Supuestos!$B$22,Supuestos!$B$20*Supuestos!$D$30*(1+Supuestos!$B$8)^9,0))-H52*Supuestos!$B$21</f>
        <v/>
      </c>
      <c r="L52" s="1">
        <f>L51+G52</f>
        <v/>
      </c>
      <c r="M52" s="1">
        <f>M51+J52</f>
        <v/>
      </c>
    </row>
    <row r="53">
      <c r="A53" t="n">
        <v>11</v>
      </c>
      <c r="B53" s="1">
        <f>$E$38*$B$39*(1+Supuestos!$B$8)^11</f>
        <v/>
      </c>
      <c r="C53" s="1">
        <f>$F$38*$B$39*(1+Supuestos!$B$8)^11*((1-Supuestos!$B$11)*(1-Supuestos!$B$12)^10)</f>
        <v/>
      </c>
      <c r="D53" s="1">
        <f>$G$38*$B$39*(1+Supuestos!$B$8)^11*(1-Supuestos!$B$13)^11*Supuestos!$B$10</f>
        <v/>
      </c>
      <c r="E53" s="1">
        <f>$H$38*$B$39*(1+Supuestos!$B$8)^11</f>
        <v/>
      </c>
      <c r="F53" s="1">
        <f>B53-C53-D53-E53</f>
        <v/>
      </c>
      <c r="G53" s="1">
        <f>C53+D53+E53-(IF(11&lt;=Supuestos!$J$30,Supuestos!$B$19*Supuestos!$B$30*(1+Supuestos!$B$8)^10,0)+IF(11&lt;=Supuestos!$B$22,Supuestos!$B$20*Supuestos!$D$30*(1+Supuestos!$B$8)^10,0))</f>
        <v/>
      </c>
      <c r="H53" s="1">
        <f>IF(11&lt;=Supuestos!$J$30,$C$38*$B$39*((1-Supuestos!$B$11)*(1-Supuestos!$B$12)^10)*Supuestos!$I$30*(1+Supuestos!$B$9)^10,0)</f>
        <v/>
      </c>
      <c r="I53" s="1">
        <f>IF(11&lt;=Supuestos!$B$22,D53*Supuestos!$K$30,0)</f>
        <v/>
      </c>
      <c r="J53" s="1">
        <f>C53+D53+E53-H53-I53</f>
        <v/>
      </c>
      <c r="K53" s="1">
        <f>H53+I53-(IF(11&lt;=Supuestos!$J$30,Supuestos!$B$19*Supuestos!$B$30*(1+Supuestos!$B$8)^10,0)+IF(11&lt;=Supuestos!$B$22,Supuestos!$B$20*Supuestos!$D$30*(1+Supuestos!$B$8)^10,0))-H53*Supuestos!$B$21</f>
        <v/>
      </c>
      <c r="L53" s="1">
        <f>L52+G53</f>
        <v/>
      </c>
      <c r="M53" s="1">
        <f>M52+J53</f>
        <v/>
      </c>
    </row>
    <row r="54">
      <c r="A54" t="n">
        <v>12</v>
      </c>
      <c r="B54" s="1">
        <f>$E$38*$B$39*(1+Supuestos!$B$8)^12</f>
        <v/>
      </c>
      <c r="C54" s="1">
        <f>$F$38*$B$39*(1+Supuestos!$B$8)^12*((1-Supuestos!$B$11)*(1-Supuestos!$B$12)^11)</f>
        <v/>
      </c>
      <c r="D54" s="1">
        <f>$G$38*$B$39*(1+Supuestos!$B$8)^12*(1-Supuestos!$B$13)^12*Supuestos!$B$10</f>
        <v/>
      </c>
      <c r="E54" s="1">
        <f>$H$38*$B$39*(1+Supuestos!$B$8)^12</f>
        <v/>
      </c>
      <c r="F54" s="1">
        <f>B54-C54-D54-E54</f>
        <v/>
      </c>
      <c r="G54" s="1">
        <f>C54+D54+E54-(IF(12&lt;=Supuestos!$J$30,Supuestos!$B$19*Supuestos!$B$30*(1+Supuestos!$B$8)^11,0)+IF(12&lt;=Supuestos!$B$22,Supuestos!$B$20*Supuestos!$D$30*(1+Supuestos!$B$8)^11,0))</f>
        <v/>
      </c>
      <c r="H54" s="1">
        <f>IF(12&lt;=Supuestos!$J$30,$C$38*$B$39*((1-Supuestos!$B$11)*(1-Supuestos!$B$12)^11)*Supuestos!$I$30*(1+Supuestos!$B$9)^11,0)</f>
        <v/>
      </c>
      <c r="I54" s="1">
        <f>IF(12&lt;=Supuestos!$B$22,D54*Supuestos!$K$30,0)</f>
        <v/>
      </c>
      <c r="J54" s="1">
        <f>C54+D54+E54-H54-I54</f>
        <v/>
      </c>
      <c r="K54" s="1">
        <f>H54+I54-(IF(12&lt;=Supuestos!$J$30,Supuestos!$B$19*Supuestos!$B$30*(1+Supuestos!$B$8)^11,0)+IF(12&lt;=Supuestos!$B$22,Supuestos!$B$20*Supuestos!$D$30*(1+Supuestos!$B$8)^11,0))-H54*Supuestos!$B$21</f>
        <v/>
      </c>
      <c r="L54" s="1">
        <f>L53+G54</f>
        <v/>
      </c>
      <c r="M54" s="1">
        <f>M53+J54</f>
        <v/>
      </c>
    </row>
    <row r="55">
      <c r="A55" t="n">
        <v>13</v>
      </c>
      <c r="B55" s="1">
        <f>$E$38*$B$39*(1+Supuestos!$B$8)^13</f>
        <v/>
      </c>
      <c r="C55" s="1">
        <f>$F$38*$B$39*(1+Supuestos!$B$8)^13*((1-Supuestos!$B$11)*(1-Supuestos!$B$12)^12)</f>
        <v/>
      </c>
      <c r="D55" s="1">
        <f>$G$38*$B$39*(1+Supuestos!$B$8)^13*(1-Supuestos!$B$13)^13*Supuestos!$B$10</f>
        <v/>
      </c>
      <c r="E55" s="1">
        <f>$H$38*$B$39*(1+Supuestos!$B$8)^13</f>
        <v/>
      </c>
      <c r="F55" s="1">
        <f>B55-C55-D55-E55</f>
        <v/>
      </c>
      <c r="G55" s="1">
        <f>C55+D55+E55-(IF(13&lt;=Supuestos!$J$30,Supuestos!$B$19*Supuestos!$B$30*(1+Supuestos!$B$8)^12,0)+IF(13&lt;=Supuestos!$B$22,Supuestos!$B$20*Supuestos!$D$30*(1+Supuestos!$B$8)^12,0))</f>
        <v/>
      </c>
      <c r="H55" s="1">
        <f>IF(13&lt;=Supuestos!$J$30,$C$38*$B$39*((1-Supuestos!$B$11)*(1-Supuestos!$B$12)^12)*Supuestos!$I$30*(1+Supuestos!$B$9)^12,0)</f>
        <v/>
      </c>
      <c r="I55" s="1">
        <f>IF(13&lt;=Supuestos!$B$22,D55*Supuestos!$K$30,0)</f>
        <v/>
      </c>
      <c r="J55" s="1">
        <f>C55+D55+E55-H55-I55</f>
        <v/>
      </c>
      <c r="K55" s="1">
        <f>H55+I55-(IF(13&lt;=Supuestos!$J$30,Supuestos!$B$19*Supuestos!$B$30*(1+Supuestos!$B$8)^12,0)+IF(13&lt;=Supuestos!$B$22,Supuestos!$B$20*Supuestos!$D$30*(1+Supuestos!$B$8)^12,0))-H55*Supuestos!$B$21</f>
        <v/>
      </c>
      <c r="L55" s="1">
        <f>L54+G55</f>
        <v/>
      </c>
      <c r="M55" s="1">
        <f>M54+J55</f>
        <v/>
      </c>
    </row>
    <row r="56">
      <c r="A56" t="n">
        <v>14</v>
      </c>
      <c r="B56" s="1">
        <f>$E$38*$B$39*(1+Supuestos!$B$8)^14</f>
        <v/>
      </c>
      <c r="C56" s="1">
        <f>$F$38*$B$39*(1+Supuestos!$B$8)^14*((1-Supuestos!$B$11)*(1-Supuestos!$B$12)^13)</f>
        <v/>
      </c>
      <c r="D56" s="1">
        <f>$G$38*$B$39*(1+Supuestos!$B$8)^14*(1-Supuestos!$B$13)^14*Supuestos!$B$10</f>
        <v/>
      </c>
      <c r="E56" s="1">
        <f>$H$38*$B$39*(1+Supuestos!$B$8)^14</f>
        <v/>
      </c>
      <c r="F56" s="1">
        <f>B56-C56-D56-E56</f>
        <v/>
      </c>
      <c r="G56" s="1">
        <f>C56+D56+E56-(IF(14&lt;=Supuestos!$J$30,Supuestos!$B$19*Supuestos!$B$30*(1+Supuestos!$B$8)^13,0)+IF(14&lt;=Supuestos!$B$22,Supuestos!$B$20*Supuestos!$D$30*(1+Supuestos!$B$8)^13,0))</f>
        <v/>
      </c>
      <c r="H56" s="1">
        <f>IF(14&lt;=Supuestos!$J$30,$C$38*$B$39*((1-Supuestos!$B$11)*(1-Supuestos!$B$12)^13)*Supuestos!$I$30*(1+Supuestos!$B$9)^13,0)</f>
        <v/>
      </c>
      <c r="I56" s="1">
        <f>IF(14&lt;=Supuestos!$B$22,D56*Supuestos!$K$30,0)</f>
        <v/>
      </c>
      <c r="J56" s="1">
        <f>C56+D56+E56-H56-I56</f>
        <v/>
      </c>
      <c r="K56" s="1">
        <f>H56+I56-(IF(14&lt;=Supuestos!$J$30,Supuestos!$B$19*Supuestos!$B$30*(1+Supuestos!$B$8)^13,0)+IF(14&lt;=Supuestos!$B$22,Supuestos!$B$20*Supuestos!$D$30*(1+Supuestos!$B$8)^13,0))-H56*Supuestos!$B$21</f>
        <v/>
      </c>
      <c r="L56" s="1">
        <f>L55+G56</f>
        <v/>
      </c>
      <c r="M56" s="1">
        <f>M55+J56</f>
        <v/>
      </c>
    </row>
    <row r="57">
      <c r="A57" t="n">
        <v>15</v>
      </c>
      <c r="B57" s="1">
        <f>$E$38*$B$39*(1+Supuestos!$B$8)^15</f>
        <v/>
      </c>
      <c r="C57" s="1">
        <f>$F$38*$B$39*(1+Supuestos!$B$8)^15*((1-Supuestos!$B$11)*(1-Supuestos!$B$12)^14)</f>
        <v/>
      </c>
      <c r="D57" s="1">
        <f>$G$38*$B$39*(1+Supuestos!$B$8)^15*(1-Supuestos!$B$13)^15*Supuestos!$B$10</f>
        <v/>
      </c>
      <c r="E57" s="1">
        <f>$H$38*$B$39*(1+Supuestos!$B$8)^15</f>
        <v/>
      </c>
      <c r="F57" s="1">
        <f>B57-C57-D57-E57</f>
        <v/>
      </c>
      <c r="G57" s="1">
        <f>C57+D57+E57-(IF(15&lt;=Supuestos!$J$30,Supuestos!$B$19*Supuestos!$B$30*(1+Supuestos!$B$8)^14,0)+IF(15&lt;=Supuestos!$B$22,Supuestos!$B$20*Supuestos!$D$30*(1+Supuestos!$B$8)^14,0))</f>
        <v/>
      </c>
      <c r="H57" s="1">
        <f>IF(15&lt;=Supuestos!$J$30,$C$38*$B$39*((1-Supuestos!$B$11)*(1-Supuestos!$B$12)^14)*Supuestos!$I$30*(1+Supuestos!$B$9)^14,0)</f>
        <v/>
      </c>
      <c r="I57" s="1">
        <f>IF(15&lt;=Supuestos!$B$22,D57*Supuestos!$K$30,0)</f>
        <v/>
      </c>
      <c r="J57" s="1">
        <f>C57+D57+E57-H57-I57</f>
        <v/>
      </c>
      <c r="K57" s="1">
        <f>H57+I57-(IF(15&lt;=Supuestos!$J$30,Supuestos!$B$19*Supuestos!$B$30*(1+Supuestos!$B$8)^14,0)+IF(15&lt;=Supuestos!$B$22,Supuestos!$B$20*Supuestos!$D$30*(1+Supuestos!$B$8)^14,0))-H57*Supuestos!$B$21</f>
        <v/>
      </c>
      <c r="L57" s="1">
        <f>L56+G57</f>
        <v/>
      </c>
      <c r="M57" s="1">
        <f>M56+J57</f>
        <v/>
      </c>
    </row>
    <row r="58">
      <c r="A58" t="n">
        <v>16</v>
      </c>
      <c r="B58" s="1">
        <f>$E$38*$B$39*(1+Supuestos!$B$8)^16</f>
        <v/>
      </c>
      <c r="C58" s="1">
        <f>$F$38*$B$39*(1+Supuestos!$B$8)^16*((1-Supuestos!$B$11)*(1-Supuestos!$B$12)^15)</f>
        <v/>
      </c>
      <c r="D58" s="1">
        <f>$G$38*$B$39*(1+Supuestos!$B$8)^16*(1-Supuestos!$B$13)^16*Supuestos!$B$10</f>
        <v/>
      </c>
      <c r="E58" s="1">
        <f>$H$38*$B$39*(1+Supuestos!$B$8)^16</f>
        <v/>
      </c>
      <c r="F58" s="1">
        <f>B58-C58-D58-E58</f>
        <v/>
      </c>
      <c r="G58" s="1">
        <f>C58+D58+E58-(IF(16&lt;=Supuestos!$J$30,Supuestos!$B$19*Supuestos!$B$30*(1+Supuestos!$B$8)^15,0)+IF(16&lt;=Supuestos!$B$22,Supuestos!$B$20*Supuestos!$D$30*(1+Supuestos!$B$8)^15,0))</f>
        <v/>
      </c>
      <c r="H58" s="1">
        <f>IF(16&lt;=Supuestos!$J$30,$C$38*$B$39*((1-Supuestos!$B$11)*(1-Supuestos!$B$12)^15)*Supuestos!$I$30*(1+Supuestos!$B$9)^15,0)</f>
        <v/>
      </c>
      <c r="I58" s="1">
        <f>IF(16&lt;=Supuestos!$B$22,D58*Supuestos!$K$30,0)</f>
        <v/>
      </c>
      <c r="J58" s="1">
        <f>C58+D58+E58-H58-I58</f>
        <v/>
      </c>
      <c r="K58" s="1">
        <f>H58+I58-(IF(16&lt;=Supuestos!$J$30,Supuestos!$B$19*Supuestos!$B$30*(1+Supuestos!$B$8)^15,0)+IF(16&lt;=Supuestos!$B$22,Supuestos!$B$20*Supuestos!$D$30*(1+Supuestos!$B$8)^15,0))-H58*Supuestos!$B$21</f>
        <v/>
      </c>
      <c r="L58" s="1">
        <f>L57+G58</f>
        <v/>
      </c>
      <c r="M58" s="1">
        <f>M57+J58</f>
        <v/>
      </c>
    </row>
    <row r="59">
      <c r="A59" t="n">
        <v>17</v>
      </c>
      <c r="B59" s="1">
        <f>$E$38*$B$39*(1+Supuestos!$B$8)^17</f>
        <v/>
      </c>
      <c r="C59" s="1">
        <f>$F$38*$B$39*(1+Supuestos!$B$8)^17*((1-Supuestos!$B$11)*(1-Supuestos!$B$12)^16)</f>
        <v/>
      </c>
      <c r="D59" s="1">
        <f>$G$38*$B$39*(1+Supuestos!$B$8)^17*(1-Supuestos!$B$13)^17*Supuestos!$B$10</f>
        <v/>
      </c>
      <c r="E59" s="1">
        <f>$H$38*$B$39*(1+Supuestos!$B$8)^17</f>
        <v/>
      </c>
      <c r="F59" s="1">
        <f>B59-C59-D59-E59</f>
        <v/>
      </c>
      <c r="G59" s="1">
        <f>C59+D59+E59-(IF(17&lt;=Supuestos!$J$30,Supuestos!$B$19*Supuestos!$B$30*(1+Supuestos!$B$8)^16,0)+IF(17&lt;=Supuestos!$B$22,Supuestos!$B$20*Supuestos!$D$30*(1+Supuestos!$B$8)^16,0))</f>
        <v/>
      </c>
      <c r="H59" s="1">
        <f>IF(17&lt;=Supuestos!$J$30,$C$38*$B$39*((1-Supuestos!$B$11)*(1-Supuestos!$B$12)^16)*Supuestos!$I$30*(1+Supuestos!$B$9)^16,0)</f>
        <v/>
      </c>
      <c r="I59" s="1">
        <f>IF(17&lt;=Supuestos!$B$22,D59*Supuestos!$K$30,0)</f>
        <v/>
      </c>
      <c r="J59" s="1">
        <f>C59+D59+E59-H59-I59</f>
        <v/>
      </c>
      <c r="K59" s="1">
        <f>H59+I59-(IF(17&lt;=Supuestos!$J$30,Supuestos!$B$19*Supuestos!$B$30*(1+Supuestos!$B$8)^16,0)+IF(17&lt;=Supuestos!$B$22,Supuestos!$B$20*Supuestos!$D$30*(1+Supuestos!$B$8)^16,0))-H59*Supuestos!$B$21</f>
        <v/>
      </c>
      <c r="L59" s="1">
        <f>L58+G59</f>
        <v/>
      </c>
      <c r="M59" s="1">
        <f>M58+J59</f>
        <v/>
      </c>
    </row>
    <row r="60">
      <c r="A60" t="n">
        <v>18</v>
      </c>
      <c r="B60" s="1">
        <f>$E$38*$B$39*(1+Supuestos!$B$8)^18</f>
        <v/>
      </c>
      <c r="C60" s="1">
        <f>$F$38*$B$39*(1+Supuestos!$B$8)^18*((1-Supuestos!$B$11)*(1-Supuestos!$B$12)^17)</f>
        <v/>
      </c>
      <c r="D60" s="1">
        <f>$G$38*$B$39*(1+Supuestos!$B$8)^18*(1-Supuestos!$B$13)^18*Supuestos!$B$10</f>
        <v/>
      </c>
      <c r="E60" s="1">
        <f>$H$38*$B$39*(1+Supuestos!$B$8)^18</f>
        <v/>
      </c>
      <c r="F60" s="1">
        <f>B60-C60-D60-E60</f>
        <v/>
      </c>
      <c r="G60" s="1">
        <f>C60+D60+E60-(IF(18&lt;=Supuestos!$J$30,Supuestos!$B$19*Supuestos!$B$30*(1+Supuestos!$B$8)^17,0)+IF(18&lt;=Supuestos!$B$22,Supuestos!$B$20*Supuestos!$D$30*(1+Supuestos!$B$8)^17,0))</f>
        <v/>
      </c>
      <c r="H60" s="1">
        <f>IF(18&lt;=Supuestos!$J$30,$C$38*$B$39*((1-Supuestos!$B$11)*(1-Supuestos!$B$12)^17)*Supuestos!$I$30*(1+Supuestos!$B$9)^17,0)</f>
        <v/>
      </c>
      <c r="I60" s="1">
        <f>IF(18&lt;=Supuestos!$B$22,D60*Supuestos!$K$30,0)</f>
        <v/>
      </c>
      <c r="J60" s="1">
        <f>C60+D60+E60-H60-I60</f>
        <v/>
      </c>
      <c r="K60" s="1">
        <f>H60+I60-(IF(18&lt;=Supuestos!$J$30,Supuestos!$B$19*Supuestos!$B$30*(1+Supuestos!$B$8)^17,0)+IF(18&lt;=Supuestos!$B$22,Supuestos!$B$20*Supuestos!$D$30*(1+Supuestos!$B$8)^17,0))-H60*Supuestos!$B$21</f>
        <v/>
      </c>
      <c r="L60" s="1">
        <f>L59+G60</f>
        <v/>
      </c>
      <c r="M60" s="1">
        <f>M59+J60</f>
        <v/>
      </c>
    </row>
    <row r="61">
      <c r="A61" t="n">
        <v>19</v>
      </c>
      <c r="B61" s="1">
        <f>$E$38*$B$39*(1+Supuestos!$B$8)^19</f>
        <v/>
      </c>
      <c r="C61" s="1">
        <f>$F$38*$B$39*(1+Supuestos!$B$8)^19*((1-Supuestos!$B$11)*(1-Supuestos!$B$12)^18)</f>
        <v/>
      </c>
      <c r="D61" s="1">
        <f>$G$38*$B$39*(1+Supuestos!$B$8)^19*(1-Supuestos!$B$13)^19*Supuestos!$B$10</f>
        <v/>
      </c>
      <c r="E61" s="1">
        <f>$H$38*$B$39*(1+Supuestos!$B$8)^19</f>
        <v/>
      </c>
      <c r="F61" s="1">
        <f>B61-C61-D61-E61</f>
        <v/>
      </c>
      <c r="G61" s="1">
        <f>C61+D61+E61-(IF(19&lt;=Supuestos!$J$30,Supuestos!$B$19*Supuestos!$B$30*(1+Supuestos!$B$8)^18,0)+IF(19&lt;=Supuestos!$B$22,Supuestos!$B$20*Supuestos!$D$30*(1+Supuestos!$B$8)^18,0))</f>
        <v/>
      </c>
      <c r="H61" s="1">
        <f>IF(19&lt;=Supuestos!$J$30,$C$38*$B$39*((1-Supuestos!$B$11)*(1-Supuestos!$B$12)^18)*Supuestos!$I$30*(1+Supuestos!$B$9)^18,0)</f>
        <v/>
      </c>
      <c r="I61" s="1">
        <f>IF(19&lt;=Supuestos!$B$22,D61*Supuestos!$K$30,0)</f>
        <v/>
      </c>
      <c r="J61" s="1">
        <f>C61+D61+E61-H61-I61</f>
        <v/>
      </c>
      <c r="K61" s="1">
        <f>H61+I61-(IF(19&lt;=Supuestos!$J$30,Supuestos!$B$19*Supuestos!$B$30*(1+Supuestos!$B$8)^18,0)+IF(19&lt;=Supuestos!$B$22,Supuestos!$B$20*Supuestos!$D$30*(1+Supuestos!$B$8)^18,0))-H61*Supuestos!$B$21</f>
        <v/>
      </c>
      <c r="L61" s="1">
        <f>L60+G61</f>
        <v/>
      </c>
      <c r="M61" s="1">
        <f>M60+J61</f>
        <v/>
      </c>
    </row>
    <row r="62">
      <c r="A62" t="n">
        <v>20</v>
      </c>
      <c r="B62" s="1">
        <f>$E$38*$B$39*(1+Supuestos!$B$8)^20</f>
        <v/>
      </c>
      <c r="C62" s="1">
        <f>$F$38*$B$39*(1+Supuestos!$B$8)^20*((1-Supuestos!$B$11)*(1-Supuestos!$B$12)^19)</f>
        <v/>
      </c>
      <c r="D62" s="1">
        <f>$G$38*$B$39*(1+Supuestos!$B$8)^20*(1-Supuestos!$B$13)^20*Supuestos!$B$10</f>
        <v/>
      </c>
      <c r="E62" s="1">
        <f>$H$38*$B$39*(1+Supuestos!$B$8)^20</f>
        <v/>
      </c>
      <c r="F62" s="1">
        <f>B62-C62-D62-E62</f>
        <v/>
      </c>
      <c r="G62" s="1">
        <f>C62+D62+E62-(IF(20&lt;=Supuestos!$J$30,Supuestos!$B$19*Supuestos!$B$30*(1+Supuestos!$B$8)^19,0)+IF(20&lt;=Supuestos!$B$22,Supuestos!$B$20*Supuestos!$D$30*(1+Supuestos!$B$8)^19,0))</f>
        <v/>
      </c>
      <c r="H62" s="1">
        <f>IF(20&lt;=Supuestos!$J$30,$C$38*$B$39*((1-Supuestos!$B$11)*(1-Supuestos!$B$12)^19)*Supuestos!$I$30*(1+Supuestos!$B$9)^19,0)</f>
        <v/>
      </c>
      <c r="I62" s="1">
        <f>IF(20&lt;=Supuestos!$B$22,D62*Supuestos!$K$30,0)</f>
        <v/>
      </c>
      <c r="J62" s="1">
        <f>C62+D62+E62-H62-I62</f>
        <v/>
      </c>
      <c r="K62" s="1">
        <f>H62+I62-(IF(20&lt;=Supuestos!$J$30,Supuestos!$B$19*Supuestos!$B$30*(1+Supuestos!$B$8)^19,0)+IF(20&lt;=Supuestos!$B$22,Supuestos!$B$20*Supuestos!$D$30*(1+Supuestos!$B$8)^19,0))-H62*Supuestos!$B$21</f>
        <v/>
      </c>
      <c r="L62" s="1">
        <f>L61+G62</f>
        <v/>
      </c>
      <c r="M62" s="1">
        <f>M61+J62</f>
        <v/>
      </c>
    </row>
    <row r="64">
      <c r="A64" s="17" t="inlineStr">
        <is>
          <t>TIR compra (proyecto):</t>
        </is>
      </c>
      <c r="B64" s="2">
        <f>IRR(G42:G62)</f>
        <v/>
      </c>
      <c r="C64" s="25" t="inlineStr">
        <is>
          <t>VPN compra @WACC:</t>
        </is>
      </c>
      <c r="D64" s="1">
        <f>G42+NPV(Supuestos!$B$7,G43:G62)</f>
        <v/>
      </c>
    </row>
    <row r="65">
      <c r="A65" s="17" t="inlineStr">
        <is>
          <t>TIR financiador:</t>
        </is>
      </c>
      <c r="B65" s="2">
        <f>IRR(K42:K62)</f>
        <v/>
      </c>
      <c r="C65" s="25" t="inlineStr">
        <is>
          <t>VPN cliente PPA @WACC:</t>
        </is>
      </c>
      <c r="D65" s="1">
        <f>NPV(Supuestos!$B$7,J43:J62)</f>
        <v/>
      </c>
    </row>
    <row r="66">
      <c r="A66" s="17" t="inlineStr">
        <is>
          <t>Acumulado cliente PPA 20a:</t>
        </is>
      </c>
      <c r="B66" s="20">
        <f>SUM(J43:J62)</f>
        <v/>
      </c>
      <c r="C66" s="25" t="inlineStr">
        <is>
          <t>Acumulado compra 20a:</t>
        </is>
      </c>
      <c r="D66" s="1">
        <f>SUM(G42:G62)</f>
        <v/>
      </c>
    </row>
    <row r="68">
      <c r="A68" s="6" t="inlineStr">
        <is>
          <t>5. POR QUÉ ESTE DIMENSIONAMIENTO ES ÓPTIMO</t>
        </is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26" t="inlineStr">
        <is>
          <t>• PV 234 kWp — generador exento &lt;0.7 MW (medición neta, sin permiso CNE). En SIN la generación solar cae en intermedio → recorta energía intermedia; no genera en punta, por lo que el BESS es la palanca de demanda.</t>
        </is>
      </c>
    </row>
    <row r="70">
      <c r="A70" s="26" t="inlineStr">
        <is>
          <t>• BESS 254 kW / 1,017 kWh — recorta el pico de punta (arbitraje carga en base, descarga en punta, topado al kWh punta del recibo).</t>
        </is>
      </c>
    </row>
    <row r="71">
      <c r="A71" s="26" t="inlineStr">
        <is>
          <t>• Dimensionado al consumo (rend. inputs.json); excedentes bajo medición neta expiran en 12 meses, por eso no se sobredimensiona el PV.</t>
        </is>
      </c>
    </row>
    <row r="72">
      <c r="A72" s="26" t="inlineStr">
        <is>
          <t>• PV/BESS dimensionados por **barrido de máximo NPV del cliente** (NO se topó a 0.7 MW): el óptimo cae en 234 kWp / 254 kW de BESS (sweep NPV (exento)). Más allá del punto de autoconsumo solar el excedente se valúa ~$0 y el NPV cae; el barrido compara explícitamente quedarse exento &lt;0.7 MW vs cruzar a autoconsumo.</t>
        </is>
      </c>
    </row>
    <row r="73">
      <c r="A73" s="26" t="inlineStr">
        <is>
          <t>• Corrección de factor de potencia incluida — palanca separada, capacitores a cargo del financiador en el esquema PPA (el cliente conserva 100% del ahorro FP).</t>
        </is>
      </c>
    </row>
    <row r="74">
      <c r="A74" s="26" t="inlineStr">
        <is>
          <t>• LIBRO 100% EN VIVO: motor mensual §3 = fórmulas sobre los datos del recibo (§6) y Supuestos (réplica exacta del motor determinista, verificada al peso) — edita kWp/BESS/FC/tarifas o cualquier mes y TODO recalcula hasta la TIR.</t>
        </is>
      </c>
    </row>
    <row r="78">
      <c r="A78" s="6" t="inlineStr">
        <is>
          <t>6. DATOS DEL RECIBO (editables — el motor mensual §3 se alimenta de aquí)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27" t="inlineStr">
        <is>
          <t>Mes</t>
        </is>
      </c>
      <c r="B79" s="27" t="inlineStr">
        <is>
          <t>Días</t>
        </is>
      </c>
      <c r="C79" s="27" t="inlineStr">
        <is>
          <t>kWh B</t>
        </is>
      </c>
      <c r="D79" s="27" t="inlineStr">
        <is>
          <t>kWh I</t>
        </is>
      </c>
      <c r="E79" s="27" t="inlineStr">
        <is>
          <t>kWh P</t>
        </is>
      </c>
      <c r="F79" s="27" t="inlineStr">
        <is>
          <t>kW B</t>
        </is>
      </c>
      <c r="G79" s="27" t="inlineStr">
        <is>
          <t>kW I</t>
        </is>
      </c>
      <c r="H79" s="27" t="inlineStr">
        <is>
          <t>kW P</t>
        </is>
      </c>
      <c r="I79" s="27" t="inlineStr">
        <is>
          <t>FP %</t>
        </is>
      </c>
      <c r="J79" s="27" t="inlineStr">
        <is>
          <t>Gen B $</t>
        </is>
      </c>
      <c r="K79" s="27" t="inlineStr">
        <is>
          <t>Gen I $</t>
        </is>
      </c>
      <c r="L79" s="27" t="inlineStr">
        <is>
          <t>Gen P $</t>
        </is>
      </c>
      <c r="M79" s="27" t="inlineStr">
        <is>
          <t>Distribución $</t>
        </is>
      </c>
      <c r="N79" s="27" t="inlineStr">
        <is>
          <t>Capacidad $</t>
        </is>
      </c>
      <c r="O79" s="27" t="inlineStr">
        <is>
          <t>Otros vol $</t>
        </is>
      </c>
      <c r="P79" s="27" t="inlineStr">
        <is>
          <t>Suministro $</t>
        </is>
      </c>
      <c r="Q79" s="27" t="inlineStr">
        <is>
          <t>2%BT+FP neto $</t>
        </is>
      </c>
      <c r="R79" s="27" t="inlineStr">
        <is>
          <t>Cargo FP $</t>
        </is>
      </c>
      <c r="S79" s="27" t="inlineStr">
        <is>
          <t>Yield kWh/kWp</t>
        </is>
      </c>
      <c r="T79" s="27" t="inlineStr">
        <is>
          <t>Hrs punta</t>
        </is>
      </c>
      <c r="U79" s="27" t="inlineStr">
        <is>
          <t>Días punta</t>
        </is>
      </c>
      <c r="V79" s="27" t="inlineStr">
        <is>
          <t>kWh tot</t>
        </is>
      </c>
      <c r="W79" s="27" t="inlineStr">
        <is>
          <t>Vol $/kWh</t>
        </is>
      </c>
      <c r="X79" s="27" t="inlineStr">
        <is>
          <t>Tarifa B $/kWh</t>
        </is>
      </c>
      <c r="Y79" s="27" t="inlineStr">
        <is>
          <t>Tarifa I $/kWh</t>
        </is>
      </c>
      <c r="Z79" s="27" t="inlineStr">
        <is>
          <t>Tarifa P $/kWh</t>
        </is>
      </c>
      <c r="AA79" s="27" t="inlineStr">
        <is>
          <t>Umbral kW</t>
        </is>
      </c>
      <c r="AB79" s="27" t="inlineStr">
        <is>
          <t>$/kW cap</t>
        </is>
      </c>
    </row>
    <row r="80">
      <c r="A80" s="28" t="inlineStr">
        <is>
          <t>Abr-25</t>
        </is>
      </c>
      <c r="B80" s="29" t="n">
        <v>30</v>
      </c>
      <c r="C80" s="29" t="n">
        <v>48186</v>
      </c>
      <c r="D80" s="29" t="n">
        <v>96049</v>
      </c>
      <c r="E80" s="29" t="n">
        <v>12039</v>
      </c>
      <c r="F80" s="28" t="n">
        <v>296</v>
      </c>
      <c r="G80" s="28" t="n">
        <v>296</v>
      </c>
      <c r="H80" s="28" t="n">
        <v>279</v>
      </c>
      <c r="I80" s="30" t="n">
        <v>100</v>
      </c>
      <c r="J80" s="28" t="n">
        <v>47439.12</v>
      </c>
      <c r="K80" s="28" t="n">
        <v>169267.15</v>
      </c>
      <c r="L80" s="28" t="n">
        <v>25196.42</v>
      </c>
      <c r="M80" s="28" t="n">
        <v>20091.15</v>
      </c>
      <c r="N80" s="28" t="n">
        <v>128633.94</v>
      </c>
      <c r="O80" s="28" t="n">
        <v>30254.65</v>
      </c>
      <c r="P80" s="28" t="n">
        <v>466.83</v>
      </c>
      <c r="Q80" s="28" t="n">
        <v>-10533.73</v>
      </c>
      <c r="R80" s="28" t="n">
        <v>0</v>
      </c>
      <c r="S80" s="30" t="n">
        <v>150.72</v>
      </c>
      <c r="T80" s="29" t="n">
        <v>2</v>
      </c>
      <c r="U80" s="29" t="n">
        <v>22</v>
      </c>
      <c r="V80" s="31">
        <f>C80+D80+E80</f>
        <v/>
      </c>
      <c r="W80" s="31">
        <f>O80/V80</f>
        <v/>
      </c>
      <c r="X80" s="31">
        <f>IF(C80=0,Y80,J80/C80+W80)</f>
        <v/>
      </c>
      <c r="Y80" s="31">
        <f>IF(D80=0,0,K80/D80+W80)</f>
        <v/>
      </c>
      <c r="Z80" s="31">
        <f>IF(E80=0,0,L80/E80+W80)</f>
        <v/>
      </c>
      <c r="AA80" s="31">
        <f>V80/(B80*24*$L$6)</f>
        <v/>
      </c>
      <c r="AB80" s="31">
        <f>IFERROR(N80/MIN(H80,AA80),0)</f>
        <v/>
      </c>
    </row>
    <row r="81">
      <c r="A81" s="28" t="inlineStr">
        <is>
          <t>May-25</t>
        </is>
      </c>
      <c r="B81" s="29" t="n">
        <v>31</v>
      </c>
      <c r="C81" s="29" t="n">
        <v>49117</v>
      </c>
      <c r="D81" s="29" t="n">
        <v>98185</v>
      </c>
      <c r="E81" s="29" t="n">
        <v>8816</v>
      </c>
      <c r="F81" s="28" t="n">
        <v>286</v>
      </c>
      <c r="G81" s="28" t="n">
        <v>322</v>
      </c>
      <c r="H81" s="28" t="n">
        <v>280</v>
      </c>
      <c r="I81" s="30" t="n">
        <v>100</v>
      </c>
      <c r="J81" s="28" t="n">
        <v>48355.69</v>
      </c>
      <c r="K81" s="28" t="n">
        <v>173031.43</v>
      </c>
      <c r="L81" s="28" t="n">
        <v>18451.01</v>
      </c>
      <c r="M81" s="28" t="n">
        <v>20646.64</v>
      </c>
      <c r="N81" s="28" t="n">
        <v>121133.6</v>
      </c>
      <c r="O81" s="28" t="n">
        <v>30224.45</v>
      </c>
      <c r="P81" s="28" t="n">
        <v>466.83</v>
      </c>
      <c r="Q81" s="28" t="n">
        <v>-10307.74</v>
      </c>
      <c r="R81" s="28" t="n">
        <v>0</v>
      </c>
      <c r="S81" s="30" t="n">
        <v>143.096</v>
      </c>
      <c r="T81" s="29" t="n">
        <v>2</v>
      </c>
      <c r="U81" s="29" t="n">
        <v>21</v>
      </c>
      <c r="V81" s="31">
        <f>C81+D81+E81</f>
        <v/>
      </c>
      <c r="W81" s="31">
        <f>O81/V81</f>
        <v/>
      </c>
      <c r="X81" s="31">
        <f>IF(C81=0,Y81,J81/C81+W81)</f>
        <v/>
      </c>
      <c r="Y81" s="31">
        <f>IF(D81=0,0,K81/D81+W81)</f>
        <v/>
      </c>
      <c r="Z81" s="31">
        <f>IF(E81=0,0,L81/E81+W81)</f>
        <v/>
      </c>
      <c r="AA81" s="31">
        <f>V81/(B81*24*$L$6)</f>
        <v/>
      </c>
      <c r="AB81" s="31">
        <f>IFERROR(N81/MIN(H81,AA81),0)</f>
        <v/>
      </c>
    </row>
    <row r="82">
      <c r="A82" s="28" t="inlineStr">
        <is>
          <t>Jun-25</t>
        </is>
      </c>
      <c r="B82" s="29" t="n">
        <v>30</v>
      </c>
      <c r="C82" s="29" t="n">
        <v>42769</v>
      </c>
      <c r="D82" s="29" t="n">
        <v>81384</v>
      </c>
      <c r="E82" s="29" t="n">
        <v>7642</v>
      </c>
      <c r="F82" s="28" t="n">
        <v>252</v>
      </c>
      <c r="G82" s="28" t="n">
        <v>363</v>
      </c>
      <c r="H82" s="28" t="n">
        <v>238</v>
      </c>
      <c r="I82" s="30" t="n">
        <v>100</v>
      </c>
      <c r="J82" s="28" t="n">
        <v>43106.88</v>
      </c>
      <c r="K82" s="28" t="n">
        <v>146824.87</v>
      </c>
      <c r="L82" s="28" t="n">
        <v>16374.51</v>
      </c>
      <c r="M82" s="28" t="n">
        <v>20646.64</v>
      </c>
      <c r="N82" s="28" t="n">
        <v>105410.2</v>
      </c>
      <c r="O82" s="28" t="n">
        <v>25515.52</v>
      </c>
      <c r="P82" s="28" t="n">
        <v>466.83</v>
      </c>
      <c r="Q82" s="28" t="n">
        <v>-8958.639999999999</v>
      </c>
      <c r="R82" s="28" t="n">
        <v>0</v>
      </c>
      <c r="S82" s="30" t="n">
        <v>133.92</v>
      </c>
      <c r="T82" s="29" t="n">
        <v>2</v>
      </c>
      <c r="U82" s="29" t="n">
        <v>21</v>
      </c>
      <c r="V82" s="31">
        <f>C82+D82+E82</f>
        <v/>
      </c>
      <c r="W82" s="31">
        <f>O82/V82</f>
        <v/>
      </c>
      <c r="X82" s="31">
        <f>IF(C82=0,Y82,J82/C82+W82)</f>
        <v/>
      </c>
      <c r="Y82" s="31">
        <f>IF(D82=0,0,K82/D82+W82)</f>
        <v/>
      </c>
      <c r="Z82" s="31">
        <f>IF(E82=0,0,L82/E82+W82)</f>
        <v/>
      </c>
      <c r="AA82" s="31">
        <f>V82/(B82*24*$L$6)</f>
        <v/>
      </c>
      <c r="AB82" s="31">
        <f>IFERROR(N82/MIN(H82,AA82),0)</f>
        <v/>
      </c>
    </row>
    <row r="83">
      <c r="A83" s="28" t="inlineStr">
        <is>
          <t>Jul-25</t>
        </is>
      </c>
      <c r="B83" s="29" t="n">
        <v>31</v>
      </c>
      <c r="C83" s="29" t="n">
        <v>43308</v>
      </c>
      <c r="D83" s="29" t="n">
        <v>91399</v>
      </c>
      <c r="E83" s="29" t="n">
        <v>8743</v>
      </c>
      <c r="F83" s="28" t="n">
        <v>251</v>
      </c>
      <c r="G83" s="28" t="n">
        <v>295</v>
      </c>
      <c r="H83" s="28" t="n">
        <v>236</v>
      </c>
      <c r="I83" s="30" t="n">
        <v>100</v>
      </c>
      <c r="J83" s="28" t="n">
        <v>44304.08</v>
      </c>
      <c r="K83" s="28" t="n">
        <v>167369.85</v>
      </c>
      <c r="L83" s="28" t="n">
        <v>19014.28</v>
      </c>
      <c r="M83" s="28" t="n">
        <v>18915.4</v>
      </c>
      <c r="N83" s="28" t="n">
        <v>106091.44</v>
      </c>
      <c r="O83" s="28" t="n">
        <v>27771.92</v>
      </c>
      <c r="P83" s="28" t="n">
        <v>466.83</v>
      </c>
      <c r="Q83" s="28" t="n">
        <v>-9598.35</v>
      </c>
      <c r="R83" s="28" t="n">
        <v>0</v>
      </c>
      <c r="S83" s="30" t="n">
        <v>135.16</v>
      </c>
      <c r="T83" s="29" t="n">
        <v>2</v>
      </c>
      <c r="U83" s="29" t="n">
        <v>23</v>
      </c>
      <c r="V83" s="31">
        <f>C83+D83+E83</f>
        <v/>
      </c>
      <c r="W83" s="31">
        <f>O83/V83</f>
        <v/>
      </c>
      <c r="X83" s="31">
        <f>IF(C83=0,Y83,J83/C83+W83)</f>
        <v/>
      </c>
      <c r="Y83" s="31">
        <f>IF(D83=0,0,K83/D83+W83)</f>
        <v/>
      </c>
      <c r="Z83" s="31">
        <f>IF(E83=0,0,L83/E83+W83)</f>
        <v/>
      </c>
      <c r="AA83" s="31">
        <f>V83/(B83*24*$L$6)</f>
        <v/>
      </c>
      <c r="AB83" s="31">
        <f>IFERROR(N83/MIN(H83,AA83),0)</f>
        <v/>
      </c>
    </row>
    <row r="84">
      <c r="A84" s="28" t="inlineStr">
        <is>
          <t>Ago-25</t>
        </is>
      </c>
      <c r="B84" s="29" t="n">
        <v>31</v>
      </c>
      <c r="C84" s="29" t="n">
        <v>46345</v>
      </c>
      <c r="D84" s="29" t="n">
        <v>89977</v>
      </c>
      <c r="E84" s="29" t="n">
        <v>8099</v>
      </c>
      <c r="F84" s="28" t="n">
        <v>254</v>
      </c>
      <c r="G84" s="28" t="n">
        <v>281</v>
      </c>
      <c r="H84" s="28" t="n">
        <v>249</v>
      </c>
      <c r="I84" s="30" t="n">
        <v>100</v>
      </c>
      <c r="J84" s="28" t="n">
        <v>47480.45</v>
      </c>
      <c r="K84" s="28" t="n">
        <v>164990.82</v>
      </c>
      <c r="L84" s="28" t="n">
        <v>17638</v>
      </c>
      <c r="M84" s="28" t="n">
        <v>18017.72</v>
      </c>
      <c r="N84" s="28" t="n">
        <v>112092.33</v>
      </c>
      <c r="O84" s="28" t="n">
        <v>27959.9</v>
      </c>
      <c r="P84" s="28" t="n">
        <v>466.83</v>
      </c>
      <c r="Q84" s="28" t="n">
        <v>-9716.15</v>
      </c>
      <c r="R84" s="28" t="n">
        <v>0</v>
      </c>
      <c r="S84" s="30" t="n">
        <v>126.728</v>
      </c>
      <c r="T84" s="29" t="n">
        <v>2</v>
      </c>
      <c r="U84" s="29" t="n">
        <v>21</v>
      </c>
      <c r="V84" s="31">
        <f>C84+D84+E84</f>
        <v/>
      </c>
      <c r="W84" s="31">
        <f>O84/V84</f>
        <v/>
      </c>
      <c r="X84" s="31">
        <f>IF(C84=0,Y84,J84/C84+W84)</f>
        <v/>
      </c>
      <c r="Y84" s="31">
        <f>IF(D84=0,0,K84/D84+W84)</f>
        <v/>
      </c>
      <c r="Z84" s="31">
        <f>IF(E84=0,0,L84/E84+W84)</f>
        <v/>
      </c>
      <c r="AA84" s="31">
        <f>V84/(B84*24*$L$6)</f>
        <v/>
      </c>
      <c r="AB84" s="31">
        <f>IFERROR(N84/MIN(H84,AA84),0)</f>
        <v/>
      </c>
    </row>
    <row r="85">
      <c r="A85" s="28" t="inlineStr">
        <is>
          <t>Sep-25</t>
        </is>
      </c>
      <c r="B85" s="29" t="n">
        <v>30</v>
      </c>
      <c r="C85" s="29" t="n">
        <v>44334</v>
      </c>
      <c r="D85" s="29" t="n">
        <v>84898</v>
      </c>
      <c r="E85" s="29" t="n">
        <v>7852</v>
      </c>
      <c r="F85" s="28" t="n">
        <v>258</v>
      </c>
      <c r="G85" s="28" t="n">
        <v>271</v>
      </c>
      <c r="H85" s="28" t="n">
        <v>234</v>
      </c>
      <c r="I85" s="30" t="n">
        <v>100</v>
      </c>
      <c r="J85" s="28" t="n">
        <v>45003.44</v>
      </c>
      <c r="K85" s="28" t="n">
        <v>154259.67</v>
      </c>
      <c r="L85" s="28" t="n">
        <v>16943.83</v>
      </c>
      <c r="M85" s="28" t="n">
        <v>17376.52</v>
      </c>
      <c r="N85" s="28" t="n">
        <v>104375.7</v>
      </c>
      <c r="O85" s="28" t="n">
        <v>27101.51</v>
      </c>
      <c r="P85" s="28" t="n">
        <v>466.83</v>
      </c>
      <c r="Q85" s="28" t="n">
        <v>-9138.190000000001</v>
      </c>
      <c r="R85" s="28" t="n">
        <v>0</v>
      </c>
      <c r="S85" s="30" t="n">
        <v>119.52</v>
      </c>
      <c r="T85" s="29" t="n">
        <v>2</v>
      </c>
      <c r="U85" s="29" t="n">
        <v>21</v>
      </c>
      <c r="V85" s="31">
        <f>C85+D85+E85</f>
        <v/>
      </c>
      <c r="W85" s="31">
        <f>O85/V85</f>
        <v/>
      </c>
      <c r="X85" s="31">
        <f>IF(C85=0,Y85,J85/C85+W85)</f>
        <v/>
      </c>
      <c r="Y85" s="31">
        <f>IF(D85=0,0,K85/D85+W85)</f>
        <v/>
      </c>
      <c r="Z85" s="31">
        <f>IF(E85=0,0,L85/E85+W85)</f>
        <v/>
      </c>
      <c r="AA85" s="31">
        <f>V85/(B85*24*$L$6)</f>
        <v/>
      </c>
      <c r="AB85" s="31">
        <f>IFERROR(N85/MIN(H85,AA85),0)</f>
        <v/>
      </c>
    </row>
    <row r="86">
      <c r="A86" s="28" t="inlineStr">
        <is>
          <t>Oct-25</t>
        </is>
      </c>
      <c r="B86" s="29" t="n">
        <v>31</v>
      </c>
      <c r="C86" s="29" t="n">
        <v>43349</v>
      </c>
      <c r="D86" s="29" t="n">
        <v>90173</v>
      </c>
      <c r="E86" s="29" t="n">
        <v>11101</v>
      </c>
      <c r="F86" s="28" t="n">
        <v>270</v>
      </c>
      <c r="G86" s="28" t="n">
        <v>249</v>
      </c>
      <c r="H86" s="28" t="n">
        <v>234</v>
      </c>
      <c r="I86" s="30" t="n">
        <v>100</v>
      </c>
      <c r="J86" s="28" t="n">
        <v>44003.57</v>
      </c>
      <c r="K86" s="28" t="n">
        <v>163844.34</v>
      </c>
      <c r="L86" s="28" t="n">
        <v>23954.85</v>
      </c>
      <c r="M86" s="28" t="n">
        <v>18398.37</v>
      </c>
      <c r="N86" s="28" t="n">
        <v>106536.52</v>
      </c>
      <c r="O86" s="28" t="n">
        <v>28591.98</v>
      </c>
      <c r="P86" s="28" t="n">
        <v>466.83</v>
      </c>
      <c r="Q86" s="28" t="n">
        <v>-9644.92</v>
      </c>
      <c r="R86" s="28" t="n">
        <v>0</v>
      </c>
      <c r="S86" s="30" t="n">
        <v>131.936</v>
      </c>
      <c r="T86" s="29" t="n">
        <v>2</v>
      </c>
      <c r="U86" s="29" t="n">
        <v>23</v>
      </c>
      <c r="V86" s="31">
        <f>C86+D86+E86</f>
        <v/>
      </c>
      <c r="W86" s="31">
        <f>O86/V86</f>
        <v/>
      </c>
      <c r="X86" s="31">
        <f>IF(C86=0,Y86,J86/C86+W86)</f>
        <v/>
      </c>
      <c r="Y86" s="31">
        <f>IF(D86=0,0,K86/D86+W86)</f>
        <v/>
      </c>
      <c r="Z86" s="31">
        <f>IF(E86=0,0,L86/E86+W86)</f>
        <v/>
      </c>
      <c r="AA86" s="31">
        <f>V86/(B86*24*$L$6)</f>
        <v/>
      </c>
      <c r="AB86" s="31">
        <f>IFERROR(N86/MIN(H86,AA86),0)</f>
        <v/>
      </c>
    </row>
    <row r="87">
      <c r="A87" s="28" t="inlineStr">
        <is>
          <t>Nov-25</t>
        </is>
      </c>
      <c r="B87" s="29" t="n">
        <v>30</v>
      </c>
      <c r="C87" s="29" t="n">
        <v>47603</v>
      </c>
      <c r="D87" s="29" t="n">
        <v>74526</v>
      </c>
      <c r="E87" s="29" t="n">
        <v>17103</v>
      </c>
      <c r="F87" s="28" t="n">
        <v>295</v>
      </c>
      <c r="G87" s="28" t="n">
        <v>251</v>
      </c>
      <c r="H87" s="28" t="n">
        <v>245</v>
      </c>
      <c r="I87" s="30" t="n">
        <v>100</v>
      </c>
      <c r="J87" s="28" t="n">
        <v>46869.91</v>
      </c>
      <c r="K87" s="28" t="n">
        <v>131344.62</v>
      </c>
      <c r="L87" s="28" t="n">
        <v>35798.29</v>
      </c>
      <c r="M87" s="28" t="n">
        <v>18915.4</v>
      </c>
      <c r="N87" s="28" t="n">
        <v>106001.7</v>
      </c>
      <c r="O87" s="28" t="n">
        <v>27526.16</v>
      </c>
      <c r="P87" s="28" t="n">
        <v>466.83</v>
      </c>
      <c r="Q87" s="28" t="n">
        <v>-9173.07</v>
      </c>
      <c r="R87" s="28" t="n">
        <v>0</v>
      </c>
      <c r="S87" s="30" t="n">
        <v>136.56</v>
      </c>
      <c r="T87" s="29" t="n">
        <v>4</v>
      </c>
      <c r="U87" s="29" t="n">
        <v>19</v>
      </c>
      <c r="V87" s="31">
        <f>C87+D87+E87</f>
        <v/>
      </c>
      <c r="W87" s="31">
        <f>O87/V87</f>
        <v/>
      </c>
      <c r="X87" s="31">
        <f>IF(C87=0,Y87,J87/C87+W87)</f>
        <v/>
      </c>
      <c r="Y87" s="31">
        <f>IF(D87=0,0,K87/D87+W87)</f>
        <v/>
      </c>
      <c r="Z87" s="31">
        <f>IF(E87=0,0,L87/E87+W87)</f>
        <v/>
      </c>
      <c r="AA87" s="31">
        <f>V87/(B87*24*$L$6)</f>
        <v/>
      </c>
      <c r="AB87" s="31">
        <f>IFERROR(N87/MIN(H87,AA87),0)</f>
        <v/>
      </c>
    </row>
    <row r="88">
      <c r="A88" s="28" t="inlineStr">
        <is>
          <t>Dic-25</t>
        </is>
      </c>
      <c r="B88" s="29" t="n">
        <v>31</v>
      </c>
      <c r="C88" s="29" t="n">
        <v>43085</v>
      </c>
      <c r="D88" s="29" t="n">
        <v>74065</v>
      </c>
      <c r="E88" s="29" t="n">
        <v>18253</v>
      </c>
      <c r="F88" s="28" t="n">
        <v>250</v>
      </c>
      <c r="G88" s="28" t="n">
        <v>264</v>
      </c>
      <c r="H88" s="28" t="n">
        <v>255</v>
      </c>
      <c r="I88" s="30" t="n">
        <v>100</v>
      </c>
      <c r="J88" s="28" t="n">
        <v>40301.71</v>
      </c>
      <c r="K88" s="28" t="n">
        <v>124007.03</v>
      </c>
      <c r="L88" s="28" t="n">
        <v>36296.09</v>
      </c>
      <c r="M88" s="28" t="n">
        <v>16927.68</v>
      </c>
      <c r="N88" s="28" t="n">
        <v>104812.65</v>
      </c>
      <c r="O88" s="28" t="n">
        <v>26769.18</v>
      </c>
      <c r="P88" s="28" t="n">
        <v>466.83</v>
      </c>
      <c r="Q88" s="28" t="n">
        <v>-8739.530000000001</v>
      </c>
      <c r="R88" s="28" t="n">
        <v>0</v>
      </c>
      <c r="S88" s="30" t="n">
        <v>131.192</v>
      </c>
      <c r="T88" s="29" t="n">
        <v>4</v>
      </c>
      <c r="U88" s="29" t="n">
        <v>22</v>
      </c>
      <c r="V88" s="31">
        <f>C88+D88+E88</f>
        <v/>
      </c>
      <c r="W88" s="31">
        <f>O88/V88</f>
        <v/>
      </c>
      <c r="X88" s="31">
        <f>IF(C88=0,Y88,J88/C88+W88)</f>
        <v/>
      </c>
      <c r="Y88" s="31">
        <f>IF(D88=0,0,K88/D88+W88)</f>
        <v/>
      </c>
      <c r="Z88" s="31">
        <f>IF(E88=0,0,L88/E88+W88)</f>
        <v/>
      </c>
      <c r="AA88" s="31">
        <f>V88/(B88*24*$L$6)</f>
        <v/>
      </c>
      <c r="AB88" s="31">
        <f>IFERROR(N88/MIN(H88,AA88),0)</f>
        <v/>
      </c>
    </row>
    <row r="89">
      <c r="A89" s="28" t="inlineStr">
        <is>
          <t>Ene-26</t>
        </is>
      </c>
      <c r="B89" s="29" t="n">
        <v>31</v>
      </c>
      <c r="C89" s="29" t="n">
        <v>43042</v>
      </c>
      <c r="D89" s="29" t="n">
        <v>74276</v>
      </c>
      <c r="E89" s="29" t="n">
        <v>17893</v>
      </c>
      <c r="F89" s="28" t="n">
        <v>225</v>
      </c>
      <c r="G89" s="28" t="n">
        <v>255</v>
      </c>
      <c r="H89" s="28" t="n">
        <v>245</v>
      </c>
      <c r="I89" s="30" t="n">
        <v>99.98999999999999</v>
      </c>
      <c r="J89" s="28" t="n">
        <v>39357.6</v>
      </c>
      <c r="K89" s="28" t="n">
        <v>121560.1</v>
      </c>
      <c r="L89" s="28" t="n">
        <v>34778.62</v>
      </c>
      <c r="M89" s="28" t="n">
        <v>15509.1</v>
      </c>
      <c r="N89" s="28" t="n">
        <v>98436.10000000001</v>
      </c>
      <c r="O89" s="28" t="n">
        <v>26312.06</v>
      </c>
      <c r="P89" s="28" t="n">
        <v>540.49</v>
      </c>
      <c r="Q89" s="28" t="n">
        <v>-8412.35</v>
      </c>
      <c r="R89" s="28" t="n">
        <v>0</v>
      </c>
      <c r="S89" s="30" t="n">
        <v>143.096</v>
      </c>
      <c r="T89" s="29" t="n">
        <v>4</v>
      </c>
      <c r="U89" s="29" t="n">
        <v>21</v>
      </c>
      <c r="V89" s="31">
        <f>C89+D89+E89</f>
        <v/>
      </c>
      <c r="W89" s="31">
        <f>O89/V89</f>
        <v/>
      </c>
      <c r="X89" s="31">
        <f>IF(C89=0,Y89,J89/C89+W89)</f>
        <v/>
      </c>
      <c r="Y89" s="31">
        <f>IF(D89=0,0,K89/D89+W89)</f>
        <v/>
      </c>
      <c r="Z89" s="31">
        <f>IF(E89=0,0,L89/E89+W89)</f>
        <v/>
      </c>
      <c r="AA89" s="31">
        <f>V89/(B89*24*$L$6)</f>
        <v/>
      </c>
      <c r="AB89" s="31">
        <f>IFERROR(N89/MIN(H89,AA89),0)</f>
        <v/>
      </c>
    </row>
    <row r="90">
      <c r="A90" s="28" t="inlineStr">
        <is>
          <t>Feb-26</t>
        </is>
      </c>
      <c r="B90" s="29" t="n">
        <v>28</v>
      </c>
      <c r="C90" s="29" t="n">
        <v>40334</v>
      </c>
      <c r="D90" s="29" t="n">
        <v>68136</v>
      </c>
      <c r="E90" s="29" t="n">
        <v>16606</v>
      </c>
      <c r="F90" s="28" t="n">
        <v>270</v>
      </c>
      <c r="G90" s="28" t="n">
        <v>302</v>
      </c>
      <c r="H90" s="28" t="n">
        <v>286</v>
      </c>
      <c r="I90" s="30" t="n">
        <v>100</v>
      </c>
      <c r="J90" s="28" t="n">
        <v>36901.58</v>
      </c>
      <c r="K90" s="28" t="n">
        <v>111579.51</v>
      </c>
      <c r="L90" s="28" t="n">
        <v>32297.01</v>
      </c>
      <c r="M90" s="28" t="n">
        <v>18367.64</v>
      </c>
      <c r="N90" s="28" t="n">
        <v>114974.86</v>
      </c>
      <c r="O90" s="28" t="n">
        <v>24339.78</v>
      </c>
      <c r="P90" s="28" t="n">
        <v>540.49</v>
      </c>
      <c r="Q90" s="28" t="n">
        <v>-8475.02</v>
      </c>
      <c r="R90" s="28" t="n">
        <v>0</v>
      </c>
      <c r="S90" s="30" t="n">
        <v>139.104</v>
      </c>
      <c r="T90" s="29" t="n">
        <v>4</v>
      </c>
      <c r="U90" s="29" t="n">
        <v>19</v>
      </c>
      <c r="V90" s="31">
        <f>C90+D90+E90</f>
        <v/>
      </c>
      <c r="W90" s="31">
        <f>O90/V90</f>
        <v/>
      </c>
      <c r="X90" s="31">
        <f>IF(C90=0,Y90,J90/C90+W90)</f>
        <v/>
      </c>
      <c r="Y90" s="31">
        <f>IF(D90=0,0,K90/D90+W90)</f>
        <v/>
      </c>
      <c r="Z90" s="31">
        <f>IF(E90=0,0,L90/E90+W90)</f>
        <v/>
      </c>
      <c r="AA90" s="31">
        <f>V90/(B90*24*$L$6)</f>
        <v/>
      </c>
      <c r="AB90" s="31">
        <f>IFERROR(N90/MIN(H90,AA90),0)</f>
        <v/>
      </c>
    </row>
    <row r="91">
      <c r="A91" s="28" t="inlineStr">
        <is>
          <t>Mar-26</t>
        </is>
      </c>
      <c r="B91" s="29" t="n">
        <v>31</v>
      </c>
      <c r="C91" s="29" t="n">
        <v>46954</v>
      </c>
      <c r="D91" s="29" t="n">
        <v>77134</v>
      </c>
      <c r="E91" s="29" t="n">
        <v>18613</v>
      </c>
      <c r="F91" s="28" t="n">
        <v>270</v>
      </c>
      <c r="G91" s="28" t="n">
        <v>294</v>
      </c>
      <c r="H91" s="28" t="n">
        <v>269</v>
      </c>
      <c r="I91" s="30" t="n">
        <v>100</v>
      </c>
      <c r="J91" s="28" t="n">
        <v>42981.69</v>
      </c>
      <c r="K91" s="28" t="n">
        <v>126391.77</v>
      </c>
      <c r="L91" s="28" t="n">
        <v>36220.9</v>
      </c>
      <c r="M91" s="28" t="n">
        <v>17881.08</v>
      </c>
      <c r="N91" s="28" t="n">
        <v>108207.94</v>
      </c>
      <c r="O91" s="28" t="n">
        <v>27769.61</v>
      </c>
      <c r="P91" s="28" t="n">
        <v>540.49</v>
      </c>
      <c r="Q91" s="28" t="n">
        <v>-8999.84</v>
      </c>
      <c r="R91" s="28" t="n">
        <v>0</v>
      </c>
      <c r="S91" s="30" t="n">
        <v>170.376</v>
      </c>
      <c r="T91" s="29" t="n">
        <v>4</v>
      </c>
      <c r="U91" s="29" t="n">
        <v>21</v>
      </c>
      <c r="V91" s="31">
        <f>C91+D91+E91</f>
        <v/>
      </c>
      <c r="W91" s="31">
        <f>O91/V91</f>
        <v/>
      </c>
      <c r="X91" s="31">
        <f>IF(C91=0,Y91,J91/C91+W91)</f>
        <v/>
      </c>
      <c r="Y91" s="31">
        <f>IF(D91=0,0,K91/D91+W91)</f>
        <v/>
      </c>
      <c r="Z91" s="31">
        <f>IF(E91=0,0,L91/E91+W91)</f>
        <v/>
      </c>
      <c r="AA91" s="31">
        <f>V91/(B91*24*$L$6)</f>
        <v/>
      </c>
      <c r="AB91" s="31">
        <f>IFERROR(N91/MIN(H91,AA91),0)</f>
        <v/>
      </c>
    </row>
    <row r="92">
      <c r="A92" s="19" t="inlineStr">
        <is>
          <t>Filas = recibo ancla (parseado) + meses reconstruidos del CONSUMO HISTÓRICO (subtotal al peso; split TOU por shares del ancla). Capacidad a MIN(kW punta, umbral); tarifas por banda = concepto/kWh + vol/kWh; col Q&lt;0 (bonificación FP) aplica claw-back al ahorro. Válido &lt;700 kWp (medición neta). Excedentes PV a $0.</t>
        </is>
      </c>
    </row>
    <row r="94">
      <c r="O94" s="19" t="inlineStr">
        <is>
          <t>Techo — referencia satelital (ruta HelioScope; cruz roja = punto verificado) · confianza ?</t>
        </is>
      </c>
    </row>
  </sheetData>
  <mergeCells count="7">
    <mergeCell ref="A74:K74"/>
    <mergeCell ref="A69:K69"/>
    <mergeCell ref="A72:K72"/>
    <mergeCell ref="A73:K73"/>
    <mergeCell ref="A71:K71"/>
    <mergeCell ref="A70:K70"/>
    <mergeCell ref="A92:AB9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Comparativo Comercial — Comprar vs PPA / Ahorro compartido</t>
        </is>
      </c>
    </row>
    <row r="3">
      <c r="A3" t="inlineStr">
        <is>
          <t>RESULTADO POR PROYECTO (referencias vivas a cada hoja)</t>
        </is>
      </c>
    </row>
    <row r="4">
      <c r="A4" t="inlineStr">
        <is>
          <t>Proyecto</t>
        </is>
      </c>
      <c r="B4" t="inlineStr">
        <is>
          <t>Compra benef/año $</t>
        </is>
      </c>
      <c r="C4" t="inlineStr">
        <is>
          <t>Compra inversión $</t>
        </is>
      </c>
      <c r="D4" t="inlineStr">
        <is>
          <t>Compra TIR</t>
        </is>
      </c>
      <c r="E4" t="inlineStr">
        <is>
          <t>PPA benef cliente a1 $</t>
        </is>
      </c>
      <c r="F4" t="inlineStr">
        <is>
          <t>PPA TIR financiador</t>
        </is>
      </c>
      <c r="G4" t="inlineStr">
        <is>
          <t>Ahorro bruto/año $</t>
        </is>
      </c>
      <c r="H4" t="inlineStr">
        <is>
          <t>Ahorro %</t>
        </is>
      </c>
      <c r="I4" t="inlineStr">
        <is>
          <t>Ahorro cliente % (PPA a1)</t>
        </is>
      </c>
    </row>
    <row r="5">
      <c r="A5" t="inlineStr">
        <is>
          <t>Médano / Cabo San Lucas (Posadas F/1596)</t>
        </is>
      </c>
      <c r="B5" s="1">
        <f>'Médano - Cabo San Lucas (Pos'!$C$43+'Médano - Cabo San Lucas (Pos'!$D$43+'Médano - Cabo San Lucas (Pos'!$E$43</f>
        <v/>
      </c>
      <c r="C5" s="1">
        <f>'Médano - Cabo San Lucas (Pos'!$B$22</f>
        <v/>
      </c>
      <c r="D5" s="2">
        <f>'Médano - Cabo San Lucas (Pos'!$B$64</f>
        <v/>
      </c>
      <c r="E5" s="1">
        <f>'Médano - Cabo San Lucas (Pos'!$J$43</f>
        <v/>
      </c>
      <c r="F5" s="1">
        <f>'Médano - Cabo San Lucas (Pos'!$B$65</f>
        <v/>
      </c>
      <c r="G5" s="1">
        <f>'Médano - Cabo San Lucas (Pos'!$J$38*'Médano - Cabo San Lucas (Pos'!$B$39</f>
        <v/>
      </c>
      <c r="H5" s="2">
        <f>G5/('Médano - Cabo San Lucas (Pos'!$E$38*'Médano - Cabo San Lucas (Pos'!$B$39)</f>
        <v/>
      </c>
      <c r="I5" s="2">
        <f>'Médano - Cabo San Lucas (Pos'!$J$43/'Médano - Cabo San Lucas (Pos'!$B$43</f>
        <v/>
      </c>
    </row>
    <row r="6">
      <c r="A6" t="inlineStr">
        <is>
          <t>Fairfield Inn Vallejo (F/1596)</t>
        </is>
      </c>
      <c r="B6" s="1">
        <f>'Fairfield Inn Vallejo (F-159'!$C$43+'Fairfield Inn Vallejo (F-159'!$D$43+'Fairfield Inn Vallejo (F-159'!$E$43</f>
        <v/>
      </c>
      <c r="C6" s="1">
        <f>'Fairfield Inn Vallejo (F-159'!$B$22</f>
        <v/>
      </c>
      <c r="D6" s="2">
        <f>'Fairfield Inn Vallejo (F-159'!$B$64</f>
        <v/>
      </c>
      <c r="E6" s="1">
        <f>'Fairfield Inn Vallejo (F-159'!$J$43</f>
        <v/>
      </c>
      <c r="F6" s="1">
        <f>'Fairfield Inn Vallejo (F-159'!$B$65</f>
        <v/>
      </c>
      <c r="G6" s="1">
        <f>'Fairfield Inn Vallejo (F-159'!$J$38*'Fairfield Inn Vallejo (F-159'!$B$39</f>
        <v/>
      </c>
      <c r="H6" s="2">
        <f>G6/('Fairfield Inn Vallejo (F-159'!$E$38*'Fairfield Inn Vallejo (F-159'!$B$39)</f>
        <v/>
      </c>
      <c r="I6" s="2">
        <f>'Fairfield Inn Vallejo (F-159'!$J$43/'Fairfield Inn Vallejo (F-159'!$B$43</f>
        <v/>
      </c>
    </row>
    <row r="7">
      <c r="A7" t="inlineStr">
        <is>
          <t>Fiesta Americana Condesa Cancún</t>
        </is>
      </c>
      <c r="B7" s="1">
        <f>'Fiesta Americana Condesa Can'!$C$43+'Fiesta Americana Condesa Can'!$D$43+'Fiesta Americana Condesa Can'!$E$43</f>
        <v/>
      </c>
      <c r="C7" s="1">
        <f>'Fiesta Americana Condesa Can'!$B$22</f>
        <v/>
      </c>
      <c r="D7" s="2">
        <f>'Fiesta Americana Condesa Can'!$B$64</f>
        <v/>
      </c>
      <c r="E7" s="1">
        <f>'Fiesta Americana Condesa Can'!$J$43</f>
        <v/>
      </c>
      <c r="F7" s="1">
        <f>'Fiesta Americana Condesa Can'!$B$65</f>
        <v/>
      </c>
      <c r="G7" s="1">
        <f>'Fiesta Americana Condesa Can'!$J$38*'Fiesta Americana Condesa Can'!$B$39</f>
        <v/>
      </c>
      <c r="H7" s="2">
        <f>G7/('Fiesta Americana Condesa Can'!$E$38*'Fiesta Americana Condesa Can'!$B$39)</f>
        <v/>
      </c>
      <c r="I7" s="2">
        <f>'Fiesta Americana Condesa Can'!$J$43/'Fiesta Americana Condesa Can'!$B$43</f>
        <v/>
      </c>
    </row>
    <row r="8">
      <c r="A8" t="inlineStr">
        <is>
          <t>Fiesta Inn Periférico Sur (CDMX)</t>
        </is>
      </c>
      <c r="B8" s="1">
        <f>'Fiesta Inn Periférico Sur (C'!$C$43+'Fiesta Inn Periférico Sur (C'!$D$43+'Fiesta Inn Periférico Sur (C'!$E$43</f>
        <v/>
      </c>
      <c r="C8" s="1">
        <f>'Fiesta Inn Periférico Sur (C'!$B$22</f>
        <v/>
      </c>
      <c r="D8" s="2">
        <f>'Fiesta Inn Periférico Sur (C'!$B$64</f>
        <v/>
      </c>
      <c r="E8" s="1">
        <f>'Fiesta Inn Periférico Sur (C'!$J$43</f>
        <v/>
      </c>
      <c r="F8" s="1">
        <f>'Fiesta Inn Periférico Sur (C'!$B$65</f>
        <v/>
      </c>
      <c r="G8" s="1">
        <f>'Fiesta Inn Periférico Sur (C'!$J$38*'Fiesta Inn Periférico Sur (C'!$B$39</f>
        <v/>
      </c>
      <c r="H8" s="2">
        <f>G8/('Fiesta Inn Periférico Sur (C'!$E$38*'Fiesta Inn Periférico Sur (C'!$B$39)</f>
        <v/>
      </c>
      <c r="I8" s="2">
        <f>'Fiesta Inn Periférico Sur (C'!$J$43/'Fiesta Inn Periférico Sur (C'!$B$43</f>
        <v/>
      </c>
    </row>
    <row r="9">
      <c r="A9" t="inlineStr">
        <is>
          <t>Fiesta Americana Viaducto Aeropuerto (CDMX)</t>
        </is>
      </c>
      <c r="B9" s="1">
        <f>'Fiesta Americana Viaducto Ae'!$C$43+'Fiesta Americana Viaducto Ae'!$D$43+'Fiesta Americana Viaducto Ae'!$E$43</f>
        <v/>
      </c>
      <c r="C9" s="1">
        <f>'Fiesta Americana Viaducto Ae'!$B$22</f>
        <v/>
      </c>
      <c r="D9" s="2">
        <f>'Fiesta Americana Viaducto Ae'!$B$64</f>
        <v/>
      </c>
      <c r="E9" s="1">
        <f>'Fiesta Americana Viaducto Ae'!$J$43</f>
        <v/>
      </c>
      <c r="F9" s="1">
        <f>'Fiesta Americana Viaducto Ae'!$B$65</f>
        <v/>
      </c>
      <c r="G9" s="1">
        <f>'Fiesta Americana Viaducto Ae'!$J$38*'Fiesta Americana Viaducto Ae'!$B$39</f>
        <v/>
      </c>
      <c r="H9" s="2">
        <f>G9/('Fiesta Americana Viaducto Ae'!$E$38*'Fiesta Americana Viaducto Ae'!$B$39)</f>
        <v/>
      </c>
      <c r="I9" s="2">
        <f>'Fiesta Americana Viaducto Ae'!$J$43/'Fiesta Americana Viaducto Ae'!$B$43</f>
        <v/>
      </c>
    </row>
    <row r="10">
      <c r="A10" t="inlineStr">
        <is>
          <t>PORTAFOLIO</t>
        </is>
      </c>
      <c r="B10" s="1">
        <f>SUM(B5:B9)</f>
        <v/>
      </c>
      <c r="C10" s="1">
        <f>SUM(C5:C9)</f>
        <v/>
      </c>
      <c r="D10" s="2" t="n"/>
      <c r="E10" s="1">
        <f>SUM(E5:E9)</f>
        <v/>
      </c>
      <c r="F10" s="1" t="n"/>
      <c r="G10" s="1">
        <f>SUM(G5:G9)</f>
        <v/>
      </c>
      <c r="H10" s="2" t="n"/>
      <c r="I10" s="2" t="n"/>
    </row>
    <row r="12">
      <c r="A12" t="inlineStr">
        <is>
          <t>Comprar maximiza el ahorro (TIR proyecto supera el WACC); PPA = cero inversión: el financiador funda el CAPEX y cobra PPA+comisión a su TIR objetivo.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Proyección 20 años — Portafolio (suma de hojas por proyecto)</t>
        </is>
      </c>
    </row>
    <row r="3">
      <c r="A3" t="inlineStr">
        <is>
          <t>Año</t>
        </is>
      </c>
      <c r="B3" t="inlineStr">
        <is>
          <t>Tarifa Actual $</t>
        </is>
      </c>
      <c r="C3" t="inlineStr">
        <is>
          <t>Ahorro total $</t>
        </is>
      </c>
      <c r="D3" t="inlineStr">
        <is>
          <t>Costo c/proy $</t>
        </is>
      </c>
      <c r="E3" t="inlineStr">
        <is>
          <t>Flujo Compra $</t>
        </is>
      </c>
      <c r="F3" t="inlineStr">
        <is>
          <t>Flujo Cliente PPA $</t>
        </is>
      </c>
      <c r="G3" t="inlineStr">
        <is>
          <t>Acum. Compra $</t>
        </is>
      </c>
      <c r="H3" t="inlineStr">
        <is>
          <t>Acum. Cliente PPA $</t>
        </is>
      </c>
    </row>
    <row r="4">
      <c r="A4" t="n">
        <v>1</v>
      </c>
      <c r="B4" s="1">
        <f>'Médano - Cabo San Lucas (Pos'!B43+'Fairfield Inn Vallejo (F-159'!B43+'Fiesta Americana Condesa Can'!B43+'Fiesta Inn Periférico Sur (C'!B43+'Fiesta Americana Viaducto Ae'!B43</f>
        <v/>
      </c>
      <c r="C4" s="1">
        <f>('Médano - Cabo San Lucas (Pos'!C43+'Médano - Cabo San Lucas (Pos'!D43+'Médano - Cabo San Lucas (Pos'!E43)+('Fairfield Inn Vallejo (F-159'!C43+'Fairfield Inn Vallejo (F-159'!D43+'Fairfield Inn Vallejo (F-159'!E43)+('Fiesta Americana Condesa Can'!C43+'Fiesta Americana Condesa Can'!D43+'Fiesta Americana Condesa Can'!E43)+('Fiesta Inn Periférico Sur (C'!C43+'Fiesta Inn Periférico Sur (C'!D43+'Fiesta Inn Periférico Sur (C'!E43)+('Fiesta Americana Viaducto Ae'!C43+'Fiesta Americana Viaducto Ae'!D43+'Fiesta Americana Viaducto Ae'!E43)</f>
        <v/>
      </c>
      <c r="D4" s="1">
        <f>B4-C4</f>
        <v/>
      </c>
      <c r="E4" s="1">
        <f>'Médano - Cabo San Lucas (Pos'!G43+'Fairfield Inn Vallejo (F-159'!G43+'Fiesta Americana Condesa Can'!G43+'Fiesta Inn Periférico Sur (C'!G43+'Fiesta Americana Viaducto Ae'!G43</f>
        <v/>
      </c>
      <c r="F4" s="1">
        <f>'Médano - Cabo San Lucas (Pos'!J43+'Fairfield Inn Vallejo (F-159'!J43+'Fiesta Americana Condesa Can'!J43+'Fiesta Inn Periférico Sur (C'!J43+'Fiesta Americana Viaducto Ae'!J43</f>
        <v/>
      </c>
      <c r="G4" s="1">
        <f>E4</f>
        <v/>
      </c>
      <c r="H4" s="1">
        <f>F4</f>
        <v/>
      </c>
    </row>
    <row r="5">
      <c r="A5" t="n">
        <v>2</v>
      </c>
      <c r="B5" s="1">
        <f>'Médano - Cabo San Lucas (Pos'!B44+'Fairfield Inn Vallejo (F-159'!B44+'Fiesta Americana Condesa Can'!B44+'Fiesta Inn Periférico Sur (C'!B44+'Fiesta Americana Viaducto Ae'!B44</f>
        <v/>
      </c>
      <c r="C5" s="1">
        <f>('Médano - Cabo San Lucas (Pos'!C44+'Médano - Cabo San Lucas (Pos'!D44+'Médano - Cabo San Lucas (Pos'!E44)+('Fairfield Inn Vallejo (F-159'!C44+'Fairfield Inn Vallejo (F-159'!D44+'Fairfield Inn Vallejo (F-159'!E44)+('Fiesta Americana Condesa Can'!C44+'Fiesta Americana Condesa Can'!D44+'Fiesta Americana Condesa Can'!E44)+('Fiesta Inn Periférico Sur (C'!C44+'Fiesta Inn Periférico Sur (C'!D44+'Fiesta Inn Periférico Sur (C'!E44)+('Fiesta Americana Viaducto Ae'!C44+'Fiesta Americana Viaducto Ae'!D44+'Fiesta Americana Viaducto Ae'!E44)</f>
        <v/>
      </c>
      <c r="D5" s="1">
        <f>B5-C5</f>
        <v/>
      </c>
      <c r="E5" s="1">
        <f>'Médano - Cabo San Lucas (Pos'!G44+'Fairfield Inn Vallejo (F-159'!G44+'Fiesta Americana Condesa Can'!G44+'Fiesta Inn Periférico Sur (C'!G44+'Fiesta Americana Viaducto Ae'!G44</f>
        <v/>
      </c>
      <c r="F5" s="1">
        <f>'Médano - Cabo San Lucas (Pos'!J44+'Fairfield Inn Vallejo (F-159'!J44+'Fiesta Americana Condesa Can'!J44+'Fiesta Inn Periférico Sur (C'!J44+'Fiesta Americana Viaducto Ae'!J44</f>
        <v/>
      </c>
      <c r="G5" s="1">
        <f>G4+E5</f>
        <v/>
      </c>
      <c r="H5" s="1">
        <f>H4+F5</f>
        <v/>
      </c>
    </row>
    <row r="6">
      <c r="A6" t="n">
        <v>3</v>
      </c>
      <c r="B6" s="1">
        <f>'Médano - Cabo San Lucas (Pos'!B45+'Fairfield Inn Vallejo (F-159'!B45+'Fiesta Americana Condesa Can'!B45+'Fiesta Inn Periférico Sur (C'!B45+'Fiesta Americana Viaducto Ae'!B45</f>
        <v/>
      </c>
      <c r="C6" s="1">
        <f>('Médano - Cabo San Lucas (Pos'!C45+'Médano - Cabo San Lucas (Pos'!D45+'Médano - Cabo San Lucas (Pos'!E45)+('Fairfield Inn Vallejo (F-159'!C45+'Fairfield Inn Vallejo (F-159'!D45+'Fairfield Inn Vallejo (F-159'!E45)+('Fiesta Americana Condesa Can'!C45+'Fiesta Americana Condesa Can'!D45+'Fiesta Americana Condesa Can'!E45)+('Fiesta Inn Periférico Sur (C'!C45+'Fiesta Inn Periférico Sur (C'!D45+'Fiesta Inn Periférico Sur (C'!E45)+('Fiesta Americana Viaducto Ae'!C45+'Fiesta Americana Viaducto Ae'!D45+'Fiesta Americana Viaducto Ae'!E45)</f>
        <v/>
      </c>
      <c r="D6" s="1">
        <f>B6-C6</f>
        <v/>
      </c>
      <c r="E6" s="1">
        <f>'Médano - Cabo San Lucas (Pos'!G45+'Fairfield Inn Vallejo (F-159'!G45+'Fiesta Americana Condesa Can'!G45+'Fiesta Inn Periférico Sur (C'!G45+'Fiesta Americana Viaducto Ae'!G45</f>
        <v/>
      </c>
      <c r="F6" s="1">
        <f>'Médano - Cabo San Lucas (Pos'!J45+'Fairfield Inn Vallejo (F-159'!J45+'Fiesta Americana Condesa Can'!J45+'Fiesta Inn Periférico Sur (C'!J45+'Fiesta Americana Viaducto Ae'!J45</f>
        <v/>
      </c>
      <c r="G6" s="1">
        <f>G5+E6</f>
        <v/>
      </c>
      <c r="H6" s="1">
        <f>H5+F6</f>
        <v/>
      </c>
    </row>
    <row r="7">
      <c r="A7" t="n">
        <v>4</v>
      </c>
      <c r="B7" s="1">
        <f>'Médano - Cabo San Lucas (Pos'!B46+'Fairfield Inn Vallejo (F-159'!B46+'Fiesta Americana Condesa Can'!B46+'Fiesta Inn Periférico Sur (C'!B46+'Fiesta Americana Viaducto Ae'!B46</f>
        <v/>
      </c>
      <c r="C7" s="1">
        <f>('Médano - Cabo San Lucas (Pos'!C46+'Médano - Cabo San Lucas (Pos'!D46+'Médano - Cabo San Lucas (Pos'!E46)+('Fairfield Inn Vallejo (F-159'!C46+'Fairfield Inn Vallejo (F-159'!D46+'Fairfield Inn Vallejo (F-159'!E46)+('Fiesta Americana Condesa Can'!C46+'Fiesta Americana Condesa Can'!D46+'Fiesta Americana Condesa Can'!E46)+('Fiesta Inn Periférico Sur (C'!C46+'Fiesta Inn Periférico Sur (C'!D46+'Fiesta Inn Periférico Sur (C'!E46)+('Fiesta Americana Viaducto Ae'!C46+'Fiesta Americana Viaducto Ae'!D46+'Fiesta Americana Viaducto Ae'!E46)</f>
        <v/>
      </c>
      <c r="D7" s="1">
        <f>B7-C7</f>
        <v/>
      </c>
      <c r="E7" s="1">
        <f>'Médano - Cabo San Lucas (Pos'!G46+'Fairfield Inn Vallejo (F-159'!G46+'Fiesta Americana Condesa Can'!G46+'Fiesta Inn Periférico Sur (C'!G46+'Fiesta Americana Viaducto Ae'!G46</f>
        <v/>
      </c>
      <c r="F7" s="1">
        <f>'Médano - Cabo San Lucas (Pos'!J46+'Fairfield Inn Vallejo (F-159'!J46+'Fiesta Americana Condesa Can'!J46+'Fiesta Inn Periférico Sur (C'!J46+'Fiesta Americana Viaducto Ae'!J46</f>
        <v/>
      </c>
      <c r="G7" s="1">
        <f>G6+E7</f>
        <v/>
      </c>
      <c r="H7" s="1">
        <f>H6+F7</f>
        <v/>
      </c>
    </row>
    <row r="8">
      <c r="A8" t="n">
        <v>5</v>
      </c>
      <c r="B8" s="1">
        <f>'Médano - Cabo San Lucas (Pos'!B47+'Fairfield Inn Vallejo (F-159'!B47+'Fiesta Americana Condesa Can'!B47+'Fiesta Inn Periférico Sur (C'!B47+'Fiesta Americana Viaducto Ae'!B47</f>
        <v/>
      </c>
      <c r="C8" s="1">
        <f>('Médano - Cabo San Lucas (Pos'!C47+'Médano - Cabo San Lucas (Pos'!D47+'Médano - Cabo San Lucas (Pos'!E47)+('Fairfield Inn Vallejo (F-159'!C47+'Fairfield Inn Vallejo (F-159'!D47+'Fairfield Inn Vallejo (F-159'!E47)+('Fiesta Americana Condesa Can'!C47+'Fiesta Americana Condesa Can'!D47+'Fiesta Americana Condesa Can'!E47)+('Fiesta Inn Periférico Sur (C'!C47+'Fiesta Inn Periférico Sur (C'!D47+'Fiesta Inn Periférico Sur (C'!E47)+('Fiesta Americana Viaducto Ae'!C47+'Fiesta Americana Viaducto Ae'!D47+'Fiesta Americana Viaducto Ae'!E47)</f>
        <v/>
      </c>
      <c r="D8" s="1">
        <f>B8-C8</f>
        <v/>
      </c>
      <c r="E8" s="1">
        <f>'Médano - Cabo San Lucas (Pos'!G47+'Fairfield Inn Vallejo (F-159'!G47+'Fiesta Americana Condesa Can'!G47+'Fiesta Inn Periférico Sur (C'!G47+'Fiesta Americana Viaducto Ae'!G47</f>
        <v/>
      </c>
      <c r="F8" s="1">
        <f>'Médano - Cabo San Lucas (Pos'!J47+'Fairfield Inn Vallejo (F-159'!J47+'Fiesta Americana Condesa Can'!J47+'Fiesta Inn Periférico Sur (C'!J47+'Fiesta Americana Viaducto Ae'!J47</f>
        <v/>
      </c>
      <c r="G8" s="1">
        <f>G7+E8</f>
        <v/>
      </c>
      <c r="H8" s="1">
        <f>H7+F8</f>
        <v/>
      </c>
    </row>
    <row r="9">
      <c r="A9" t="n">
        <v>6</v>
      </c>
      <c r="B9" s="1">
        <f>'Médano - Cabo San Lucas (Pos'!B48+'Fairfield Inn Vallejo (F-159'!B48+'Fiesta Americana Condesa Can'!B48+'Fiesta Inn Periférico Sur (C'!B48+'Fiesta Americana Viaducto Ae'!B48</f>
        <v/>
      </c>
      <c r="C9" s="1">
        <f>('Médano - Cabo San Lucas (Pos'!C48+'Médano - Cabo San Lucas (Pos'!D48+'Médano - Cabo San Lucas (Pos'!E48)+('Fairfield Inn Vallejo (F-159'!C48+'Fairfield Inn Vallejo (F-159'!D48+'Fairfield Inn Vallejo (F-159'!E48)+('Fiesta Americana Condesa Can'!C48+'Fiesta Americana Condesa Can'!D48+'Fiesta Americana Condesa Can'!E48)+('Fiesta Inn Periférico Sur (C'!C48+'Fiesta Inn Periférico Sur (C'!D48+'Fiesta Inn Periférico Sur (C'!E48)+('Fiesta Americana Viaducto Ae'!C48+'Fiesta Americana Viaducto Ae'!D48+'Fiesta Americana Viaducto Ae'!E48)</f>
        <v/>
      </c>
      <c r="D9" s="1">
        <f>B9-C9</f>
        <v/>
      </c>
      <c r="E9" s="1">
        <f>'Médano - Cabo San Lucas (Pos'!G48+'Fairfield Inn Vallejo (F-159'!G48+'Fiesta Americana Condesa Can'!G48+'Fiesta Inn Periférico Sur (C'!G48+'Fiesta Americana Viaducto Ae'!G48</f>
        <v/>
      </c>
      <c r="F9" s="1">
        <f>'Médano - Cabo San Lucas (Pos'!J48+'Fairfield Inn Vallejo (F-159'!J48+'Fiesta Americana Condesa Can'!J48+'Fiesta Inn Periférico Sur (C'!J48+'Fiesta Americana Viaducto Ae'!J48</f>
        <v/>
      </c>
      <c r="G9" s="1">
        <f>G8+E9</f>
        <v/>
      </c>
      <c r="H9" s="1">
        <f>H8+F9</f>
        <v/>
      </c>
    </row>
    <row r="10">
      <c r="A10" t="n">
        <v>7</v>
      </c>
      <c r="B10" s="1">
        <f>'Médano - Cabo San Lucas (Pos'!B49+'Fairfield Inn Vallejo (F-159'!B49+'Fiesta Americana Condesa Can'!B49+'Fiesta Inn Periférico Sur (C'!B49+'Fiesta Americana Viaducto Ae'!B49</f>
        <v/>
      </c>
      <c r="C10" s="1">
        <f>('Médano - Cabo San Lucas (Pos'!C49+'Médano - Cabo San Lucas (Pos'!D49+'Médano - Cabo San Lucas (Pos'!E49)+('Fairfield Inn Vallejo (F-159'!C49+'Fairfield Inn Vallejo (F-159'!D49+'Fairfield Inn Vallejo (F-159'!E49)+('Fiesta Americana Condesa Can'!C49+'Fiesta Americana Condesa Can'!D49+'Fiesta Americana Condesa Can'!E49)+('Fiesta Inn Periférico Sur (C'!C49+'Fiesta Inn Periférico Sur (C'!D49+'Fiesta Inn Periférico Sur (C'!E49)+('Fiesta Americana Viaducto Ae'!C49+'Fiesta Americana Viaducto Ae'!D49+'Fiesta Americana Viaducto Ae'!E49)</f>
        <v/>
      </c>
      <c r="D10" s="1">
        <f>B10-C10</f>
        <v/>
      </c>
      <c r="E10" s="1">
        <f>'Médano - Cabo San Lucas (Pos'!G49+'Fairfield Inn Vallejo (F-159'!G49+'Fiesta Americana Condesa Can'!G49+'Fiesta Inn Periférico Sur (C'!G49+'Fiesta Americana Viaducto Ae'!G49</f>
        <v/>
      </c>
      <c r="F10" s="1">
        <f>'Médano - Cabo San Lucas (Pos'!J49+'Fairfield Inn Vallejo (F-159'!J49+'Fiesta Americana Condesa Can'!J49+'Fiesta Inn Periférico Sur (C'!J49+'Fiesta Americana Viaducto Ae'!J49</f>
        <v/>
      </c>
      <c r="G10" s="1">
        <f>G9+E10</f>
        <v/>
      </c>
      <c r="H10" s="1">
        <f>H9+F10</f>
        <v/>
      </c>
    </row>
    <row r="11">
      <c r="A11" t="n">
        <v>8</v>
      </c>
      <c r="B11" s="1">
        <f>'Médano - Cabo San Lucas (Pos'!B50+'Fairfield Inn Vallejo (F-159'!B50+'Fiesta Americana Condesa Can'!B50+'Fiesta Inn Periférico Sur (C'!B50+'Fiesta Americana Viaducto Ae'!B50</f>
        <v/>
      </c>
      <c r="C11" s="1">
        <f>('Médano - Cabo San Lucas (Pos'!C50+'Médano - Cabo San Lucas (Pos'!D50+'Médano - Cabo San Lucas (Pos'!E50)+('Fairfield Inn Vallejo (F-159'!C50+'Fairfield Inn Vallejo (F-159'!D50+'Fairfield Inn Vallejo (F-159'!E50)+('Fiesta Americana Condesa Can'!C50+'Fiesta Americana Condesa Can'!D50+'Fiesta Americana Condesa Can'!E50)+('Fiesta Inn Periférico Sur (C'!C50+'Fiesta Inn Periférico Sur (C'!D50+'Fiesta Inn Periférico Sur (C'!E50)+('Fiesta Americana Viaducto Ae'!C50+'Fiesta Americana Viaducto Ae'!D50+'Fiesta Americana Viaducto Ae'!E50)</f>
        <v/>
      </c>
      <c r="D11" s="1">
        <f>B11-C11</f>
        <v/>
      </c>
      <c r="E11" s="1">
        <f>'Médano - Cabo San Lucas (Pos'!G50+'Fairfield Inn Vallejo (F-159'!G50+'Fiesta Americana Condesa Can'!G50+'Fiesta Inn Periférico Sur (C'!G50+'Fiesta Americana Viaducto Ae'!G50</f>
        <v/>
      </c>
      <c r="F11" s="1">
        <f>'Médano - Cabo San Lucas (Pos'!J50+'Fairfield Inn Vallejo (F-159'!J50+'Fiesta Americana Condesa Can'!J50+'Fiesta Inn Periférico Sur (C'!J50+'Fiesta Americana Viaducto Ae'!J50</f>
        <v/>
      </c>
      <c r="G11" s="1">
        <f>G10+E11</f>
        <v/>
      </c>
      <c r="H11" s="1">
        <f>H10+F11</f>
        <v/>
      </c>
    </row>
    <row r="12">
      <c r="A12" t="n">
        <v>9</v>
      </c>
      <c r="B12" s="1">
        <f>'Médano - Cabo San Lucas (Pos'!B51+'Fairfield Inn Vallejo (F-159'!B51+'Fiesta Americana Condesa Can'!B51+'Fiesta Inn Periférico Sur (C'!B51+'Fiesta Americana Viaducto Ae'!B51</f>
        <v/>
      </c>
      <c r="C12" s="1">
        <f>('Médano - Cabo San Lucas (Pos'!C51+'Médano - Cabo San Lucas (Pos'!D51+'Médano - Cabo San Lucas (Pos'!E51)+('Fairfield Inn Vallejo (F-159'!C51+'Fairfield Inn Vallejo (F-159'!D51+'Fairfield Inn Vallejo (F-159'!E51)+('Fiesta Americana Condesa Can'!C51+'Fiesta Americana Condesa Can'!D51+'Fiesta Americana Condesa Can'!E51)+('Fiesta Inn Periférico Sur (C'!C51+'Fiesta Inn Periférico Sur (C'!D51+'Fiesta Inn Periférico Sur (C'!E51)+('Fiesta Americana Viaducto Ae'!C51+'Fiesta Americana Viaducto Ae'!D51+'Fiesta Americana Viaducto Ae'!E51)</f>
        <v/>
      </c>
      <c r="D12" s="1">
        <f>B12-C12</f>
        <v/>
      </c>
      <c r="E12" s="1">
        <f>'Médano - Cabo San Lucas (Pos'!G51+'Fairfield Inn Vallejo (F-159'!G51+'Fiesta Americana Condesa Can'!G51+'Fiesta Inn Periférico Sur (C'!G51+'Fiesta Americana Viaducto Ae'!G51</f>
        <v/>
      </c>
      <c r="F12" s="1">
        <f>'Médano - Cabo San Lucas (Pos'!J51+'Fairfield Inn Vallejo (F-159'!J51+'Fiesta Americana Condesa Can'!J51+'Fiesta Inn Periférico Sur (C'!J51+'Fiesta Americana Viaducto Ae'!J51</f>
        <v/>
      </c>
      <c r="G12" s="1">
        <f>G11+E12</f>
        <v/>
      </c>
      <c r="H12" s="1">
        <f>H11+F12</f>
        <v/>
      </c>
    </row>
    <row r="13">
      <c r="A13" t="n">
        <v>10</v>
      </c>
      <c r="B13" s="1">
        <f>'Médano - Cabo San Lucas (Pos'!B52+'Fairfield Inn Vallejo (F-159'!B52+'Fiesta Americana Condesa Can'!B52+'Fiesta Inn Periférico Sur (C'!B52+'Fiesta Americana Viaducto Ae'!B52</f>
        <v/>
      </c>
      <c r="C13" s="1">
        <f>('Médano - Cabo San Lucas (Pos'!C52+'Médano - Cabo San Lucas (Pos'!D52+'Médano - Cabo San Lucas (Pos'!E52)+('Fairfield Inn Vallejo (F-159'!C52+'Fairfield Inn Vallejo (F-159'!D52+'Fairfield Inn Vallejo (F-159'!E52)+('Fiesta Americana Condesa Can'!C52+'Fiesta Americana Condesa Can'!D52+'Fiesta Americana Condesa Can'!E52)+('Fiesta Inn Periférico Sur (C'!C52+'Fiesta Inn Periférico Sur (C'!D52+'Fiesta Inn Periférico Sur (C'!E52)+('Fiesta Americana Viaducto Ae'!C52+'Fiesta Americana Viaducto Ae'!D52+'Fiesta Americana Viaducto Ae'!E52)</f>
        <v/>
      </c>
      <c r="D13" s="1">
        <f>B13-C13</f>
        <v/>
      </c>
      <c r="E13" s="1">
        <f>'Médano - Cabo San Lucas (Pos'!G52+'Fairfield Inn Vallejo (F-159'!G52+'Fiesta Americana Condesa Can'!G52+'Fiesta Inn Periférico Sur (C'!G52+'Fiesta Americana Viaducto Ae'!G52</f>
        <v/>
      </c>
      <c r="F13" s="1">
        <f>'Médano - Cabo San Lucas (Pos'!J52+'Fairfield Inn Vallejo (F-159'!J52+'Fiesta Americana Condesa Can'!J52+'Fiesta Inn Periférico Sur (C'!J52+'Fiesta Americana Viaducto Ae'!J52</f>
        <v/>
      </c>
      <c r="G13" s="1">
        <f>G12+E13</f>
        <v/>
      </c>
      <c r="H13" s="1">
        <f>H12+F13</f>
        <v/>
      </c>
    </row>
    <row r="14">
      <c r="A14" t="n">
        <v>11</v>
      </c>
      <c r="B14" s="1">
        <f>'Médano - Cabo San Lucas (Pos'!B53+'Fairfield Inn Vallejo (F-159'!B53+'Fiesta Americana Condesa Can'!B53+'Fiesta Inn Periférico Sur (C'!B53+'Fiesta Americana Viaducto Ae'!B53</f>
        <v/>
      </c>
      <c r="C14" s="1">
        <f>('Médano - Cabo San Lucas (Pos'!C53+'Médano - Cabo San Lucas (Pos'!D53+'Médano - Cabo San Lucas (Pos'!E53)+('Fairfield Inn Vallejo (F-159'!C53+'Fairfield Inn Vallejo (F-159'!D53+'Fairfield Inn Vallejo (F-159'!E53)+('Fiesta Americana Condesa Can'!C53+'Fiesta Americana Condesa Can'!D53+'Fiesta Americana Condesa Can'!E53)+('Fiesta Inn Periférico Sur (C'!C53+'Fiesta Inn Periférico Sur (C'!D53+'Fiesta Inn Periférico Sur (C'!E53)+('Fiesta Americana Viaducto Ae'!C53+'Fiesta Americana Viaducto Ae'!D53+'Fiesta Americana Viaducto Ae'!E53)</f>
        <v/>
      </c>
      <c r="D14" s="1">
        <f>B14-C14</f>
        <v/>
      </c>
      <c r="E14" s="1">
        <f>'Médano - Cabo San Lucas (Pos'!G53+'Fairfield Inn Vallejo (F-159'!G53+'Fiesta Americana Condesa Can'!G53+'Fiesta Inn Periférico Sur (C'!G53+'Fiesta Americana Viaducto Ae'!G53</f>
        <v/>
      </c>
      <c r="F14" s="1">
        <f>'Médano - Cabo San Lucas (Pos'!J53+'Fairfield Inn Vallejo (F-159'!J53+'Fiesta Americana Condesa Can'!J53+'Fiesta Inn Periférico Sur (C'!J53+'Fiesta Americana Viaducto Ae'!J53</f>
        <v/>
      </c>
      <c r="G14" s="1">
        <f>G13+E14</f>
        <v/>
      </c>
      <c r="H14" s="1">
        <f>H13+F14</f>
        <v/>
      </c>
    </row>
    <row r="15">
      <c r="A15" t="n">
        <v>12</v>
      </c>
      <c r="B15" s="1">
        <f>'Médano - Cabo San Lucas (Pos'!B54+'Fairfield Inn Vallejo (F-159'!B54+'Fiesta Americana Condesa Can'!B54+'Fiesta Inn Periférico Sur (C'!B54+'Fiesta Americana Viaducto Ae'!B54</f>
        <v/>
      </c>
      <c r="C15" s="1">
        <f>('Médano - Cabo San Lucas (Pos'!C54+'Médano - Cabo San Lucas (Pos'!D54+'Médano - Cabo San Lucas (Pos'!E54)+('Fairfield Inn Vallejo (F-159'!C54+'Fairfield Inn Vallejo (F-159'!D54+'Fairfield Inn Vallejo (F-159'!E54)+('Fiesta Americana Condesa Can'!C54+'Fiesta Americana Condesa Can'!D54+'Fiesta Americana Condesa Can'!E54)+('Fiesta Inn Periférico Sur (C'!C54+'Fiesta Inn Periférico Sur (C'!D54+'Fiesta Inn Periférico Sur (C'!E54)+('Fiesta Americana Viaducto Ae'!C54+'Fiesta Americana Viaducto Ae'!D54+'Fiesta Americana Viaducto Ae'!E54)</f>
        <v/>
      </c>
      <c r="D15" s="1">
        <f>B15-C15</f>
        <v/>
      </c>
      <c r="E15" s="1">
        <f>'Médano - Cabo San Lucas (Pos'!G54+'Fairfield Inn Vallejo (F-159'!G54+'Fiesta Americana Condesa Can'!G54+'Fiesta Inn Periférico Sur (C'!G54+'Fiesta Americana Viaducto Ae'!G54</f>
        <v/>
      </c>
      <c r="F15" s="1">
        <f>'Médano - Cabo San Lucas (Pos'!J54+'Fairfield Inn Vallejo (F-159'!J54+'Fiesta Americana Condesa Can'!J54+'Fiesta Inn Periférico Sur (C'!J54+'Fiesta Americana Viaducto Ae'!J54</f>
        <v/>
      </c>
      <c r="G15" s="1">
        <f>G14+E15</f>
        <v/>
      </c>
      <c r="H15" s="1">
        <f>H14+F15</f>
        <v/>
      </c>
    </row>
    <row r="16">
      <c r="A16" t="n">
        <v>13</v>
      </c>
      <c r="B16" s="1">
        <f>'Médano - Cabo San Lucas (Pos'!B55+'Fairfield Inn Vallejo (F-159'!B55+'Fiesta Americana Condesa Can'!B55+'Fiesta Inn Periférico Sur (C'!B55+'Fiesta Americana Viaducto Ae'!B55</f>
        <v/>
      </c>
      <c r="C16" s="1">
        <f>('Médano - Cabo San Lucas (Pos'!C55+'Médano - Cabo San Lucas (Pos'!D55+'Médano - Cabo San Lucas (Pos'!E55)+('Fairfield Inn Vallejo (F-159'!C55+'Fairfield Inn Vallejo (F-159'!D55+'Fairfield Inn Vallejo (F-159'!E55)+('Fiesta Americana Condesa Can'!C55+'Fiesta Americana Condesa Can'!D55+'Fiesta Americana Condesa Can'!E55)+('Fiesta Inn Periférico Sur (C'!C55+'Fiesta Inn Periférico Sur (C'!D55+'Fiesta Inn Periférico Sur (C'!E55)+('Fiesta Americana Viaducto Ae'!C55+'Fiesta Americana Viaducto Ae'!D55+'Fiesta Americana Viaducto Ae'!E55)</f>
        <v/>
      </c>
      <c r="D16" s="1">
        <f>B16-C16</f>
        <v/>
      </c>
      <c r="E16" s="1">
        <f>'Médano - Cabo San Lucas (Pos'!G55+'Fairfield Inn Vallejo (F-159'!G55+'Fiesta Americana Condesa Can'!G55+'Fiesta Inn Periférico Sur (C'!G55+'Fiesta Americana Viaducto Ae'!G55</f>
        <v/>
      </c>
      <c r="F16" s="1">
        <f>'Médano - Cabo San Lucas (Pos'!J55+'Fairfield Inn Vallejo (F-159'!J55+'Fiesta Americana Condesa Can'!J55+'Fiesta Inn Periférico Sur (C'!J55+'Fiesta Americana Viaducto Ae'!J55</f>
        <v/>
      </c>
      <c r="G16" s="1">
        <f>G15+E16</f>
        <v/>
      </c>
      <c r="H16" s="1">
        <f>H15+F16</f>
        <v/>
      </c>
    </row>
    <row r="17">
      <c r="A17" t="n">
        <v>14</v>
      </c>
      <c r="B17" s="1">
        <f>'Médano - Cabo San Lucas (Pos'!B56+'Fairfield Inn Vallejo (F-159'!B56+'Fiesta Americana Condesa Can'!B56+'Fiesta Inn Periférico Sur (C'!B56+'Fiesta Americana Viaducto Ae'!B56</f>
        <v/>
      </c>
      <c r="C17" s="1">
        <f>('Médano - Cabo San Lucas (Pos'!C56+'Médano - Cabo San Lucas (Pos'!D56+'Médano - Cabo San Lucas (Pos'!E56)+('Fairfield Inn Vallejo (F-159'!C56+'Fairfield Inn Vallejo (F-159'!D56+'Fairfield Inn Vallejo (F-159'!E56)+('Fiesta Americana Condesa Can'!C56+'Fiesta Americana Condesa Can'!D56+'Fiesta Americana Condesa Can'!E56)+('Fiesta Inn Periférico Sur (C'!C56+'Fiesta Inn Periférico Sur (C'!D56+'Fiesta Inn Periférico Sur (C'!E56)+('Fiesta Americana Viaducto Ae'!C56+'Fiesta Americana Viaducto Ae'!D56+'Fiesta Americana Viaducto Ae'!E56)</f>
        <v/>
      </c>
      <c r="D17" s="1">
        <f>B17-C17</f>
        <v/>
      </c>
      <c r="E17" s="1">
        <f>'Médano - Cabo San Lucas (Pos'!G56+'Fairfield Inn Vallejo (F-159'!G56+'Fiesta Americana Condesa Can'!G56+'Fiesta Inn Periférico Sur (C'!G56+'Fiesta Americana Viaducto Ae'!G56</f>
        <v/>
      </c>
      <c r="F17" s="1">
        <f>'Médano - Cabo San Lucas (Pos'!J56+'Fairfield Inn Vallejo (F-159'!J56+'Fiesta Americana Condesa Can'!J56+'Fiesta Inn Periférico Sur (C'!J56+'Fiesta Americana Viaducto Ae'!J56</f>
        <v/>
      </c>
      <c r="G17" s="1">
        <f>G16+E17</f>
        <v/>
      </c>
      <c r="H17" s="1">
        <f>H16+F17</f>
        <v/>
      </c>
    </row>
    <row r="18">
      <c r="A18" t="n">
        <v>15</v>
      </c>
      <c r="B18" s="1">
        <f>'Médano - Cabo San Lucas (Pos'!B57+'Fairfield Inn Vallejo (F-159'!B57+'Fiesta Americana Condesa Can'!B57+'Fiesta Inn Periférico Sur (C'!B57+'Fiesta Americana Viaducto Ae'!B57</f>
        <v/>
      </c>
      <c r="C18" s="1">
        <f>('Médano - Cabo San Lucas (Pos'!C57+'Médano - Cabo San Lucas (Pos'!D57+'Médano - Cabo San Lucas (Pos'!E57)+('Fairfield Inn Vallejo (F-159'!C57+'Fairfield Inn Vallejo (F-159'!D57+'Fairfield Inn Vallejo (F-159'!E57)+('Fiesta Americana Condesa Can'!C57+'Fiesta Americana Condesa Can'!D57+'Fiesta Americana Condesa Can'!E57)+('Fiesta Inn Periférico Sur (C'!C57+'Fiesta Inn Periférico Sur (C'!D57+'Fiesta Inn Periférico Sur (C'!E57)+('Fiesta Americana Viaducto Ae'!C57+'Fiesta Americana Viaducto Ae'!D57+'Fiesta Americana Viaducto Ae'!E57)</f>
        <v/>
      </c>
      <c r="D18" s="1">
        <f>B18-C18</f>
        <v/>
      </c>
      <c r="E18" s="1">
        <f>'Médano - Cabo San Lucas (Pos'!G57+'Fairfield Inn Vallejo (F-159'!G57+'Fiesta Americana Condesa Can'!G57+'Fiesta Inn Periférico Sur (C'!G57+'Fiesta Americana Viaducto Ae'!G57</f>
        <v/>
      </c>
      <c r="F18" s="1">
        <f>'Médano - Cabo San Lucas (Pos'!J57+'Fairfield Inn Vallejo (F-159'!J57+'Fiesta Americana Condesa Can'!J57+'Fiesta Inn Periférico Sur (C'!J57+'Fiesta Americana Viaducto Ae'!J57</f>
        <v/>
      </c>
      <c r="G18" s="1">
        <f>G17+E18</f>
        <v/>
      </c>
      <c r="H18" s="1">
        <f>H17+F18</f>
        <v/>
      </c>
    </row>
    <row r="19">
      <c r="A19" t="n">
        <v>16</v>
      </c>
      <c r="B19" s="1">
        <f>'Médano - Cabo San Lucas (Pos'!B58+'Fairfield Inn Vallejo (F-159'!B58+'Fiesta Americana Condesa Can'!B58+'Fiesta Inn Periférico Sur (C'!B58+'Fiesta Americana Viaducto Ae'!B58</f>
        <v/>
      </c>
      <c r="C19" s="1">
        <f>('Médano - Cabo San Lucas (Pos'!C58+'Médano - Cabo San Lucas (Pos'!D58+'Médano - Cabo San Lucas (Pos'!E58)+('Fairfield Inn Vallejo (F-159'!C58+'Fairfield Inn Vallejo (F-159'!D58+'Fairfield Inn Vallejo (F-159'!E58)+('Fiesta Americana Condesa Can'!C58+'Fiesta Americana Condesa Can'!D58+'Fiesta Americana Condesa Can'!E58)+('Fiesta Inn Periférico Sur (C'!C58+'Fiesta Inn Periférico Sur (C'!D58+'Fiesta Inn Periférico Sur (C'!E58)+('Fiesta Americana Viaducto Ae'!C58+'Fiesta Americana Viaducto Ae'!D58+'Fiesta Americana Viaducto Ae'!E58)</f>
        <v/>
      </c>
      <c r="D19" s="1">
        <f>B19-C19</f>
        <v/>
      </c>
      <c r="E19" s="1">
        <f>'Médano - Cabo San Lucas (Pos'!G58+'Fairfield Inn Vallejo (F-159'!G58+'Fiesta Americana Condesa Can'!G58+'Fiesta Inn Periférico Sur (C'!G58+'Fiesta Americana Viaducto Ae'!G58</f>
        <v/>
      </c>
      <c r="F19" s="1">
        <f>'Médano - Cabo San Lucas (Pos'!J58+'Fairfield Inn Vallejo (F-159'!J58+'Fiesta Americana Condesa Can'!J58+'Fiesta Inn Periférico Sur (C'!J58+'Fiesta Americana Viaducto Ae'!J58</f>
        <v/>
      </c>
      <c r="G19" s="1">
        <f>G18+E19</f>
        <v/>
      </c>
      <c r="H19" s="1">
        <f>H18+F19</f>
        <v/>
      </c>
    </row>
    <row r="20">
      <c r="A20" t="n">
        <v>17</v>
      </c>
      <c r="B20" s="1">
        <f>'Médano - Cabo San Lucas (Pos'!B59+'Fairfield Inn Vallejo (F-159'!B59+'Fiesta Americana Condesa Can'!B59+'Fiesta Inn Periférico Sur (C'!B59+'Fiesta Americana Viaducto Ae'!B59</f>
        <v/>
      </c>
      <c r="C20" s="1">
        <f>('Médano - Cabo San Lucas (Pos'!C59+'Médano - Cabo San Lucas (Pos'!D59+'Médano - Cabo San Lucas (Pos'!E59)+('Fairfield Inn Vallejo (F-159'!C59+'Fairfield Inn Vallejo (F-159'!D59+'Fairfield Inn Vallejo (F-159'!E59)+('Fiesta Americana Condesa Can'!C59+'Fiesta Americana Condesa Can'!D59+'Fiesta Americana Condesa Can'!E59)+('Fiesta Inn Periférico Sur (C'!C59+'Fiesta Inn Periférico Sur (C'!D59+'Fiesta Inn Periférico Sur (C'!E59)+('Fiesta Americana Viaducto Ae'!C59+'Fiesta Americana Viaducto Ae'!D59+'Fiesta Americana Viaducto Ae'!E59)</f>
        <v/>
      </c>
      <c r="D20" s="1">
        <f>B20-C20</f>
        <v/>
      </c>
      <c r="E20" s="1">
        <f>'Médano - Cabo San Lucas (Pos'!G59+'Fairfield Inn Vallejo (F-159'!G59+'Fiesta Americana Condesa Can'!G59+'Fiesta Inn Periférico Sur (C'!G59+'Fiesta Americana Viaducto Ae'!G59</f>
        <v/>
      </c>
      <c r="F20" s="1">
        <f>'Médano - Cabo San Lucas (Pos'!J59+'Fairfield Inn Vallejo (F-159'!J59+'Fiesta Americana Condesa Can'!J59+'Fiesta Inn Periférico Sur (C'!J59+'Fiesta Americana Viaducto Ae'!J59</f>
        <v/>
      </c>
      <c r="G20" s="1">
        <f>G19+E20</f>
        <v/>
      </c>
      <c r="H20" s="1">
        <f>H19+F20</f>
        <v/>
      </c>
    </row>
    <row r="21">
      <c r="A21" t="n">
        <v>18</v>
      </c>
      <c r="B21" s="1">
        <f>'Médano - Cabo San Lucas (Pos'!B60+'Fairfield Inn Vallejo (F-159'!B60+'Fiesta Americana Condesa Can'!B60+'Fiesta Inn Periférico Sur (C'!B60+'Fiesta Americana Viaducto Ae'!B60</f>
        <v/>
      </c>
      <c r="C21" s="1">
        <f>('Médano - Cabo San Lucas (Pos'!C60+'Médano - Cabo San Lucas (Pos'!D60+'Médano - Cabo San Lucas (Pos'!E60)+('Fairfield Inn Vallejo (F-159'!C60+'Fairfield Inn Vallejo (F-159'!D60+'Fairfield Inn Vallejo (F-159'!E60)+('Fiesta Americana Condesa Can'!C60+'Fiesta Americana Condesa Can'!D60+'Fiesta Americana Condesa Can'!E60)+('Fiesta Inn Periférico Sur (C'!C60+'Fiesta Inn Periférico Sur (C'!D60+'Fiesta Inn Periférico Sur (C'!E60)+('Fiesta Americana Viaducto Ae'!C60+'Fiesta Americana Viaducto Ae'!D60+'Fiesta Americana Viaducto Ae'!E60)</f>
        <v/>
      </c>
      <c r="D21" s="1">
        <f>B21-C21</f>
        <v/>
      </c>
      <c r="E21" s="1">
        <f>'Médano - Cabo San Lucas (Pos'!G60+'Fairfield Inn Vallejo (F-159'!G60+'Fiesta Americana Condesa Can'!G60+'Fiesta Inn Periférico Sur (C'!G60+'Fiesta Americana Viaducto Ae'!G60</f>
        <v/>
      </c>
      <c r="F21" s="1">
        <f>'Médano - Cabo San Lucas (Pos'!J60+'Fairfield Inn Vallejo (F-159'!J60+'Fiesta Americana Condesa Can'!J60+'Fiesta Inn Periférico Sur (C'!J60+'Fiesta Americana Viaducto Ae'!J60</f>
        <v/>
      </c>
      <c r="G21" s="1">
        <f>G20+E21</f>
        <v/>
      </c>
      <c r="H21" s="1">
        <f>H20+F21</f>
        <v/>
      </c>
    </row>
    <row r="22">
      <c r="A22" t="n">
        <v>19</v>
      </c>
      <c r="B22" s="1">
        <f>'Médano - Cabo San Lucas (Pos'!B61+'Fairfield Inn Vallejo (F-159'!B61+'Fiesta Americana Condesa Can'!B61+'Fiesta Inn Periférico Sur (C'!B61+'Fiesta Americana Viaducto Ae'!B61</f>
        <v/>
      </c>
      <c r="C22" s="1">
        <f>('Médano - Cabo San Lucas (Pos'!C61+'Médano - Cabo San Lucas (Pos'!D61+'Médano - Cabo San Lucas (Pos'!E61)+('Fairfield Inn Vallejo (F-159'!C61+'Fairfield Inn Vallejo (F-159'!D61+'Fairfield Inn Vallejo (F-159'!E61)+('Fiesta Americana Condesa Can'!C61+'Fiesta Americana Condesa Can'!D61+'Fiesta Americana Condesa Can'!E61)+('Fiesta Inn Periférico Sur (C'!C61+'Fiesta Inn Periférico Sur (C'!D61+'Fiesta Inn Periférico Sur (C'!E61)+('Fiesta Americana Viaducto Ae'!C61+'Fiesta Americana Viaducto Ae'!D61+'Fiesta Americana Viaducto Ae'!E61)</f>
        <v/>
      </c>
      <c r="D22" s="1">
        <f>B22-C22</f>
        <v/>
      </c>
      <c r="E22" s="1">
        <f>'Médano - Cabo San Lucas (Pos'!G61+'Fairfield Inn Vallejo (F-159'!G61+'Fiesta Americana Condesa Can'!G61+'Fiesta Inn Periférico Sur (C'!G61+'Fiesta Americana Viaducto Ae'!G61</f>
        <v/>
      </c>
      <c r="F22" s="1">
        <f>'Médano - Cabo San Lucas (Pos'!J61+'Fairfield Inn Vallejo (F-159'!J61+'Fiesta Americana Condesa Can'!J61+'Fiesta Inn Periférico Sur (C'!J61+'Fiesta Americana Viaducto Ae'!J61</f>
        <v/>
      </c>
      <c r="G22" s="1">
        <f>G21+E22</f>
        <v/>
      </c>
      <c r="H22" s="1">
        <f>H21+F22</f>
        <v/>
      </c>
    </row>
    <row r="23">
      <c r="A23" t="n">
        <v>20</v>
      </c>
      <c r="B23" s="1">
        <f>'Médano - Cabo San Lucas (Pos'!B62+'Fairfield Inn Vallejo (F-159'!B62+'Fiesta Americana Condesa Can'!B62+'Fiesta Inn Periférico Sur (C'!B62+'Fiesta Americana Viaducto Ae'!B62</f>
        <v/>
      </c>
      <c r="C23" s="1">
        <f>('Médano - Cabo San Lucas (Pos'!C62+'Médano - Cabo San Lucas (Pos'!D62+'Médano - Cabo San Lucas (Pos'!E62)+('Fairfield Inn Vallejo (F-159'!C62+'Fairfield Inn Vallejo (F-159'!D62+'Fairfield Inn Vallejo (F-159'!E62)+('Fiesta Americana Condesa Can'!C62+'Fiesta Americana Condesa Can'!D62+'Fiesta Americana Condesa Can'!E62)+('Fiesta Inn Periférico Sur (C'!C62+'Fiesta Inn Periférico Sur (C'!D62+'Fiesta Inn Periférico Sur (C'!E62)+('Fiesta Americana Viaducto Ae'!C62+'Fiesta Americana Viaducto Ae'!D62+'Fiesta Americana Viaducto Ae'!E62)</f>
        <v/>
      </c>
      <c r="D23" s="1">
        <f>B23-C23</f>
        <v/>
      </c>
      <c r="E23" s="1">
        <f>'Médano - Cabo San Lucas (Pos'!G62+'Fairfield Inn Vallejo (F-159'!G62+'Fiesta Americana Condesa Can'!G62+'Fiesta Inn Periférico Sur (C'!G62+'Fiesta Americana Viaducto Ae'!G62</f>
        <v/>
      </c>
      <c r="F23" s="1">
        <f>'Médano - Cabo San Lucas (Pos'!J62+'Fairfield Inn Vallejo (F-159'!J62+'Fiesta Americana Condesa Can'!J62+'Fiesta Inn Periférico Sur (C'!J62+'Fiesta Americana Viaducto Ae'!J62</f>
        <v/>
      </c>
      <c r="G23" s="1">
        <f>G22+E23</f>
        <v/>
      </c>
      <c r="H23" s="1">
        <f>H22+F23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2026-07-13T03:23:21Z</dcterms:created>
  <dcterms:modified xsi:type="dcterms:W3CDTF">2026-07-13T03:23:24Z</dcterms:modified>
</cp:coreProperties>
</file>